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worksheets/sheet2.xml" ContentType="application/vnd.openxmlformats-officedocument.spreadsheetml.worksheet+xml"/>
  <Override PartName="/xl/calcChain.xml" ContentType="application/vnd.openxmlformats-officedocument.spreadsheetml.calcCh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xr:revisionPtr revIDLastSave="777" documentId="11_C2338DEABB47C70F97E819E7E0BCBE8359B1E8BC" xr6:coauthVersionLast="47" xr6:coauthVersionMax="47" xr10:uidLastSave="{6BCBAE48-1C46-4616-8AB3-7BC6010D4A83}"/>
  <bookViews>
    <workbookView xWindow="0" yWindow="0" windowWidth="0" windowHeight="0" xr2:uid="{00000000-000D-0000-FFFF-FFFF00000000}"/>
  </bookViews>
  <sheets>
    <sheet name="Overview" sheetId="1" r:id="rId1"/>
    <sheet name="Line Items" sheetId="2" r:id="rId2"/>
    <sheet name="Variance Summary" sheetId="3" r:id="rId3"/>
    <sheet name="Approvals Log" sheetId="4" r:id="rId4"/>
    <sheet name="Benchmarks" sheetId="5" r:id="rId5"/>
    <sheet name="Source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3" l="1"/>
  <c r="B28" i="3"/>
  <c r="B27" i="3"/>
  <c r="B26" i="3"/>
  <c r="B25" i="3"/>
  <c r="B24" i="3"/>
  <c r="B23" i="3"/>
  <c r="B22" i="3"/>
  <c r="B21" i="3"/>
  <c r="C17" i="3"/>
  <c r="B17" i="3"/>
  <c r="C16" i="3"/>
  <c r="B16" i="3"/>
  <c r="F13" i="3"/>
  <c r="F12" i="3"/>
  <c r="E12" i="3"/>
  <c r="D12" i="3"/>
  <c r="C12" i="3"/>
  <c r="B12" i="3"/>
  <c r="F11" i="3"/>
  <c r="E11" i="3"/>
  <c r="D11" i="3"/>
  <c r="C11" i="3"/>
  <c r="B11" i="3"/>
  <c r="F10" i="3"/>
  <c r="E10" i="3"/>
  <c r="D10" i="3"/>
  <c r="C10" i="3"/>
  <c r="B10" i="3"/>
  <c r="F9" i="3"/>
  <c r="E9" i="3"/>
  <c r="D9" i="3"/>
  <c r="C9" i="3"/>
  <c r="B9" i="3"/>
  <c r="F6" i="3"/>
  <c r="F5" i="3"/>
  <c r="E5" i="3"/>
  <c r="D5" i="3"/>
  <c r="C5" i="3"/>
  <c r="B5" i="3"/>
  <c r="F4" i="3"/>
  <c r="E4" i="3"/>
  <c r="D4" i="3"/>
  <c r="C4" i="3"/>
  <c r="B4" i="3"/>
  <c r="G35" i="3"/>
  <c r="B35" i="3"/>
  <c r="G34" i="3"/>
  <c r="B34" i="3"/>
  <c r="B33" i="3"/>
  <c r="B32" i="3"/>
  <c r="E13" i="3"/>
  <c r="D13" i="3"/>
  <c r="C13" i="3"/>
  <c r="B13" i="3"/>
  <c r="E6" i="3"/>
  <c r="D6" i="3"/>
  <c r="C6" i="3"/>
  <c r="B6" i="3"/>
  <c r="B18" i="3" s="1"/>
  <c r="J12" i="2"/>
  <c r="I12" i="2"/>
  <c r="H12" i="2"/>
  <c r="G12" i="2"/>
  <c r="J11" i="2"/>
  <c r="I11" i="2"/>
  <c r="J10" i="2"/>
  <c r="I10" i="2"/>
  <c r="J9" i="2"/>
  <c r="I9" i="2"/>
  <c r="J8" i="2"/>
  <c r="I8" i="2"/>
  <c r="J7" i="2"/>
  <c r="I7" i="2"/>
  <c r="J6" i="2"/>
  <c r="I6" i="2"/>
  <c r="J5" i="2"/>
  <c r="I5" i="2"/>
  <c r="J4" i="2"/>
  <c r="I4" i="2"/>
  <c r="C18" i="3" l="1"/>
</calcChain>
</file>

<file path=xl/sharedStrings.xml><?xml version="1.0" encoding="utf-8"?>
<sst xmlns="http://schemas.openxmlformats.org/spreadsheetml/2006/main" count="693" uniqueCount="418">
  <si>
    <t>Budget &amp; Spend Review — FY2026 Q3 (1 Jul – 30 Sep 2026)</t>
  </si>
  <si>
    <t>Prepared for Bojan Buhac, How2Demos · Prepared 3 September 2026 · Primary source: M365 Work IQ (email, Teams, calendar, files) · Secondary: public web benchmarks</t>
  </si>
  <si>
    <t>Item</t>
  </si>
  <si>
    <t>Detail</t>
  </si>
  <si>
    <t>Fiscal period reviewed</t>
  </si>
  <si>
    <t>FY2026 Q3 — 1 July to 30 September 2026. Assumed calendar-quarter fiscal period: no fiscal-calendar definition was found in M365. Adjust the period if your fiscal year differs.</t>
  </si>
  <si>
    <t>Internal sources scanned</t>
  </si>
  <si>
    <t>Outlook mail (keyword searches: budget, cost, spend, invoice, approval, purchase order, procurement, vendor, quote, pricing, billing, subscription, licence; plus the complete Cowork plan approval thread 15 Jul – 3 Sep 2026), Teams chats and channel messages, Outlook calendar, SharePoint/OneDrive files (semantic search for budgets, invoices, pricing, statements of work, forecasts and variance reports).</t>
  </si>
  <si>
    <t>What WAS found internally</t>
  </si>
  <si>
    <t>34 Cowork plan change requests and 41 approval/completion notices (15 Jul – 3 Sep 2026) that set approved monthly AI-consumption credit allowances per user; one Statement of Work (T.I.G.RE.S Phase 1 for TITAN Group, rev. 16 Jul 2026) with no fee schedule; one procurement approval-threshold reference (Zava S2P process map — sample content).</t>
  </si>
  <si>
    <t>What was NOT found internally</t>
  </si>
  <si>
    <t>No invoices, purchase orders, vendor quotes, monetary budgets or actual-spend figures for the period exist in your mailbox, Teams or files. Cowork usage data (credits actually consumed) is not held in M365, so every Actual cell is blank for you to fill from the Cowork admin usage report. Nothing has been invented.</t>
  </si>
  <si>
    <t>Prior draft</t>
  </si>
  <si>
    <t>A draft 'Budget and Spend Review - FY2026 Q3' created earlier today (3 Sep 2026, 15:01) exists in your Cowork folder. This workbook supersedes it: it adds the full approvals log and the per-user allowance lines, and drops the draft's placeholder-only rows.</t>
  </si>
  <si>
    <t>External sources (web, 3 Sep 2026)</t>
  </si>
  <si>
    <t>Statistics Canada (CPI July 2026), Bank of Canada (MPR July 2026), U.S. Bureau of Labor Statistics (CPI, PPI, Employment Cost Index), Eurostat (HICP flash August 2026), UK Office for National Statistics (CPI July 2026), OECD Government at a Glance 2025, GovDash (FAR escalation guidance, Aug 2026). Details and links on the Benchmarks and Sources sheets.</t>
  </si>
  <si>
    <t>Sheet map</t>
  </si>
  <si>
    <t>What it holds</t>
  </si>
  <si>
    <t>Line Items</t>
  </si>
  <si>
    <t>One row per budget line — item, owner, planned, actual, variance, comment, source. Variance = Planned − Actual (positive = headroom / under budget).</t>
  </si>
  <si>
    <t>Variance Summary</t>
  </si>
  <si>
    <t>Totals by category and by department, approval-confirmed vs requested ceilings, control checks, monetary equivalent block, and a chart of allowances by owner.</t>
  </si>
  <si>
    <t>Approvals Log</t>
  </si>
  <si>
    <t>Every Cowork plan change request found for the period, with plan, credit limit, validity, approver, business justification and approval status.</t>
  </si>
  <si>
    <t>Benchmarks</t>
  </si>
  <si>
    <t>Public-sector inflation and procurement cost indicators — value, period, relevance, publisher, URL.</t>
  </si>
  <si>
    <t>Sources</t>
  </si>
  <si>
    <t>Every internal and external source cited in this workbook, with dates and links.</t>
  </si>
  <si>
    <t>How to read the numbers</t>
  </si>
  <si>
    <t>Rule</t>
  </si>
  <si>
    <t>Units</t>
  </si>
  <si>
    <t>Cowork lines are in Cowork credits per user per month — the unit used in the approval notices. The professional-services line is in currency. Category rows on Variance Summary keep the two apart; do not add them together.</t>
  </si>
  <si>
    <t>Blank cells</t>
  </si>
  <si>
    <t>A blank Planned or Actual cell means no figure exists in the scanned M365 content. Type real figures and every variance, subtotal, total and check recalculates.</t>
  </si>
  <si>
    <t>Formulas</t>
  </si>
  <si>
    <t>Variance, variance %, subtotals, totals, counts and control checks are live Excel formulas, not pasted values.</t>
  </si>
  <si>
    <t>External context for rate assumptions and escalation clauses. They are not How2Demos actuals and must not be read as spend.</t>
  </si>
  <si>
    <t>Assumptions (blue = editable input)</t>
  </si>
  <si>
    <t>Value</t>
  </si>
  <si>
    <t>Note</t>
  </si>
  <si>
    <t>Credit price (currency per 1,000 credits)</t>
  </si>
  <si>
    <t>Not found in M365 — enter your contracted rate to populate the monetary block on Variance Summary.</t>
  </si>
  <si>
    <t>Currency</t>
  </si>
  <si>
    <t>USD</t>
  </si>
  <si>
    <t>Reporting currency for the monetary block.</t>
  </si>
  <si>
    <t>Months in fiscal period</t>
  </si>
  <si>
    <t>Used to convert monthly allowances into a quarter equivalent.</t>
  </si>
  <si>
    <t>Budget line items — FY2026 Q3 (1 Jul – 30 Sep 2026)</t>
  </si>
  <si>
    <t>Cowork lines: Planned = approved monthly credit allowance per user; Actual = credits consumed (not held in M365 — fill from the Cowork usage report). Variance = Planned − Actual; positive = headroom. Blank = no figure exists in the scanned content. To add a line, insert a row above the TOTAL row so the summary ranges expand.</t>
  </si>
  <si>
    <t>ID</t>
  </si>
  <si>
    <t>Category</t>
  </si>
  <si>
    <t>Owner</t>
  </si>
  <si>
    <t>Department</t>
  </si>
  <si>
    <t>Unit</t>
  </si>
  <si>
    <t>Planned</t>
  </si>
  <si>
    <t>Actual</t>
  </si>
  <si>
    <t>Variance</t>
  </si>
  <si>
    <t>Variance %</t>
  </si>
  <si>
    <t>Status</t>
  </si>
  <si>
    <t>Comment</t>
  </si>
  <si>
    <t>Source</t>
  </si>
  <si>
    <t>L-01</t>
  </si>
  <si>
    <t>Cowork plan — Business Catalyst (uncapped allowance)</t>
  </si>
  <si>
    <t>AI consumption allowance (Cowork)</t>
  </si>
  <si>
    <t>Bojan Buhac</t>
  </si>
  <si>
    <t>External Consultant</t>
  </si>
  <si>
    <t>credits / month</t>
  </si>
  <si>
    <t>Approved (3 Sep 2026)</t>
  </si>
  <si>
    <t>Plan user limit 'No limit', validity Permanent, justification 'Want to conduct performance testing'. Approved by Lisa Taylor. Uncapped, so no numeric ceiling is entered — track Actual against the 50,000-credit Business Plus tier used as the previous top allowance. Supersedes the temporary Business (10,000, to 15 Aug) and Business Plus (50,000, to 13 Aug) allowances approved in August. Actual credits consumed are not held in M365 — source from the Cowork admin usage report.</t>
  </si>
  <si>
    <t>Email 'New Cowork plan change' (Microsoft Power Automate, 3 Sep 2026 11:44 UTC); email 'Plan request approved' (3 Sep 2026 11:45 UTC, cc Lisa Taylor)</t>
  </si>
  <si>
    <t>L-02</t>
  </si>
  <si>
    <t>Cowork plan — Business Plus</t>
  </si>
  <si>
    <t>Bharat Kumar</t>
  </si>
  <si>
    <t>Human Resources</t>
  </si>
  <si>
    <t>Approved (13 Aug 2026)</t>
  </si>
  <si>
    <t>Permanent Business Plus allowance approved by Lisa Taylor 13 Aug ('Need for project'). On 27 Aug a reduction to Business (10,000 credits/month, temporary) was requested — 'My project is over, reducing my limit' — but no approval notice for it reached your mailbox, so the 50,000 ceiling is treated as still in force. Confirm with Lisa Taylor.</t>
  </si>
  <si>
    <t>Emails 'New Cowork plan change' 13 Aug 2026 09:18 UTC and 27 Aug 2026 07:19 UTC; 'Plan request approved' 13 Aug 2026 09:19 UTC</t>
  </si>
  <si>
    <t>L-03</t>
  </si>
  <si>
    <t>Cowork plan — Business Plus (temporary)</t>
  </si>
  <si>
    <t>Logan Hu</t>
  </si>
  <si>
    <t>Approved (19 Aug 2026) — expired 29 Aug 2026</t>
  </si>
  <si>
    <t>Temporary allowance valid to 29 Aug 2026 ('I need more credit, thanks!'), approved by Sonia Rees. The base plan the user reverts to after expiry is not stated in the notices.</t>
  </si>
  <si>
    <t>Email 'New Cowork plan change' 19 Aug 2026 04:09 UTC; 'Plan request approved' 19 Aug 2026 09:45 UTC (cc Sonia Rees)</t>
  </si>
  <si>
    <t>L-04</t>
  </si>
  <si>
    <t>Zafar UI Islam</t>
  </si>
  <si>
    <t>Finance Services</t>
  </si>
  <si>
    <t>Requested (17 Aug 2026) — no approval notice found</t>
  </si>
  <si>
    <t>Permanent request addressed to Mario Rogers: 'working on some high impact projects and need Cowork access with higher credit tier'. No approval or completion notice for this request reached your mailbox — confirm with Mario Rogers before counting it as committed.</t>
  </si>
  <si>
    <t>Email 'New Cowork plan change' 17 Aug 2026 14:28 UTC</t>
  </si>
  <si>
    <t>L-05</t>
  </si>
  <si>
    <t>Cowork plan — Getting Started</t>
  </si>
  <si>
    <t>Sam Mashburn</t>
  </si>
  <si>
    <t>Permanent entry-tier request addressed to Sonia Rees; justification 'testing'.</t>
  </si>
  <si>
    <t>Email 'New Cowork plan change' 17 Aug 2026 22:29 UTC</t>
  </si>
  <si>
    <t>L-06</t>
  </si>
  <si>
    <t>Kevin Wright</t>
  </si>
  <si>
    <t>Not stated</t>
  </si>
  <si>
    <t>Requested (31 Jul 2026) — no approval notice found</t>
  </si>
  <si>
    <t>Entry-tier request addressed to Monica Thompson. Department and justification are not included in this notice format.</t>
  </si>
  <si>
    <t>Email 'New Cowork plan change' 31 Jul 2026 19:37 UTC</t>
  </si>
  <si>
    <t>L-07</t>
  </si>
  <si>
    <t>Cowork plan — custom plan 'Joe Fazzari' (Copilot Cowork, Work IQ API)</t>
  </si>
  <si>
    <t>Joe Fazzari</t>
  </si>
  <si>
    <t>Requested (18 Jul 2026) — approval unconfirmed</t>
  </si>
  <si>
    <t>Ten requests between 16 and 18 Jul 2026 alternating between 3,000, 10,000 and 50,000 credits/month; the latest (18 Jul 14:42 UTC) asks for 50,000. Monica Thompson issued approval notices 16–18 Jul and completion notices on 5 Aug, but none maps unambiguously to the final request — confirm the tier in force.</t>
  </si>
  <si>
    <t>Emails 'New Cowork plan change' 16–18 Jul 2026 (10 notices); 'Plan request approved' 16 Jul – 5 Aug 2026 (cc Monica Thompson)</t>
  </si>
  <si>
    <t>L-08</t>
  </si>
  <si>
    <t>Professional services — T.I.G.RE.S Phase 1 (design &amp; build, TITAN Group)</t>
  </si>
  <si>
    <t>Professional services</t>
  </si>
  <si>
    <t>currency</t>
  </si>
  <si>
    <t>SOW v1.7 (16 Jul 2026) — no commercials</t>
  </si>
  <si>
    <t>The Statement of Work defines scope, architecture, deliverables, Phase 0/1 timeline and risks but carries no fee schedule or day rates; 'Licensing procurement or commercial negotiations' is explicitly out of scope and Phase 2 items are indicative only. Enter the agreed fee once a commercial schedule exists.</t>
  </si>
  <si>
    <t>File 'T.I.G.RE.S SOW v1.7' (SharePoint site AIAC, Evidences/TITAN), revision dated 16 Jul 2026; earlier 'T.I.G.RE.S SOW v1.6' (15 Jun 2026)</t>
  </si>
  <si>
    <t>TOTAL — credit lines (credits / month)</t>
  </si>
  <si>
    <t>Sums only the credit-denominated lines so units are never mixed. Variance % uses planned amounts on lines that also carry an actual.</t>
  </si>
  <si>
    <t>Variance summary — FY2026 Q3 (1 Jul – 30 Sep 2026)</t>
  </si>
  <si>
    <t>Every figure is a live formula over the 'Line Items' sheet. Cowork lines are in credits per user per month; the professional-services line is in currency — read category rows separately, the all-category total is a count-and-formula check, not a spend figure. Variance and Variance % include only lines that carry both a Planned and an Actual.</t>
  </si>
  <si>
    <t>Lines</t>
  </si>
  <si>
    <t>Seven users with approved or requested monthly credit allowances. Three Business Plus ceilings (50,000 credits) dominate; Bojan Buhac's Business Catalyst plan is uncapped and therefore carries no planned figure. Actuals require the Cowork usage report.</t>
  </si>
  <si>
    <t>T.I.G.RE.S Phase 1 Statement of Work carries no fee schedule; Phase 2 commercials are not agreed. Enter the fee once a commercial schedule exists (currency, not credits).</t>
  </si>
  <si>
    <t>TOTAL — all categories</t>
  </si>
  <si>
    <t>Units are mixed across the two categories — use this row for the count and the reconciliation checks below, not as a spend total.</t>
  </si>
  <si>
    <t>Bharat Kumar, Logan Hu and Sam Mashburn — 103,000 credits/month requested or approved; Logan Hu's 50,000 temporary allowance expired 29 Aug.</t>
  </si>
  <si>
    <t>Bojan Buhac — Business Catalyst (uncapped) plus the T.I.G.RE.S SOW line.</t>
  </si>
  <si>
    <t>Zafar UI Islam — 50,000 credits/month requested 17 Aug; no approval notice found.</t>
  </si>
  <si>
    <t>Kevin Wright and Joe Fazzari — the notice format for their requests carries no department.</t>
  </si>
  <si>
    <t>TOTAL — all departments</t>
  </si>
  <si>
    <t>Should equal the category total above; the control check below confirms it.</t>
  </si>
  <si>
    <t>Approval status view</t>
  </si>
  <si>
    <t>Confirmed approved (Status begins 'Approved')</t>
  </si>
  <si>
    <t>Ceilings backed by a 'Plan request approved' notice in your mailbox (includes Logan Hu's expired temporary allowance).</t>
  </si>
  <si>
    <t>Requested — approval not confirmed</t>
  </si>
  <si>
    <t>Requests with no matching approval notice in your mailbox — confirm with the approvers (Mario Rogers, Sonia Rees, Monica Thompson) before treating as committed.</t>
  </si>
  <si>
    <t>Other (no commercials)</t>
  </si>
  <si>
    <t>The T.I.G.RE.S SOW line.</t>
  </si>
  <si>
    <t>Controls and coverage</t>
  </si>
  <si>
    <t>Meaning</t>
  </si>
  <si>
    <t>Line items captured</t>
  </si>
  <si>
    <t>Rows in the Line Items data block (rows 4–11) with an item name. To add a line, insert a row inside the block, above the TOTAL row — every range here expands automatically.</t>
  </si>
  <si>
    <t>Lines with a planned figure</t>
  </si>
  <si>
    <t>Numeric Planned cells only — blanks and text are not counted.</t>
  </si>
  <si>
    <t>Lines with an actual figure</t>
  </si>
  <si>
    <t>Numeric Actual cells only. Zero until the Cowork usage report is entered.</t>
  </si>
  <si>
    <t>Lines over budget (negative variance)</t>
  </si>
  <si>
    <t>Populates once actuals are entered.</t>
  </si>
  <si>
    <t>Check: category totals − line-item planned total (should be 0)</t>
  </si>
  <si>
    <t>Non-zero means a line's Category is spelled differently from the list above.</t>
  </si>
  <si>
    <t>Check: department totals − line-item planned total (should be 0)</t>
  </si>
  <si>
    <t>Non-zero means a line's Department is spelled differently from the list above.</t>
  </si>
  <si>
    <t>Approval requests logged (Approvals Log)</t>
  </si>
  <si>
    <t>Cowork plan change requests found for 16 Jul – 3 Sep 2026.</t>
  </si>
  <si>
    <t>Requests matched to an approval or completion notice</t>
  </si>
  <si>
    <t>Same-day notice for the same person found in your mailbox.</t>
  </si>
  <si>
    <t>Requests with no approval notice found</t>
  </si>
  <si>
    <t>Follow up with the named approver.</t>
  </si>
  <si>
    <t>Monetary equivalent (needs the credit price on the Overview sheet)</t>
  </si>
  <si>
    <t>Credit price (per 1,000 credits)</t>
  </si>
  <si>
    <t>Blank until you enter your contracted rate in Overview cell B26.</t>
  </si>
  <si>
    <t>Planned monthly credit allowance — all credit lines (credits)</t>
  </si>
  <si>
    <t>Sum of the Cowork category Planned column.</t>
  </si>
  <si>
    <t>Planned monthly cost</t>
  </si>
  <si>
    <t>Planned quarter cost</t>
  </si>
  <si>
    <t>Approvals log — Cowork plan change requests, FY2026 Q3 (16 Jul – 3 Sep 2026)</t>
  </si>
  <si>
    <t>Every 'New Cowork plan change' approval request found in your mailbox for the period (Microsoft Power Automate notices). Approval status is matched to 'Plan request approved' / 'request has been completed' notices for the same person on the same day; 41 unique notices were found between 15 Jul and 3 Sep 2026, some of which (15–17 Jul, incl. one for Omar Bennett on 16 Jul) have no matching request notice. All times UTC. Plan tiers seen: Getting Started 3,000 · Business 10,000 · Business Plus 50,000 credits per user per month · Business Catalyst uncapped.</t>
  </si>
  <si>
    <t>No.</t>
  </si>
  <si>
    <t>Date requested (UTC)</t>
  </si>
  <si>
    <t>Requested for</t>
  </si>
  <si>
    <t>Plan</t>
  </si>
  <si>
    <t>Monthly credit limit (credits)</t>
  </si>
  <si>
    <t>Validity</t>
  </si>
  <si>
    <t>Until</t>
  </si>
  <si>
    <t>Approver addressed / approving</t>
  </si>
  <si>
    <t>Business justification</t>
  </si>
  <si>
    <t>Approval status (matched to notices in your mailbox)</t>
  </si>
  <si>
    <t>Custom plan 'Joe Fazzari' (Copilot Cowork, Work IQ API)</t>
  </si>
  <si>
    <t>Monica Thompson</t>
  </si>
  <si>
    <t>Approved 16 Jul 2026 16:14 (Monica Thompson) — one notice covers the two same-day requests</t>
  </si>
  <si>
    <t>Email 'New Cowork plan change' (Microsoft Power Automate), 2026-07-16 15:40 UTC</t>
  </si>
  <si>
    <t>Email 'New Cowork plan change' (Microsoft Power Automate), 2026-07-16 16:12 UTC</t>
  </si>
  <si>
    <t>No matching approval notice found (the next notice, 12:26, follows the 12:23 request)</t>
  </si>
  <si>
    <t>Email 'New Cowork plan change' (Microsoft Power Automate), 2026-07-17 03:06 UTC</t>
  </si>
  <si>
    <t>Approved 17 Jul 2026 12:26; completion notice 12:36 (Monica Thompson)</t>
  </si>
  <si>
    <t>Email 'New Cowork plan change' (Microsoft Power Automate), 2026-07-17 12:23 UTC</t>
  </si>
  <si>
    <t>Approved 17 Jul 2026 13:19 (Monica Thompson)</t>
  </si>
  <si>
    <t>Email 'New Cowork plan change' (Microsoft Power Automate), 2026-07-17 13:19 UTC</t>
  </si>
  <si>
    <t>Approved 17 Jul 2026 16:28 (Monica Thompson)</t>
  </si>
  <si>
    <t>Email 'New Cowork plan change' (Microsoft Power Automate), 2026-07-17 16:27 UTC</t>
  </si>
  <si>
    <t>Approved 17 Jul 2026 23:31 (Monica Thompson)</t>
  </si>
  <si>
    <t>Email 'New Cowork plan change' (Microsoft Power Automate), 2026-07-17 23:31 UTC</t>
  </si>
  <si>
    <t>Completion notice 17 Jul 2026 23:38 (Monica Thompson) — no separate approval notice</t>
  </si>
  <si>
    <t>Email 'New Cowork plan change' (Microsoft Power Automate), 2026-07-17 23:36 UTC</t>
  </si>
  <si>
    <t>Approved 18 Jul 2026 14:37 (Monica Thompson)</t>
  </si>
  <si>
    <t>Email 'New Cowork plan change' (Microsoft Power Automate), 2026-07-18 14:36 UTC</t>
  </si>
  <si>
    <t>No approval notice found; completion notices 5 Aug 2026 12:26 and 15:16 (Monica Thompson)</t>
  </si>
  <si>
    <t>Email 'New Cowork plan change' (Microsoft Power Automate), 2026-07-18 14:42 UTC</t>
  </si>
  <si>
    <t>Custom plan 'Bojan Buhac' (Copilot Cowork, Work IQ API) — no limit</t>
  </si>
  <si>
    <t>Lisa Taylor</t>
  </si>
  <si>
    <t>Approved 20 Jul 2026 08:13 (Lisa Taylor)</t>
  </si>
  <si>
    <t>Email 'New Cowork plan change' (Microsoft Power Automate), 2026-07-20 08:12 UTC</t>
  </si>
  <si>
    <t>Custom plan 'Bojan Buhac' (Copilot Cowork, Work IQ API)</t>
  </si>
  <si>
    <t>Approved 20 Jul 2026 11:01 (Lisa Taylor)</t>
  </si>
  <si>
    <t>Email 'New Cowork plan change' (Microsoft Power Automate), 2026-07-20 11:01 UTC</t>
  </si>
  <si>
    <t>Completion notice 20 Jul 2026 11:17 (Lisa Taylor) — no separate approval notice</t>
  </si>
  <si>
    <t>Email 'New Cowork plan change' (Microsoft Power Automate), 2026-07-20 11:14 UTC</t>
  </si>
  <si>
    <t>Getting Started</t>
  </si>
  <si>
    <t>No approval notice found</t>
  </si>
  <si>
    <t>Email 'New Cowork plan change' (Microsoft Power Automate), 2026-07-20 11:38 UTC</t>
  </si>
  <si>
    <t>Business</t>
  </si>
  <si>
    <t>Email 'New Cowork plan change' (Microsoft Power Automate), 2026-07-20 11:46 UTC</t>
  </si>
  <si>
    <t>Approved 21 Jul 2026 08:44 (Lisa Taylor)</t>
  </si>
  <si>
    <t>Email 'New Cowork plan change' (Microsoft Power Automate), 2026-07-21 08:44 UTC</t>
  </si>
  <si>
    <t>Business Catalyst — no limit</t>
  </si>
  <si>
    <t>Approved 24 Jul 2026 09:13 (Lisa Taylor)</t>
  </si>
  <si>
    <t>Email 'New Cowork plan change' (Microsoft Power Automate), 2026-07-24 09:12 UTC</t>
  </si>
  <si>
    <t>Email 'New Cowork plan change' (Microsoft Power Automate), 2026-07-31 19:37 UTC</t>
  </si>
  <si>
    <t>Cowork-Plan-Approvers group</t>
  </si>
  <si>
    <t>No approval notice found after the request (completion notices at 11:14 and 14:55 precede it); request notice sent twice</t>
  </si>
  <si>
    <t>Email 'New Cowork plan change' (Microsoft Power Automate), 2026-08-03 15:04 UTC</t>
  </si>
  <si>
    <t>Approved 6 Aug 2026 14:03 (Lisa Taylor) — one notice for the three same-day requests</t>
  </si>
  <si>
    <t>Email 'New Cowork plan change' (Microsoft Power Automate), 2026-08-06 13:38 UTC</t>
  </si>
  <si>
    <t>Email 'New Cowork plan change' (Microsoft Power Automate), 2026-08-06 13:53 UTC</t>
  </si>
  <si>
    <t>Business Plus</t>
  </si>
  <si>
    <t>Temporary</t>
  </si>
  <si>
    <t>Some more credits for our new project</t>
  </si>
  <si>
    <t>Completion notice 6 Aug 2026 14:07 (Lisa Taylor)</t>
  </si>
  <si>
    <t>Email 'New Cowork plan change' (Microsoft Power Automate), 2026-08-06 14:05 UTC</t>
  </si>
  <si>
    <t>Permanent</t>
  </si>
  <si>
    <t>I need it for my new project</t>
  </si>
  <si>
    <t>Approved 7 Aug 2026 05:41 (Lisa Taylor)</t>
  </si>
  <si>
    <t>Email 'New Cowork plan change' (Microsoft Power Automate), 2026-08-07 05:40 UTC</t>
  </si>
  <si>
    <t>I need this ASAP</t>
  </si>
  <si>
    <t>Approved 12 Aug 2026 07:27 (Lisa Taylor)</t>
  </si>
  <si>
    <t>Email 'New Cowork plan change' (Microsoft Power Automate), 2026-08-12 07:26 UTC</t>
  </si>
  <si>
    <t>Permanent (notice also shows an 'Until' date)</t>
  </si>
  <si>
    <t>I need this now</t>
  </si>
  <si>
    <t>Approved 12 Aug 2026 07:52 (Lisa Taylor)</t>
  </si>
  <si>
    <t>Email 'New Cowork plan change' (Microsoft Power Automate), 2026-08-12 07:52 UTC</t>
  </si>
  <si>
    <t>Need it now</t>
  </si>
  <si>
    <t>Approved 12 Aug 2026 07:55 (Lisa Taylor)</t>
  </si>
  <si>
    <t>Email 'New Cowork plan change' (Microsoft Power Automate), 2026-08-12 07:55 UTC</t>
  </si>
  <si>
    <t>Project is over</t>
  </si>
  <si>
    <t>Approved 13 Aug 2026 05:44 (Lisa Taylor)</t>
  </si>
  <si>
    <t>Email 'New Cowork plan change' (Microsoft Power Automate), 2026-08-13 05:44 UTC</t>
  </si>
  <si>
    <t>Need for project</t>
  </si>
  <si>
    <t>Approved 13 Aug 2026 09:19 (Lisa Taylor)</t>
  </si>
  <si>
    <t>Email 'New Cowork plan change' (Microsoft Power Automate), 2026-08-13 09:18 UTC</t>
  </si>
  <si>
    <t>Got to close sales deal</t>
  </si>
  <si>
    <t>Approved 14 Aug 2026 08:59 (Lisa Taylor); completion notice 15 Aug 2026 23:00</t>
  </si>
  <si>
    <t>Email 'New Cowork plan change' (Microsoft Power Automate), 2026-08-14 08:55 UTC</t>
  </si>
  <si>
    <t>Mario Rogers</t>
  </si>
  <si>
    <t>Hi Mario, I am working on some high impact projects and need Cowork access with higher credit tier.</t>
  </si>
  <si>
    <t>Email 'New Cowork plan change' (Microsoft Power Automate), 2026-08-17 14:28 UTC</t>
  </si>
  <si>
    <t>Sonia Rees</t>
  </si>
  <si>
    <t>testing</t>
  </si>
  <si>
    <t>Email 'New Cowork plan change' (Microsoft Power Automate), 2026-08-17 22:29 UTC</t>
  </si>
  <si>
    <t>I need more credit, thanks!</t>
  </si>
  <si>
    <t>Approved 19 Aug 2026 09:45 (Sonia Rees)</t>
  </si>
  <si>
    <t>Email 'New Cowork plan change' (Microsoft Power Automate), 2026-08-19 04:08 UTC</t>
  </si>
  <si>
    <t>Temporary (no end date given)</t>
  </si>
  <si>
    <t>My project is over, redicing my limit [sic]</t>
  </si>
  <si>
    <t>Email 'New Cowork plan change' (Microsoft Power Automate), 2026-08-27 07:18 UTC</t>
  </si>
  <si>
    <t>Want to conduct performance testing</t>
  </si>
  <si>
    <t>Approved 3 Sep 2026 11:45 (Lisa Taylor)</t>
  </si>
  <si>
    <t>Email 'New Cowork plan change' (Microsoft Power Automate), 2026-09-03 11:43 UTC</t>
  </si>
  <si>
    <t>External benchmarks — public-sector inflation and procurement cost indicators</t>
  </si>
  <si>
    <t>Public context for rate assumptions, escalation clauses and supplier price-increase requests. Retrieved by web search on 3 September 2026. These are NOT How2Demos actuals and must not be read as spend.</t>
  </si>
  <si>
    <t>Indicator</t>
  </si>
  <si>
    <t>Period / as of</t>
  </si>
  <si>
    <t>Why it matters for this review</t>
  </si>
  <si>
    <t>Publisher</t>
  </si>
  <si>
    <t>URL</t>
  </si>
  <si>
    <t>B-01</t>
  </si>
  <si>
    <t>Public procurement spending, OECD average</t>
  </si>
  <si>
    <t>% of GDP</t>
  </si>
  <si>
    <t>2023 (Government at a Glance 2025)</t>
  </si>
  <si>
    <t>Scale of public-sector buying power: up from 12.2% in 2019 and slightly below the 13% peak of 2021. Frames how material procurement price movements are for public budgets.</t>
  </si>
  <si>
    <t>OECD — Government at a Glance 2025, 'Size of public procurement'</t>
  </si>
  <si>
    <t>https://www.oecd.org/en/publications/government-at-a-glance-2025_0efd0bcd-en/full-report/size-of-public-procurement_6979cd47.html</t>
  </si>
  <si>
    <t>B-02</t>
  </si>
  <si>
    <t>Canada CPI, all-items, 12-month change</t>
  </si>
  <si>
    <t>%</t>
  </si>
  <si>
    <t>July 2026 (released 17 Aug 2026)</t>
  </si>
  <si>
    <t>Up from 2.8% in June — the headline escalation basis for Canadian-dollar public contracts (your office is Toronto). Bank of Canada core measures (median and trim) averaged 2.0%.</t>
  </si>
  <si>
    <t>Statistics Canada — The Daily, Consumer Price Index, July 2026</t>
  </si>
  <si>
    <t>https://www150.statcan.gc.ca/n1/daily-quotidien/260817/dq260817a-eng.htm</t>
  </si>
  <si>
    <t>B-03</t>
  </si>
  <si>
    <t>Bank of Canada inflation projection</t>
  </si>
  <si>
    <t>% (projected, 'around 2%')</t>
  </si>
  <si>
    <t>Monetary Policy Report, July 2026</t>
  </si>
  <si>
    <t>The Bank projects inflation easing to around 2% — a defensible medium-term escalation assumption for multi-year Canadian public contracts; near-term prints (3.0%) are running above it.</t>
  </si>
  <si>
    <t>Bank of Canada — Monetary Policy Report, July 2026</t>
  </si>
  <si>
    <t>https://www.bankofcanada.ca/publications/mpr/mpr-2026-07-15/</t>
  </si>
  <si>
    <t>B-04</t>
  </si>
  <si>
    <t>US CPI-U, all items, 12-month change</t>
  </si>
  <si>
    <t>12 months to July 2026</t>
  </si>
  <si>
    <t>Down from 3.5% in June; core (all items less food and energy) 2.5%. The standard CPI escalation basis for US-dollar contracts and the most common EPA index in FAR clauses.</t>
  </si>
  <si>
    <t>U.S. Bureau of Labor Statistics — Consumer Price Index Summary, July 2026</t>
  </si>
  <si>
    <t>https://www.bls.gov/news.release/cpi.nr0.htm</t>
  </si>
  <si>
    <t>B-05</t>
  </si>
  <si>
    <t>US Producer Price Index, final demand, 12-month change</t>
  </si>
  <si>
    <t>% (unadjusted)</t>
  </si>
  <si>
    <t>Producer prices are running well ahead of consumer prices — the relevant index for goods- and materials-heavy procurement and for testing supplier price-increase requests.</t>
  </si>
  <si>
    <t>U.S. Bureau of Labor Statistics — Producer Price Index News Release, July 2026</t>
  </si>
  <si>
    <t>https://www.bls.gov/news.release/archives/ppi_08132026.htm</t>
  </si>
  <si>
    <t>B-06</t>
  </si>
  <si>
    <t>US Employment Cost Index — state and local government compensation</t>
  </si>
  <si>
    <t>% (12-month, not seasonally adjusted)</t>
  </si>
  <si>
    <t>12 months to June 2026</t>
  </si>
  <si>
    <t>Public-sector labour cost inflation: wages and salaries +3.4%, benefits +4.0%. The benchmark for in-house and outsourced public-sector staffing costs.</t>
  </si>
  <si>
    <t>U.S. Bureau of Labor Statistics — Employment Cost Index, June 2026 (benefits detail via Cornell ILR commentary)</t>
  </si>
  <si>
    <t>https://www.bls.gov/news.release/eci.nr0.htm</t>
  </si>
  <si>
    <t>B-07</t>
  </si>
  <si>
    <t>US Employment Cost Index — civilian workers compensation</t>
  </si>
  <si>
    <t>The reference point contracting officers accept for labour escalation in professional-services pricing; ECI has settled back to a 3–3.5% range after the 2021–22 spike.</t>
  </si>
  <si>
    <t>GovDash — Government Contract Escalation Rates Guide (Aug 2026), citing BLS ECI</t>
  </si>
  <si>
    <t>https://www.govdash.com/blog/escalation-rate-guide-government-contract-pricing</t>
  </si>
  <si>
    <t>B-08</t>
  </si>
  <si>
    <t>Typical labour-rate escalation in government contract option years</t>
  </si>
  <si>
    <t>% per year (market range 2–4%)</t>
  </si>
  <si>
    <t>2025–2026 market norm</t>
  </si>
  <si>
    <t>Range used for option-year pricing; 3% is the customary midpoint. Test any supplier escalation clause above 4% against a named index (CPI, PPI or ECI).</t>
  </si>
  <si>
    <t>GovDash — Government Contract Escalation Rates Guide (Aug 2026)</t>
  </si>
  <si>
    <t>B-09</t>
  </si>
  <si>
    <t>FAR 52.216-4 economic price adjustment limits</t>
  </si>
  <si>
    <t>% cap on unit-price increases; 3% net-change trigger</t>
  </si>
  <si>
    <t>Current US federal clause (as summarised Aug 2026)</t>
  </si>
  <si>
    <t>US federal guardrail: aggregate increases on any unit price cannot exceed 10% of the original, and no adjustment triggers unless the change is at least 3% of total contract price. A ready template for capping supplier escalation.</t>
  </si>
  <si>
    <t>GovDash guide (Aug 2026) summarising FAR 52.216-4</t>
  </si>
  <si>
    <t>B-10</t>
  </si>
  <si>
    <t>Euro area HICP annual inflation (flash estimate)</t>
  </si>
  <si>
    <t>August 2026 (flash, published 1 Sep 2026)</t>
  </si>
  <si>
    <t>Up from 2.9% in July, driven by energy. Escalation basis for euro-denominated contracts; relevant to your Central European working base.</t>
  </si>
  <si>
    <t>Eurostat — Euro indicators, 1 Sep 2026</t>
  </si>
  <si>
    <t>https://ec.europa.eu/eurostat/web/products-euro-indicators/w/2-01092026-ap</t>
  </si>
  <si>
    <t>B-11</t>
  </si>
  <si>
    <t>UK CPI annual inflation</t>
  </si>
  <si>
    <t>Up from 2.6% in June; CPIH 3.1%, core CPI 2.6%. Escalation basis for sterling contracts and UK public-sector price comparisons.</t>
  </si>
  <si>
    <t>UK Office for National Statistics — Consumer price inflation, UK: July 2026</t>
  </si>
  <si>
    <t>https://www.ons.gov.uk/economy/inflationandpriceindices/bulletins/consumerpriceinflation/july2026</t>
  </si>
  <si>
    <t>Sources cited in this workbook</t>
  </si>
  <si>
    <t>Internal sources come from your M365 Work IQ (Outlook, Teams, calendar, SharePoint/OneDrive); external sources were retrieved by web search on 3 September 2026.</t>
  </si>
  <si>
    <t>Type</t>
  </si>
  <si>
    <t>Author / publisher</t>
  </si>
  <si>
    <t>Date</t>
  </si>
  <si>
    <t>Where used</t>
  </si>
  <si>
    <t>Link / location</t>
  </si>
  <si>
    <t>S-01</t>
  </si>
  <si>
    <t>Internal — email</t>
  </si>
  <si>
    <t>'New Cowork plan change' approval-request notices — 34 requests carrying plan name, monthly credit limit, validity, approver and business justification</t>
  </si>
  <si>
    <t>Microsoft Power Automate flow (to Lisa Taylor, Sonia Rees, Monica Thompson, Mario Rogers or the Cowork-Plan-Approvers group)</t>
  </si>
  <si>
    <t>16 Jul – 3 Sep 2026</t>
  </si>
  <si>
    <t>Line Items L-01 to L-07; Approvals Log</t>
  </si>
  <si>
    <t>Your Outlook mailbox — search 'New Cowork plan change'</t>
  </si>
  <si>
    <t>S-02</t>
  </si>
  <si>
    <t>'Plan request approved' and 'request has been completed' notices — 41 unique notices</t>
  </si>
  <si>
    <t>Workflow notifications in your mailbox, cc the approving manager</t>
  </si>
  <si>
    <t>15 Jul – 3 Sep 2026</t>
  </si>
  <si>
    <t>Approval status on Line Items and Approvals Log</t>
  </si>
  <si>
    <t>Your Outlook mailbox — search 'Plan request approved'</t>
  </si>
  <si>
    <t>S-03</t>
  </si>
  <si>
    <t>'You've joined the GRP-Cowork-…-Spending-Policy group' notices (Low, Medium, Heavy, Unlimited, Pause tiers)</t>
  </si>
  <si>
    <t>Microsoft 365 Groups</t>
  </si>
  <si>
    <t>20 Jul – 15 Aug 2026</t>
  </si>
  <si>
    <t>Context only — the spending-policy tiers exist but the notices carry no monetary or credit limits</t>
  </si>
  <si>
    <t>Your Outlook mailbox</t>
  </si>
  <si>
    <t>S-04</t>
  </si>
  <si>
    <t>Internal — file</t>
  </si>
  <si>
    <t>'T.I.G.RE.S SOW v1.7' — Statement of Work, Titan Insight Generation and Reporting System (TITAN Group), Phase 1 scope, architecture, timeline and risks; no fee schedule</t>
  </si>
  <si>
    <t>Revision 16 Jul 2026 (v1.6 dated 15 Jun 2026)</t>
  </si>
  <si>
    <t>Line Items L-08</t>
  </si>
  <si>
    <t>SharePoint site AIAC › Evidences › TITAN</t>
  </si>
  <si>
    <t>S-05</t>
  </si>
  <si>
    <t>'Pillar2-Zava-S2P-Business_Process_Mapping' — source-to-pay process map with approval thresholds (&lt;$5K manager; $5K–$25K budget owner + procurement; &gt;$25K sourcing event), Net 30 default terms and baseline KPIs. Marked as SAMPLE content.</t>
  </si>
  <si>
    <t>Bojan Buhac (authors in the document are marked 'Sample')</t>
  </si>
  <si>
    <t>25 Mar 2026 / 15 Apr 2026</t>
  </si>
  <si>
    <t>Policy reference only — not How2Demos figures</t>
  </si>
  <si>
    <t>SharePoint site AIAC › Evidences › Zava S2P Agent</t>
  </si>
  <si>
    <t>S-06</t>
  </si>
  <si>
    <t>'Budget and Spend Review - FY2026 Q3' — earlier draft of this review</t>
  </si>
  <si>
    <t>Bojan Buhac (Cowork)</t>
  </si>
  <si>
    <t>Superseded by this workbook</t>
  </si>
  <si>
    <t>OneDrive › Documents › Cowork › Tasks</t>
  </si>
  <si>
    <t>S-07</t>
  </si>
  <si>
    <t>Internal — scan</t>
  </si>
  <si>
    <t>Outlook mail, Teams chats and channels, calendar and SharePoint/OneDrive searched for budget, cost, spend, invoice, approval, purchase order, procurement, vendor, quote, pricing, billing, subscription and licence — no monetary budget, invoice or purchase-order records found for the period</t>
  </si>
  <si>
    <t>M365 Work IQ</t>
  </si>
  <si>
    <t>Overview — negative result recorded</t>
  </si>
  <si>
    <t>—</t>
  </si>
  <si>
    <t>S-08</t>
  </si>
  <si>
    <t>External — web</t>
  </si>
  <si>
    <t>Government at a Glance 2025 — Size of public procurement (12.7% of GDP in 2023)</t>
  </si>
  <si>
    <t>OECD</t>
  </si>
  <si>
    <t>S-09</t>
  </si>
  <si>
    <t>The Daily — Consumer Price Index, July 2026 (CPI +3.0% year over year, June +2.8%)</t>
  </si>
  <si>
    <t>Statistics Canada</t>
  </si>
  <si>
    <t>S-10</t>
  </si>
  <si>
    <t>Monetary Policy Report — July 2026 (inflation projected to ease to around 2%)</t>
  </si>
  <si>
    <t>Bank of Canada</t>
  </si>
  <si>
    <t>S-11</t>
  </si>
  <si>
    <t>Consumer Price Index Summary — July 2026 (all items +3.4%; core +2.5%)</t>
  </si>
  <si>
    <t>U.S. Bureau of Labor Statistics</t>
  </si>
  <si>
    <t>S-12</t>
  </si>
  <si>
    <t>Producer Price Index News Release — July 2026 (final demand +4.7% over 12 months)</t>
  </si>
  <si>
    <t>S-13</t>
  </si>
  <si>
    <t>Employment Cost Index — June 2026 (state and local government compensation +3.6%; wages and salaries +3.4%; benefits +4.0% per Cornell ILR commentary)</t>
  </si>
  <si>
    <t>U.S. Bureau of Labor Statistics; Cornell ILR School</t>
  </si>
  <si>
    <t>B-06, B-07</t>
  </si>
  <si>
    <t>https://www.bls.gov/news.release/eci.nr0.htm ; https://www.ilr.cornell.edu/post/us-employment-cost-index-q2-2026-commentary</t>
  </si>
  <si>
    <t>S-14</t>
  </si>
  <si>
    <t>Government Contract Escalation Rates Guide (August 2026) — ECI +3.4%, 2–4% option-year escalation norm, FAR 52.216-4 10% cap / 3% trigger</t>
  </si>
  <si>
    <t>GovDash</t>
  </si>
  <si>
    <t>B-07, B-08, B-09</t>
  </si>
  <si>
    <t>S-15</t>
  </si>
  <si>
    <t>Euro area annual inflation up to 3.3% — flash estimate, August 2026</t>
  </si>
  <si>
    <t>Eurostat</t>
  </si>
  <si>
    <t>S-16</t>
  </si>
  <si>
    <t>Consumer price inflation, UK: July 2026 (CPI 2.9%, CPIH 3.1%, core CPI 2.6%)</t>
  </si>
  <si>
    <t>UK 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</si>
</sst>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h:mm"/>
    <numFmt numFmtId="167" formatCode="yyyy\-mm\-dd"/>
    <numFmt numFmtId="168" formatCode="0.0"/>
  </numFmts>
  <fonts count="10">
    <font>
      <sz val="11"/>
      <color theme="1"/>
      <name val="Calibri"/>
      <family val="2"/>
      <scheme val="minor"/>
    </font>
    <font>
      <sz val="11"/>
      <color theme="1"/>
      <name val="Calibri"/>
    </font>
    <font>
      <b/>
      <sz val="11"/>
      <color theme="1"/>
      <name val="Calibri"/>
    </font>
    <font>
      <b/>
      <sz val="16"/>
      <color rgb="FF1F2A5C"/>
      <name val="Calibri"/>
    </font>
    <font>
      <i/>
      <sz val="11"/>
      <color rgb="FF595959"/>
      <name val="Calibri"/>
    </font>
    <font>
      <b/>
      <sz val="11"/>
      <color rgb="FFFFFFFF"/>
      <name val="Calibri"/>
    </font>
    <font>
      <b/>
      <sz val="11"/>
      <color rgb="FF0000FF"/>
      <name val="Calibri"/>
    </font>
    <font>
      <sz val="11"/>
      <color rgb="FF0000FF"/>
      <name val="Calibri"/>
    </font>
    <font>
      <b/>
      <sz val="11"/>
      <color rgb="FF1A1A2E"/>
      <name val="Calibri"/>
    </font>
    <font>
      <b/>
      <sz val="11"/>
      <color rgb="FF1F2A5C"/>
      <name val="Calibri"/>
    </font>
  </fonts>
  <fills count="6">
    <fill>
      <patternFill patternType="none"/>
    </fill>
    <fill>
      <patternFill patternType="gray125"/>
    </fill>
    <fill>
      <patternFill patternType="solid">
        <fgColor rgb="FF1F2A5C"/>
        <bgColor indexed="64"/>
      </patternFill>
    </fill>
    <fill>
      <patternFill patternType="solid">
        <fgColor rgb="FFEEF1F8"/>
        <bgColor indexed="64"/>
      </patternFill>
    </fill>
    <fill>
      <patternFill patternType="solid">
        <fgColor rgb="FFFFFF00"/>
        <bgColor indexed="64"/>
      </patternFill>
    </fill>
    <fill>
      <patternFill patternType="solid">
        <fgColor rgb="FF4FD1C5"/>
        <bgColor indexed="64"/>
      </patternFill>
    </fill>
  </fills>
  <borders count="2">
    <border>
      <left/>
      <right/>
      <top/>
      <bottom/>
      <diagonal/>
    </border>
    <border>
      <left/>
      <right/>
      <top style="thin">
        <color rgb="FF1F2A5C"/>
      </top>
      <bottom style="thin">
        <color rgb="FF1F2A5C"/>
      </bottom>
      <diagonal/>
    </border>
  </borders>
  <cellStyleXfs count="1">
    <xf numFmtId="0" fontId="0" fillId="0" borderId="0"/>
  </cellStyleXfs>
  <cellXfs count="56">
    <xf numFmtId="0" fontId="0" fillId="0" borderId="0" xfId="0"/>
    <xf numFmtId="0" fontId="1" fillId="0" borderId="0" xfId="0" applyFont="1"/>
    <xf numFmtId="0" fontId="5" fillId="2" borderId="0" xfId="0" applyFont="1" applyFill="1"/>
    <xf numFmtId="0" fontId="2"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xf numFmtId="0" fontId="6" fillId="4" borderId="0" xfId="0" applyFont="1" applyFill="1"/>
    <xf numFmtId="4" fontId="6" fillId="4" borderId="0" xfId="0" applyNumberFormat="1" applyFont="1" applyFill="1"/>
    <xf numFmtId="1" fontId="6" fillId="4" borderId="0" xfId="0" applyNumberFormat="1" applyFont="1" applyFill="1"/>
    <xf numFmtId="0" fontId="5" fillId="2" borderId="0" xfId="0" applyFont="1" applyFill="1" applyAlignment="1">
      <alignment horizontal="center" vertical="center" wrapText="1"/>
    </xf>
    <xf numFmtId="164" fontId="7" fillId="0" borderId="0" xfId="0" applyNumberFormat="1" applyFont="1" applyAlignment="1">
      <alignment vertical="top"/>
    </xf>
    <xf numFmtId="164" fontId="1" fillId="0" borderId="0" xfId="0" applyNumberFormat="1" applyFont="1" applyAlignment="1">
      <alignment vertical="top"/>
    </xf>
    <xf numFmtId="165" fontId="1" fillId="0" borderId="0" xfId="0" applyNumberFormat="1" applyFont="1" applyAlignment="1">
      <alignment vertical="top"/>
    </xf>
    <xf numFmtId="0" fontId="1" fillId="3" borderId="0" xfId="0" applyFont="1" applyFill="1" applyAlignment="1">
      <alignment vertical="top"/>
    </xf>
    <xf numFmtId="164" fontId="7" fillId="3" borderId="0" xfId="0" applyNumberFormat="1" applyFont="1" applyFill="1" applyAlignment="1">
      <alignment vertical="top"/>
    </xf>
    <xf numFmtId="164" fontId="1" fillId="3" borderId="0" xfId="0" applyNumberFormat="1" applyFont="1" applyFill="1" applyAlignment="1">
      <alignment vertical="top"/>
    </xf>
    <xf numFmtId="165" fontId="1" fillId="3" borderId="0" xfId="0" applyNumberFormat="1" applyFont="1" applyFill="1" applyAlignment="1">
      <alignment vertical="top"/>
    </xf>
    <xf numFmtId="0" fontId="8" fillId="5" borderId="1" xfId="0" applyFont="1" applyFill="1" applyBorder="1" applyAlignment="1">
      <alignment vertical="top"/>
    </xf>
    <xf numFmtId="0" fontId="8" fillId="5" borderId="1" xfId="0" applyFont="1" applyFill="1" applyBorder="1" applyAlignment="1">
      <alignment vertical="top" wrapText="1"/>
    </xf>
    <xf numFmtId="164" fontId="8" fillId="5" borderId="1" xfId="0" applyNumberFormat="1" applyFont="1" applyFill="1" applyBorder="1" applyAlignment="1">
      <alignment vertical="top"/>
    </xf>
    <xf numFmtId="165" fontId="8" fillId="5" borderId="1" xfId="0" applyNumberFormat="1" applyFont="1" applyFill="1" applyBorder="1" applyAlignment="1">
      <alignment vertical="top"/>
    </xf>
    <xf numFmtId="0" fontId="4" fillId="0" borderId="0" xfId="0" applyFont="1" applyAlignment="1">
      <alignment wrapText="1"/>
    </xf>
    <xf numFmtId="0" fontId="4" fillId="0" borderId="0" xfId="0" applyFont="1" applyAlignment="1">
      <alignment vertical="top" wrapText="1"/>
    </xf>
    <xf numFmtId="0" fontId="5" fillId="2" borderId="0" xfId="0" applyFont="1" applyFill="1" applyAlignment="1">
      <alignment horizontal="center"/>
    </xf>
    <xf numFmtId="0" fontId="5" fillId="2" borderId="0" xfId="0" applyFont="1" applyFill="1" applyAlignment="1">
      <alignment horizontal="center" vertical="top"/>
    </xf>
    <xf numFmtId="0" fontId="5" fillId="2" borderId="0" xfId="0" applyFont="1" applyFill="1" applyAlignment="1">
      <alignment horizontal="center" vertical="top" wrapText="1"/>
    </xf>
    <xf numFmtId="3" fontId="1" fillId="0" borderId="0" xfId="0" applyNumberFormat="1" applyFont="1" applyAlignment="1">
      <alignment vertical="top"/>
    </xf>
    <xf numFmtId="3" fontId="1" fillId="3" borderId="0" xfId="0" applyNumberFormat="1" applyFont="1" applyFill="1" applyAlignment="1">
      <alignment vertical="top"/>
    </xf>
    <xf numFmtId="3" fontId="8" fillId="5" borderId="1" xfId="0" applyNumberFormat="1" applyFont="1" applyFill="1" applyBorder="1" applyAlignment="1">
      <alignment vertical="top"/>
    </xf>
    <xf numFmtId="3" fontId="5" fillId="2" borderId="0" xfId="0" applyNumberFormat="1" applyFont="1" applyFill="1" applyAlignment="1">
      <alignment horizontal="center" vertical="top"/>
    </xf>
    <xf numFmtId="164" fontId="5" fillId="2" borderId="0" xfId="0" applyNumberFormat="1" applyFont="1" applyFill="1" applyAlignment="1">
      <alignment horizontal="center" vertical="top"/>
    </xf>
    <xf numFmtId="165" fontId="5" fillId="2" borderId="0" xfId="0" applyNumberFormat="1" applyFont="1" applyFill="1" applyAlignment="1">
      <alignment horizontal="center" vertical="top"/>
    </xf>
    <xf numFmtId="4" fontId="1" fillId="0" borderId="0" xfId="0" applyNumberFormat="1" applyFont="1" applyAlignment="1">
      <alignment vertical="top"/>
    </xf>
    <xf numFmtId="4" fontId="1" fillId="3" borderId="0" xfId="0" applyNumberFormat="1" applyFont="1" applyFill="1" applyAlignment="1">
      <alignment vertical="top"/>
    </xf>
    <xf numFmtId="1" fontId="1" fillId="0" borderId="0" xfId="0" applyNumberFormat="1" applyFont="1" applyAlignment="1">
      <alignment horizontal="center" vertical="top" wrapText="1"/>
    </xf>
    <xf numFmtId="166" fontId="1" fillId="0" borderId="0" xfId="0" applyNumberFormat="1" applyFont="1" applyAlignment="1">
      <alignment vertical="top" wrapText="1"/>
    </xf>
    <xf numFmtId="3" fontId="1" fillId="0" borderId="0" xfId="0" applyNumberFormat="1" applyFont="1" applyAlignment="1">
      <alignment vertical="top" wrapText="1"/>
    </xf>
    <xf numFmtId="167" fontId="1" fillId="0" borderId="0" xfId="0" applyNumberFormat="1" applyFont="1" applyAlignment="1">
      <alignment vertical="top" wrapText="1"/>
    </xf>
    <xf numFmtId="1" fontId="1" fillId="3" borderId="0" xfId="0" applyNumberFormat="1" applyFont="1" applyFill="1" applyAlignment="1">
      <alignment horizontal="center" vertical="top" wrapText="1"/>
    </xf>
    <xf numFmtId="166" fontId="1" fillId="3" borderId="0" xfId="0" applyNumberFormat="1" applyFont="1" applyFill="1" applyAlignment="1">
      <alignment vertical="top" wrapText="1"/>
    </xf>
    <xf numFmtId="3" fontId="1" fillId="3" borderId="0" xfId="0" applyNumberFormat="1" applyFont="1" applyFill="1" applyAlignment="1">
      <alignment vertical="top" wrapText="1"/>
    </xf>
    <xf numFmtId="167" fontId="1" fillId="3" borderId="0" xfId="0" applyNumberFormat="1" applyFont="1" applyFill="1" applyAlignment="1">
      <alignment vertical="top" wrapText="1"/>
    </xf>
    <xf numFmtId="168" fontId="9" fillId="0" borderId="0" xfId="0" applyNumberFormat="1" applyFont="1" applyAlignment="1">
      <alignment horizontal="right" vertical="top" wrapText="1"/>
    </xf>
    <xf numFmtId="168" fontId="9" fillId="3" borderId="0" xfId="0" applyNumberFormat="1" applyFont="1" applyFill="1" applyAlignment="1">
      <alignment horizontal="right" vertical="top" wrapText="1"/>
    </xf>
    <xf numFmtId="0" fontId="1" fillId="0" borderId="0" xfId="0" quotePrefix="1" applyFont="1" applyAlignment="1">
      <alignment vertical="top" wrapText="1"/>
    </xf>
    <xf numFmtId="15" fontId="1" fillId="0" borderId="0" xfId="0" applyNumberFormat="1" applyFont="1" applyAlignment="1">
      <alignment vertical="top" wrapText="1"/>
    </xf>
    <xf numFmtId="17" fontId="1" fillId="0" borderId="0" xfId="0" applyNumberFormat="1" applyFont="1" applyAlignment="1">
      <alignment vertical="top" wrapText="1"/>
    </xf>
    <xf numFmtId="0" fontId="1" fillId="3" borderId="0" xfId="0" quotePrefix="1" applyFont="1" applyFill="1" applyAlignment="1">
      <alignment vertical="top" wrapText="1"/>
    </xf>
    <xf numFmtId="22" fontId="1" fillId="3" borderId="0" xfId="0" applyNumberFormat="1" applyFont="1" applyFill="1" applyAlignment="1">
      <alignment vertical="top" wrapText="1"/>
    </xf>
    <xf numFmtId="15" fontId="1" fillId="3" borderId="0" xfId="0" applyNumberFormat="1" applyFont="1" applyFill="1" applyAlignment="1">
      <alignment vertical="top" wrapText="1"/>
    </xf>
    <xf numFmtId="17" fontId="1" fillId="3" borderId="0" xfId="0" applyNumberFormat="1" applyFont="1" applyFill="1" applyAlignment="1">
      <alignment vertical="top" wrapText="1"/>
    </xf>
    <xf numFmtId="0" fontId="3" fillId="0" borderId="0" xfId="0" applyFont="1" applyAlignment="1"/>
    <xf numFmtId="0" fontId="4" fillId="0" borderId="0" xfId="0" applyFont="1" applyAlignment="1"/>
  </cellXfs>
  <cellStyles count="1">
    <cellStyle name="Normal" xfId="0" builtinId="0"/>
  </cellStyles>
  <dxfs count="1">
    <dxf>
      <font>
        <color rgb="FF9C0006"/>
      </font>
      <fill>
        <patternFill patternType="solid">
          <fgColor indexed="64"/>
          <bgColor rgb="FFF8D7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Three Business Plus ceilings of 50,000 credits carry most of the approved monthly allowance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multiLvlStrRef>
              <c:f>'Line Items'!$D$4:$F$10</c:f>
              <c:multiLvlStrCache>
                <c:ptCount val="7"/>
                <c:lvl>
                  <c:pt idx="0">
                    <c:v>credits / month</c:v>
                  </c:pt>
                  <c:pt idx="1">
                    <c:v>credits / month</c:v>
                  </c:pt>
                  <c:pt idx="2">
                    <c:v>credits / month</c:v>
                  </c:pt>
                  <c:pt idx="3">
                    <c:v>credits / month</c:v>
                  </c:pt>
                  <c:pt idx="4">
                    <c:v>credits / month</c:v>
                  </c:pt>
                  <c:pt idx="5">
                    <c:v>credits / month</c:v>
                  </c:pt>
                  <c:pt idx="6">
                    <c:v>credits / month</c:v>
                  </c:pt>
                </c:lvl>
                <c:lvl>
                  <c:pt idx="0">
                    <c:v>External Consultant</c:v>
                  </c:pt>
                  <c:pt idx="1">
                    <c:v>Human Resources</c:v>
                  </c:pt>
                  <c:pt idx="2">
                    <c:v>Human Resources</c:v>
                  </c:pt>
                  <c:pt idx="3">
                    <c:v>Finance Services</c:v>
                  </c:pt>
                  <c:pt idx="4">
                    <c:v>Human Resources</c:v>
                  </c:pt>
                  <c:pt idx="5">
                    <c:v>Not stated</c:v>
                  </c:pt>
                  <c:pt idx="6">
                    <c:v>Not stated</c:v>
                  </c:pt>
                </c:lvl>
                <c:lvl>
                  <c:pt idx="0">
                    <c:v>Bojan Buhac</c:v>
                  </c:pt>
                  <c:pt idx="1">
                    <c:v>Bharat Kumar</c:v>
                  </c:pt>
                  <c:pt idx="2">
                    <c:v>Logan Hu</c:v>
                  </c:pt>
                  <c:pt idx="3">
                    <c:v>Zafar UI Islam</c:v>
                  </c:pt>
                  <c:pt idx="4">
                    <c:v>Sam Mashburn</c:v>
                  </c:pt>
                  <c:pt idx="5">
                    <c:v>Kevin Wright</c:v>
                  </c:pt>
                  <c:pt idx="6">
                    <c:v>Joe Fazzari</c:v>
                  </c:pt>
                </c:lvl>
              </c:multiLvlStrCache>
            </c:multiLvlStrRef>
          </c:cat>
          <c:val>
            <c:numRef>
              <c:f>'Line Items'!$G$4:$G$10</c:f>
              <c:numCache>
                <c:formatCode>#,##0;\(#,##0\);\-</c:formatCode>
                <c:ptCount val="7"/>
                <c:pt idx="1">
                  <c:v>50000</c:v>
                </c:pt>
                <c:pt idx="2">
                  <c:v>50000</c:v>
                </c:pt>
                <c:pt idx="3">
                  <c:v>50000</c:v>
                </c:pt>
                <c:pt idx="4">
                  <c:v>3000</c:v>
                </c:pt>
                <c:pt idx="5">
                  <c:v>3000</c:v>
                </c:pt>
                <c:pt idx="6">
                  <c:v>50000</c:v>
                </c:pt>
              </c:numCache>
            </c:numRef>
          </c:val>
          <c:extLst>
            <c:ext xmlns:c16="http://schemas.microsoft.com/office/drawing/2014/chart" uri="{C3380CC4-5D6E-409C-BE32-E72D297353CC}">
              <c16:uniqueId val="{00000000-428C-4590-B695-BC6CD04A8CFA}"/>
            </c:ext>
          </c:extLst>
        </c:ser>
        <c:dLbls>
          <c:showLegendKey val="0"/>
          <c:showVal val="0"/>
          <c:showCatName val="0"/>
          <c:showSerName val="0"/>
          <c:showPercent val="0"/>
          <c:showBubbleSize val="0"/>
        </c:dLbls>
        <c:gapWidth val="219"/>
        <c:overlap val="-27"/>
        <c:axId val="1345457159"/>
        <c:axId val="1345463303"/>
      </c:barChart>
      <c:catAx>
        <c:axId val="1345457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463303"/>
        <c:crosses val="autoZero"/>
        <c:auto val="1"/>
        <c:lblAlgn val="ctr"/>
        <c:lblOffset val="100"/>
        <c:noMultiLvlLbl val="0"/>
      </c:catAx>
      <c:valAx>
        <c:axId val="134546330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457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0</xdr:rowOff>
    </xdr:from>
    <xdr:to>
      <xdr:col>7</xdr:col>
      <xdr:colOff>0</xdr:colOff>
      <xdr:row>58</xdr:row>
      <xdr:rowOff>0</xdr:rowOff>
    </xdr:to>
    <xdr:graphicFrame macro="">
      <xdr:nvGraphicFramePr>
        <xdr:cNvPr id="2" name="Chart 1">
          <a:extLst>
            <a:ext uri="{FF2B5EF4-FFF2-40B4-BE49-F238E27FC236}">
              <a16:creationId xmlns:a16="http://schemas.microsoft.com/office/drawing/2014/main" id="{847882F9-2653-44EF-BE1A-C266BD213C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workbookViewId="0">
      <pane ySplit="4" topLeftCell="A5" activePane="bottomLeft" state="frozen"/>
      <selection pane="bottomLeft"/>
    </sheetView>
  </sheetViews>
  <sheetFormatPr defaultRowHeight="15"/>
  <cols>
    <col min="1" max="1" width="34.7109375" customWidth="1"/>
    <col min="2" max="2" width="110.7109375" customWidth="1"/>
    <col min="3" max="3" width="48.7109375" customWidth="1"/>
  </cols>
  <sheetData>
    <row r="1" spans="1:3">
      <c r="A1" s="54" t="s">
        <v>0</v>
      </c>
      <c r="B1" s="54"/>
      <c r="C1" s="54"/>
    </row>
    <row r="2" spans="1:3">
      <c r="A2" s="55" t="s">
        <v>1</v>
      </c>
      <c r="B2" s="55"/>
      <c r="C2" s="55"/>
    </row>
    <row r="3" spans="1:3">
      <c r="A3" s="1"/>
      <c r="B3" s="1"/>
      <c r="C3" s="1"/>
    </row>
    <row r="4" spans="1:3">
      <c r="A4" s="2" t="s">
        <v>2</v>
      </c>
      <c r="B4" s="2" t="s">
        <v>3</v>
      </c>
      <c r="C4" s="2"/>
    </row>
    <row r="5" spans="1:3" ht="45" customHeight="1">
      <c r="A5" s="3" t="s">
        <v>4</v>
      </c>
      <c r="B5" s="5" t="s">
        <v>5</v>
      </c>
      <c r="C5" s="1"/>
    </row>
    <row r="6" spans="1:3" ht="75" customHeight="1">
      <c r="A6" s="6" t="s">
        <v>6</v>
      </c>
      <c r="B6" s="7" t="s">
        <v>7</v>
      </c>
      <c r="C6" s="8"/>
    </row>
    <row r="7" spans="1:3" ht="60" customHeight="1">
      <c r="A7" s="3" t="s">
        <v>8</v>
      </c>
      <c r="B7" s="5" t="s">
        <v>9</v>
      </c>
      <c r="C7" s="1"/>
    </row>
    <row r="8" spans="1:3" ht="60" customHeight="1">
      <c r="A8" s="6" t="s">
        <v>10</v>
      </c>
      <c r="B8" s="7" t="s">
        <v>11</v>
      </c>
      <c r="C8" s="8"/>
    </row>
    <row r="9" spans="1:3" ht="60" customHeight="1">
      <c r="A9" s="3" t="s">
        <v>12</v>
      </c>
      <c r="B9" s="5" t="s">
        <v>13</v>
      </c>
      <c r="C9" s="1"/>
    </row>
    <row r="10" spans="1:3" ht="60" customHeight="1">
      <c r="A10" s="6" t="s">
        <v>14</v>
      </c>
      <c r="B10" s="7" t="s">
        <v>15</v>
      </c>
      <c r="C10" s="8"/>
    </row>
    <row r="11" spans="1:3">
      <c r="A11" s="1"/>
      <c r="B11" s="1"/>
      <c r="C11" s="1"/>
    </row>
    <row r="12" spans="1:3">
      <c r="A12" s="2" t="s">
        <v>16</v>
      </c>
      <c r="B12" s="2" t="s">
        <v>17</v>
      </c>
      <c r="C12" s="2"/>
    </row>
    <row r="13" spans="1:3" ht="30" customHeight="1">
      <c r="A13" s="3" t="s">
        <v>18</v>
      </c>
      <c r="B13" s="5" t="s">
        <v>19</v>
      </c>
      <c r="C13" s="1"/>
    </row>
    <row r="14" spans="1:3" ht="30" customHeight="1">
      <c r="A14" s="6" t="s">
        <v>20</v>
      </c>
      <c r="B14" s="7" t="s">
        <v>21</v>
      </c>
      <c r="C14" s="8"/>
    </row>
    <row r="15" spans="1:3" ht="30" customHeight="1">
      <c r="A15" s="3" t="s">
        <v>22</v>
      </c>
      <c r="B15" s="5" t="s">
        <v>23</v>
      </c>
      <c r="C15" s="1"/>
    </row>
    <row r="16" spans="1:3">
      <c r="A16" s="6" t="s">
        <v>24</v>
      </c>
      <c r="B16" s="7" t="s">
        <v>25</v>
      </c>
      <c r="C16" s="8"/>
    </row>
    <row r="17" spans="1:3">
      <c r="A17" s="3" t="s">
        <v>26</v>
      </c>
      <c r="B17" s="5" t="s">
        <v>27</v>
      </c>
      <c r="C17" s="1"/>
    </row>
    <row r="18" spans="1:3">
      <c r="A18" s="1"/>
      <c r="B18" s="1"/>
      <c r="C18" s="1"/>
    </row>
    <row r="19" spans="1:3">
      <c r="A19" s="2" t="s">
        <v>28</v>
      </c>
      <c r="B19" s="2" t="s">
        <v>29</v>
      </c>
      <c r="C19" s="2"/>
    </row>
    <row r="20" spans="1:3" ht="45" customHeight="1">
      <c r="A20" s="3" t="s">
        <v>30</v>
      </c>
      <c r="B20" s="5" t="s">
        <v>31</v>
      </c>
      <c r="C20" s="1"/>
    </row>
    <row r="21" spans="1:3" ht="30" customHeight="1">
      <c r="A21" s="6" t="s">
        <v>32</v>
      </c>
      <c r="B21" s="7" t="s">
        <v>33</v>
      </c>
      <c r="C21" s="8"/>
    </row>
    <row r="22" spans="1:3">
      <c r="A22" s="3" t="s">
        <v>34</v>
      </c>
      <c r="B22" s="5" t="s">
        <v>35</v>
      </c>
      <c r="C22" s="1"/>
    </row>
    <row r="23" spans="1:3" ht="30" customHeight="1">
      <c r="A23" s="6" t="s">
        <v>24</v>
      </c>
      <c r="B23" s="7" t="s">
        <v>36</v>
      </c>
      <c r="C23" s="8"/>
    </row>
    <row r="24" spans="1:3">
      <c r="A24" s="1"/>
      <c r="B24" s="1"/>
      <c r="C24" s="1"/>
    </row>
    <row r="25" spans="1:3">
      <c r="A25" s="2" t="s">
        <v>37</v>
      </c>
      <c r="B25" s="2" t="s">
        <v>38</v>
      </c>
      <c r="C25" s="2" t="s">
        <v>39</v>
      </c>
    </row>
    <row r="26" spans="1:3" ht="30" customHeight="1">
      <c r="A26" s="3" t="s">
        <v>40</v>
      </c>
      <c r="B26" s="10"/>
      <c r="C26" s="5" t="s">
        <v>41</v>
      </c>
    </row>
    <row r="27" spans="1:3">
      <c r="A27" s="6" t="s">
        <v>42</v>
      </c>
      <c r="B27" s="9" t="s">
        <v>43</v>
      </c>
      <c r="C27" s="7" t="s">
        <v>44</v>
      </c>
    </row>
    <row r="28" spans="1:3">
      <c r="A28" s="3" t="s">
        <v>45</v>
      </c>
      <c r="B28" s="11">
        <v>3</v>
      </c>
      <c r="C28" s="5" t="s">
        <v>46</v>
      </c>
    </row>
    <row r="29" spans="1:3">
      <c r="A29" s="1"/>
      <c r="B29" s="1"/>
      <c r="C29" s="1"/>
    </row>
    <row r="30" spans="1:3">
      <c r="A30" s="1"/>
      <c r="B30" s="1"/>
      <c r="C30" s="1"/>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44DB-7DAD-4441-BC0F-AFE6BF52D8B1}">
  <dimension ref="A1:M12"/>
  <sheetViews>
    <sheetView workbookViewId="0">
      <pane xSplit="2" ySplit="3" topLeftCell="C4" activePane="bottomRight" state="frozen"/>
      <selection pane="bottomRight"/>
      <selection pane="bottomLeft"/>
      <selection pane="topRight"/>
    </sheetView>
  </sheetViews>
  <sheetFormatPr defaultRowHeight="15"/>
  <cols>
    <col min="1" max="1" width="7.7109375" customWidth="1"/>
    <col min="2" max="2" width="40.7109375" customWidth="1"/>
    <col min="3" max="3" width="26.7109375" customWidth="1"/>
    <col min="4" max="4" width="16.7109375" customWidth="1"/>
    <col min="5" max="5" width="18.7109375" customWidth="1"/>
    <col min="6" max="6" width="14.7109375" customWidth="1"/>
    <col min="7" max="9" width="12.7109375" customWidth="1"/>
    <col min="10" max="10" width="11.7109375" customWidth="1"/>
    <col min="11" max="11" width="30.7109375" customWidth="1"/>
    <col min="12" max="12" width="70.7109375" customWidth="1"/>
    <col min="13" max="13" width="48.7109375" customWidth="1"/>
  </cols>
  <sheetData>
    <row r="1" spans="1:13">
      <c r="A1" s="54" t="s">
        <v>47</v>
      </c>
      <c r="B1" s="54"/>
      <c r="C1" s="54"/>
      <c r="D1" s="54"/>
      <c r="E1" s="54"/>
      <c r="F1" s="54"/>
      <c r="G1" s="54"/>
      <c r="H1" s="54"/>
      <c r="I1" s="54"/>
      <c r="J1" s="54"/>
      <c r="K1" s="54"/>
      <c r="L1" s="54"/>
      <c r="M1" s="54"/>
    </row>
    <row r="2" spans="1:13" ht="32.25" customHeight="1">
      <c r="A2" s="24" t="s">
        <v>48</v>
      </c>
      <c r="B2" s="24"/>
      <c r="C2" s="24"/>
      <c r="D2" s="24"/>
      <c r="E2" s="24"/>
      <c r="F2" s="24"/>
      <c r="G2" s="24"/>
      <c r="H2" s="24"/>
      <c r="I2" s="24"/>
      <c r="J2" s="24"/>
      <c r="K2" s="24"/>
      <c r="L2" s="24"/>
      <c r="M2" s="24"/>
    </row>
    <row r="3" spans="1:13" ht="30" customHeight="1">
      <c r="A3" s="12" t="s">
        <v>49</v>
      </c>
      <c r="B3" s="12" t="s">
        <v>2</v>
      </c>
      <c r="C3" s="12" t="s">
        <v>50</v>
      </c>
      <c r="D3" s="12" t="s">
        <v>51</v>
      </c>
      <c r="E3" s="12" t="s">
        <v>52</v>
      </c>
      <c r="F3" s="12" t="s">
        <v>53</v>
      </c>
      <c r="G3" s="12" t="s">
        <v>54</v>
      </c>
      <c r="H3" s="12" t="s">
        <v>55</v>
      </c>
      <c r="I3" s="12" t="s">
        <v>56</v>
      </c>
      <c r="J3" s="12" t="s">
        <v>57</v>
      </c>
      <c r="K3" s="12" t="s">
        <v>58</v>
      </c>
      <c r="L3" s="12" t="s">
        <v>59</v>
      </c>
      <c r="M3" s="12" t="s">
        <v>60</v>
      </c>
    </row>
    <row r="4" spans="1:13" ht="105.75" customHeight="1">
      <c r="A4" s="4" t="s">
        <v>61</v>
      </c>
      <c r="B4" s="5" t="s">
        <v>62</v>
      </c>
      <c r="C4" s="4" t="s">
        <v>63</v>
      </c>
      <c r="D4" s="4" t="s">
        <v>64</v>
      </c>
      <c r="E4" s="4" t="s">
        <v>65</v>
      </c>
      <c r="F4" s="4" t="s">
        <v>66</v>
      </c>
      <c r="G4" s="13"/>
      <c r="H4" s="13"/>
      <c r="I4" s="14" t="str">
        <f>IF(OR(G4="",H4=""),"",G4-H4)</f>
        <v/>
      </c>
      <c r="J4" s="15" t="str">
        <f>IF(OR(G4="",H4="",G4=0),"",I4/G4)</f>
        <v/>
      </c>
      <c r="K4" s="5" t="s">
        <v>67</v>
      </c>
      <c r="L4" s="5" t="s">
        <v>68</v>
      </c>
      <c r="M4" s="5" t="s">
        <v>69</v>
      </c>
    </row>
    <row r="5" spans="1:13" ht="92.25" customHeight="1">
      <c r="A5" s="16" t="s">
        <v>70</v>
      </c>
      <c r="B5" s="7" t="s">
        <v>71</v>
      </c>
      <c r="C5" s="16" t="s">
        <v>63</v>
      </c>
      <c r="D5" s="16" t="s">
        <v>72</v>
      </c>
      <c r="E5" s="16" t="s">
        <v>73</v>
      </c>
      <c r="F5" s="16" t="s">
        <v>66</v>
      </c>
      <c r="G5" s="17">
        <v>50000</v>
      </c>
      <c r="H5" s="17"/>
      <c r="I5" s="18" t="str">
        <f>IF(OR(G5="",H5=""),"",G5-H5)</f>
        <v/>
      </c>
      <c r="J5" s="19" t="str">
        <f>IF(OR(G5="",H5="",G5=0),"",I5/G5)</f>
        <v/>
      </c>
      <c r="K5" s="7" t="s">
        <v>74</v>
      </c>
      <c r="L5" s="7" t="s">
        <v>75</v>
      </c>
      <c r="M5" s="7" t="s">
        <v>76</v>
      </c>
    </row>
    <row r="6" spans="1:13" ht="62.25" customHeight="1">
      <c r="A6" s="4" t="s">
        <v>77</v>
      </c>
      <c r="B6" s="5" t="s">
        <v>78</v>
      </c>
      <c r="C6" s="4" t="s">
        <v>63</v>
      </c>
      <c r="D6" s="4" t="s">
        <v>79</v>
      </c>
      <c r="E6" s="4" t="s">
        <v>73</v>
      </c>
      <c r="F6" s="4" t="s">
        <v>66</v>
      </c>
      <c r="G6" s="13">
        <v>50000</v>
      </c>
      <c r="H6" s="13"/>
      <c r="I6" s="14" t="str">
        <f>IF(OR(G6="",H6=""),"",G6-H6)</f>
        <v/>
      </c>
      <c r="J6" s="15" t="str">
        <f>IF(OR(G6="",H6="",G6=0),"",I6/G6)</f>
        <v/>
      </c>
      <c r="K6" s="5" t="s">
        <v>80</v>
      </c>
      <c r="L6" s="5" t="s">
        <v>81</v>
      </c>
      <c r="M6" s="5" t="s">
        <v>82</v>
      </c>
    </row>
    <row r="7" spans="1:13" ht="78" customHeight="1">
      <c r="A7" s="16" t="s">
        <v>83</v>
      </c>
      <c r="B7" s="7" t="s">
        <v>71</v>
      </c>
      <c r="C7" s="16" t="s">
        <v>63</v>
      </c>
      <c r="D7" s="16" t="s">
        <v>84</v>
      </c>
      <c r="E7" s="16" t="s">
        <v>85</v>
      </c>
      <c r="F7" s="16" t="s">
        <v>66</v>
      </c>
      <c r="G7" s="17">
        <v>50000</v>
      </c>
      <c r="H7" s="17"/>
      <c r="I7" s="18" t="str">
        <f>IF(OR(G7="",H7=""),"",G7-H7)</f>
        <v/>
      </c>
      <c r="J7" s="19" t="str">
        <f>IF(OR(G7="",H7="",G7=0),"",I7/G7)</f>
        <v/>
      </c>
      <c r="K7" s="7" t="s">
        <v>86</v>
      </c>
      <c r="L7" s="7" t="s">
        <v>87</v>
      </c>
      <c r="M7" s="7" t="s">
        <v>88</v>
      </c>
    </row>
    <row r="8" spans="1:13" ht="48" customHeight="1">
      <c r="A8" s="4" t="s">
        <v>89</v>
      </c>
      <c r="B8" s="5" t="s">
        <v>90</v>
      </c>
      <c r="C8" s="4" t="s">
        <v>63</v>
      </c>
      <c r="D8" s="4" t="s">
        <v>91</v>
      </c>
      <c r="E8" s="4" t="s">
        <v>73</v>
      </c>
      <c r="F8" s="4" t="s">
        <v>66</v>
      </c>
      <c r="G8" s="13">
        <v>3000</v>
      </c>
      <c r="H8" s="13"/>
      <c r="I8" s="14" t="str">
        <f>IF(OR(G8="",H8=""),"",G8-H8)</f>
        <v/>
      </c>
      <c r="J8" s="15" t="str">
        <f>IF(OR(G8="",H8="",G8=0),"",I8/G8)</f>
        <v/>
      </c>
      <c r="K8" s="5" t="s">
        <v>86</v>
      </c>
      <c r="L8" s="5" t="s">
        <v>92</v>
      </c>
      <c r="M8" s="5" t="s">
        <v>93</v>
      </c>
    </row>
    <row r="9" spans="1:13" ht="48" customHeight="1">
      <c r="A9" s="16" t="s">
        <v>94</v>
      </c>
      <c r="B9" s="7" t="s">
        <v>90</v>
      </c>
      <c r="C9" s="16" t="s">
        <v>63</v>
      </c>
      <c r="D9" s="16" t="s">
        <v>95</v>
      </c>
      <c r="E9" s="16" t="s">
        <v>96</v>
      </c>
      <c r="F9" s="16" t="s">
        <v>66</v>
      </c>
      <c r="G9" s="17">
        <v>3000</v>
      </c>
      <c r="H9" s="17"/>
      <c r="I9" s="18" t="str">
        <f>IF(OR(G9="",H9=""),"",G9-H9)</f>
        <v/>
      </c>
      <c r="J9" s="19" t="str">
        <f>IF(OR(G9="",H9="",G9=0),"",I9/G9)</f>
        <v/>
      </c>
      <c r="K9" s="7" t="s">
        <v>97</v>
      </c>
      <c r="L9" s="7" t="s">
        <v>98</v>
      </c>
      <c r="M9" s="7" t="s">
        <v>99</v>
      </c>
    </row>
    <row r="10" spans="1:13" ht="92.25" customHeight="1">
      <c r="A10" s="4" t="s">
        <v>100</v>
      </c>
      <c r="B10" s="5" t="s">
        <v>101</v>
      </c>
      <c r="C10" s="4" t="s">
        <v>63</v>
      </c>
      <c r="D10" s="4" t="s">
        <v>102</v>
      </c>
      <c r="E10" s="4" t="s">
        <v>96</v>
      </c>
      <c r="F10" s="4" t="s">
        <v>66</v>
      </c>
      <c r="G10" s="13">
        <v>50000</v>
      </c>
      <c r="H10" s="13"/>
      <c r="I10" s="14" t="str">
        <f>IF(OR(G10="",H10=""),"",G10-H10)</f>
        <v/>
      </c>
      <c r="J10" s="15" t="str">
        <f>IF(OR(G10="",H10="",G10=0),"",I10/G10)</f>
        <v/>
      </c>
      <c r="K10" s="5" t="s">
        <v>103</v>
      </c>
      <c r="L10" s="5" t="s">
        <v>104</v>
      </c>
      <c r="M10" s="5" t="s">
        <v>105</v>
      </c>
    </row>
    <row r="11" spans="1:13" ht="92.25" customHeight="1">
      <c r="A11" s="16" t="s">
        <v>106</v>
      </c>
      <c r="B11" s="7" t="s">
        <v>107</v>
      </c>
      <c r="C11" s="16" t="s">
        <v>108</v>
      </c>
      <c r="D11" s="16" t="s">
        <v>64</v>
      </c>
      <c r="E11" s="16" t="s">
        <v>65</v>
      </c>
      <c r="F11" s="16" t="s">
        <v>109</v>
      </c>
      <c r="G11" s="17"/>
      <c r="H11" s="17"/>
      <c r="I11" s="18" t="str">
        <f>IF(OR(G11="",H11=""),"",G11-H11)</f>
        <v/>
      </c>
      <c r="J11" s="19" t="str">
        <f>IF(OR(G11="",H11="",G11=0),"",I11/G11)</f>
        <v/>
      </c>
      <c r="K11" s="7" t="s">
        <v>110</v>
      </c>
      <c r="L11" s="7" t="s">
        <v>111</v>
      </c>
      <c r="M11" s="7" t="s">
        <v>112</v>
      </c>
    </row>
    <row r="12" spans="1:13" ht="33.75" customHeight="1">
      <c r="A12" s="20" t="s">
        <v>113</v>
      </c>
      <c r="B12" s="21"/>
      <c r="C12" s="20"/>
      <c r="D12" s="20"/>
      <c r="E12" s="20"/>
      <c r="F12" s="20" t="s">
        <v>66</v>
      </c>
      <c r="G12" s="22">
        <f>SUMIF(F4:F11,"credits / month",G4:G11)</f>
        <v>206000</v>
      </c>
      <c r="H12" s="22">
        <f>SUMIF(F4:F11,"credits / month",H4:H11)</f>
        <v>0</v>
      </c>
      <c r="I12" s="22">
        <f>SUMIF(F4:F11,"credits / month",I4:I11)</f>
        <v>0</v>
      </c>
      <c r="J12" s="23" t="str">
        <f>IF(SUMIFS(G4:G11,F4:F11,"credits / month",H4:H11,"&lt;&gt;")=0,"",I12/SUMIFS(G4:G11,F4:F11,"credits / month",H4:H11,"&lt;&gt;"))</f>
        <v/>
      </c>
      <c r="K12" s="21"/>
      <c r="L12" s="21" t="s">
        <v>114</v>
      </c>
      <c r="M12" s="21"/>
    </row>
  </sheetData>
  <mergeCells count="2">
    <mergeCell ref="A1:M1"/>
    <mergeCell ref="A2:M2"/>
  </mergeCells>
  <conditionalFormatting sqref="I4:I11">
    <cfRule type="cellIs" dxfId="0" priority="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4379-0E56-4FF1-986C-FF0C79A3AA25}">
  <dimension ref="A1:G58"/>
  <sheetViews>
    <sheetView workbookViewId="0">
      <pane ySplit="3" topLeftCell="A4" activePane="bottomLeft" state="frozen"/>
      <selection pane="bottomLeft"/>
    </sheetView>
  </sheetViews>
  <sheetFormatPr defaultRowHeight="15"/>
  <cols>
    <col min="1" max="1" width="58.7109375" customWidth="1"/>
    <col min="2" max="5" width="14.7109375" customWidth="1"/>
    <col min="6" max="6" width="12.7109375" customWidth="1"/>
    <col min="7" max="7" width="80.7109375" customWidth="1"/>
  </cols>
  <sheetData>
    <row r="1" spans="1:7">
      <c r="A1" s="54" t="s">
        <v>115</v>
      </c>
      <c r="B1" s="54"/>
      <c r="C1" s="54"/>
      <c r="D1" s="54"/>
      <c r="E1" s="54"/>
      <c r="F1" s="54"/>
      <c r="G1" s="54"/>
    </row>
    <row r="2" spans="1:7" ht="48" customHeight="1">
      <c r="A2" s="25" t="s">
        <v>116</v>
      </c>
      <c r="B2" s="25"/>
      <c r="C2" s="25"/>
      <c r="D2" s="25"/>
      <c r="E2" s="25"/>
      <c r="F2" s="25"/>
      <c r="G2" s="25"/>
    </row>
    <row r="3" spans="1:7">
      <c r="A3" s="26" t="s">
        <v>50</v>
      </c>
      <c r="B3" s="26" t="s">
        <v>117</v>
      </c>
      <c r="C3" s="26" t="s">
        <v>54</v>
      </c>
      <c r="D3" s="26" t="s">
        <v>55</v>
      </c>
      <c r="E3" s="26" t="s">
        <v>56</v>
      </c>
      <c r="F3" s="26" t="s">
        <v>57</v>
      </c>
      <c r="G3" s="26" t="s">
        <v>39</v>
      </c>
    </row>
    <row r="4" spans="1:7" ht="63.75" customHeight="1">
      <c r="A4" s="5" t="s">
        <v>63</v>
      </c>
      <c r="B4" s="29">
        <f>COUNTIF('Line Items'!$C$4:$C$11,A4)</f>
        <v>7</v>
      </c>
      <c r="C4" s="14">
        <f>SUMIF('Line Items'!$C$4:$C$11,A4,'Line Items'!$G$4:$G$11)</f>
        <v>206000</v>
      </c>
      <c r="D4" s="14">
        <f>SUMIF('Line Items'!$C$4:$C$11,A4,'Line Items'!$H$4:$H$11)</f>
        <v>0</v>
      </c>
      <c r="E4" s="14">
        <f>SUMIF('Line Items'!$C$4:$C$11,A4,'Line Items'!$I$4:$I$11)</f>
        <v>0</v>
      </c>
      <c r="F4" s="15" t="str">
        <f>IF(SUMIFS('Line Items'!$G$4:$G$11,'Line Items'!$C$4:$C$11,A4,'Line Items'!$H$4:$H$11,"&lt;&gt;")=0,"",E4/SUMIFS('Line Items'!$G$4:$G$11,'Line Items'!$C$4:$C$11,A4,'Line Items'!$H$4:$H$11,"&lt;&gt;"))</f>
        <v/>
      </c>
      <c r="G4" s="5" t="s">
        <v>118</v>
      </c>
    </row>
    <row r="5" spans="1:7" ht="48" customHeight="1">
      <c r="A5" s="7" t="s">
        <v>108</v>
      </c>
      <c r="B5" s="30">
        <f>COUNTIF('Line Items'!$C$4:$C$11,A5)</f>
        <v>1</v>
      </c>
      <c r="C5" s="18">
        <f>SUMIF('Line Items'!$C$4:$C$11,A5,'Line Items'!$G$4:$G$11)</f>
        <v>0</v>
      </c>
      <c r="D5" s="18">
        <f>SUMIF('Line Items'!$C$4:$C$11,A5,'Line Items'!$H$4:$H$11)</f>
        <v>0</v>
      </c>
      <c r="E5" s="18">
        <f>SUMIF('Line Items'!$C$4:$C$11,A5,'Line Items'!$I$4:$I$11)</f>
        <v>0</v>
      </c>
      <c r="F5" s="19" t="str">
        <f>IF(SUMIFS('Line Items'!$G$4:$G$11,'Line Items'!$C$4:$C$11,A5,'Line Items'!$H$4:$H$11,"&lt;&gt;")=0,"",E5/SUMIFS('Line Items'!$G$4:$G$11,'Line Items'!$C$4:$C$11,A5,'Line Items'!$H$4:$H$11,"&lt;&gt;"))</f>
        <v/>
      </c>
      <c r="G5" s="7" t="s">
        <v>119</v>
      </c>
    </row>
    <row r="6" spans="1:7" ht="33.75" customHeight="1">
      <c r="A6" s="21" t="s">
        <v>120</v>
      </c>
      <c r="B6" s="31">
        <f>SUM(B4:B5)</f>
        <v>8</v>
      </c>
      <c r="C6" s="22">
        <f>SUM(C4:C5)</f>
        <v>206000</v>
      </c>
      <c r="D6" s="22">
        <f>SUM(D4:D5)</f>
        <v>0</v>
      </c>
      <c r="E6" s="22">
        <f>SUM(E4:E5)</f>
        <v>0</v>
      </c>
      <c r="F6" s="23" t="str">
        <f>IF(SUMIFS('Line Items'!$G$4:$G$11,'Line Items'!$H$4:$H$11,"&lt;&gt;")=0,"",E6/SUMIFS('Line Items'!$G$4:$G$11,'Line Items'!$H$4:$H$11,"&lt;&gt;"))</f>
        <v/>
      </c>
      <c r="G6" s="21" t="s">
        <v>121</v>
      </c>
    </row>
    <row r="7" spans="1:7">
      <c r="A7" s="5"/>
      <c r="B7" s="29"/>
      <c r="C7" s="14"/>
      <c r="D7" s="14"/>
      <c r="E7" s="14"/>
      <c r="F7" s="15"/>
      <c r="G7" s="5"/>
    </row>
    <row r="8" spans="1:7">
      <c r="A8" s="28" t="s">
        <v>52</v>
      </c>
      <c r="B8" s="32" t="s">
        <v>117</v>
      </c>
      <c r="C8" s="33" t="s">
        <v>54</v>
      </c>
      <c r="D8" s="33" t="s">
        <v>55</v>
      </c>
      <c r="E8" s="33" t="s">
        <v>56</v>
      </c>
      <c r="F8" s="34" t="s">
        <v>57</v>
      </c>
      <c r="G8" s="28" t="s">
        <v>39</v>
      </c>
    </row>
    <row r="9" spans="1:7" ht="48" customHeight="1">
      <c r="A9" s="5" t="s">
        <v>73</v>
      </c>
      <c r="B9" s="29">
        <f>COUNTIF('Line Items'!$E$4:$E$11,A9)</f>
        <v>3</v>
      </c>
      <c r="C9" s="14">
        <f>SUMIF('Line Items'!$E$4:$E$11,A9,'Line Items'!$G$4:$G$11)</f>
        <v>103000</v>
      </c>
      <c r="D9" s="14">
        <f>SUMIF('Line Items'!$E$4:$E$11,A9,'Line Items'!$H$4:$H$11)</f>
        <v>0</v>
      </c>
      <c r="E9" s="14">
        <f>SUMIF('Line Items'!$E$4:$E$11,A9,'Line Items'!$I$4:$I$11)</f>
        <v>0</v>
      </c>
      <c r="F9" s="15" t="str">
        <f>IF(SUMIFS('Line Items'!$G$4:$G$11,'Line Items'!$E$4:$E$11,A9,'Line Items'!$H$4:$H$11,"&lt;&gt;")=0,"",E9/SUMIFS('Line Items'!$G$4:$G$11,'Line Items'!$E$4:$E$11,A9,'Line Items'!$H$4:$H$11,"&lt;&gt;"))</f>
        <v/>
      </c>
      <c r="G9" s="5" t="s">
        <v>122</v>
      </c>
    </row>
    <row r="10" spans="1:7">
      <c r="A10" s="7" t="s">
        <v>65</v>
      </c>
      <c r="B10" s="30">
        <f>COUNTIF('Line Items'!$E$4:$E$11,A10)</f>
        <v>2</v>
      </c>
      <c r="C10" s="18">
        <f>SUMIF('Line Items'!$E$4:$E$11,A10,'Line Items'!$G$4:$G$11)</f>
        <v>0</v>
      </c>
      <c r="D10" s="18">
        <f>SUMIF('Line Items'!$E$4:$E$11,A10,'Line Items'!$H$4:$H$11)</f>
        <v>0</v>
      </c>
      <c r="E10" s="18">
        <f>SUMIF('Line Items'!$E$4:$E$11,A10,'Line Items'!$I$4:$I$11)</f>
        <v>0</v>
      </c>
      <c r="F10" s="19" t="str">
        <f>IF(SUMIFS('Line Items'!$G$4:$G$11,'Line Items'!$E$4:$E$11,A10,'Line Items'!$H$4:$H$11,"&lt;&gt;")=0,"",E10/SUMIFS('Line Items'!$G$4:$G$11,'Line Items'!$E$4:$E$11,A10,'Line Items'!$H$4:$H$11,"&lt;&gt;"))</f>
        <v/>
      </c>
      <c r="G10" s="7" t="s">
        <v>123</v>
      </c>
    </row>
    <row r="11" spans="1:7">
      <c r="A11" s="5" t="s">
        <v>85</v>
      </c>
      <c r="B11" s="29">
        <f>COUNTIF('Line Items'!$E$4:$E$11,A11)</f>
        <v>1</v>
      </c>
      <c r="C11" s="14">
        <f>SUMIF('Line Items'!$E$4:$E$11,A11,'Line Items'!$G$4:$G$11)</f>
        <v>50000</v>
      </c>
      <c r="D11" s="14">
        <f>SUMIF('Line Items'!$E$4:$E$11,A11,'Line Items'!$H$4:$H$11)</f>
        <v>0</v>
      </c>
      <c r="E11" s="14">
        <f>SUMIF('Line Items'!$E$4:$E$11,A11,'Line Items'!$I$4:$I$11)</f>
        <v>0</v>
      </c>
      <c r="F11" s="15" t="str">
        <f>IF(SUMIFS('Line Items'!$G$4:$G$11,'Line Items'!$E$4:$E$11,A11,'Line Items'!$H$4:$H$11,"&lt;&gt;")=0,"",E11/SUMIFS('Line Items'!$G$4:$G$11,'Line Items'!$E$4:$E$11,A11,'Line Items'!$H$4:$H$11,"&lt;&gt;"))</f>
        <v/>
      </c>
      <c r="G11" s="5" t="s">
        <v>124</v>
      </c>
    </row>
    <row r="12" spans="1:7">
      <c r="A12" s="7" t="s">
        <v>96</v>
      </c>
      <c r="B12" s="30">
        <f>COUNTIF('Line Items'!$E$4:$E$11,A12)</f>
        <v>2</v>
      </c>
      <c r="C12" s="18">
        <f>SUMIF('Line Items'!$E$4:$E$11,A12,'Line Items'!$G$4:$G$11)</f>
        <v>53000</v>
      </c>
      <c r="D12" s="18">
        <f>SUMIF('Line Items'!$E$4:$E$11,A12,'Line Items'!$H$4:$H$11)</f>
        <v>0</v>
      </c>
      <c r="E12" s="18">
        <f>SUMIF('Line Items'!$E$4:$E$11,A12,'Line Items'!$I$4:$I$11)</f>
        <v>0</v>
      </c>
      <c r="F12" s="19" t="str">
        <f>IF(SUMIFS('Line Items'!$G$4:$G$11,'Line Items'!$E$4:$E$11,A12,'Line Items'!$H$4:$H$11,"&lt;&gt;")=0,"",E12/SUMIFS('Line Items'!$G$4:$G$11,'Line Items'!$E$4:$E$11,A12,'Line Items'!$H$4:$H$11,"&lt;&gt;"))</f>
        <v/>
      </c>
      <c r="G12" s="7" t="s">
        <v>125</v>
      </c>
    </row>
    <row r="13" spans="1:7" ht="30" customHeight="1">
      <c r="A13" s="21" t="s">
        <v>126</v>
      </c>
      <c r="B13" s="31">
        <f>SUM(B9:B12)</f>
        <v>8</v>
      </c>
      <c r="C13" s="22">
        <f>SUM(C9:C12)</f>
        <v>206000</v>
      </c>
      <c r="D13" s="22">
        <f>SUM(D9:D12)</f>
        <v>0</v>
      </c>
      <c r="E13" s="22">
        <f>SUM(E9:E12)</f>
        <v>0</v>
      </c>
      <c r="F13" s="23" t="str">
        <f>IF(SUMIFS('Line Items'!$G$4:$G$11,'Line Items'!$H$4:$H$11,"&lt;&gt;")=0,"",E13/SUMIFS('Line Items'!$G$4:$G$11,'Line Items'!$H$4:$H$11,"&lt;&gt;"))</f>
        <v/>
      </c>
      <c r="G13" s="21" t="s">
        <v>127</v>
      </c>
    </row>
    <row r="14" spans="1:7">
      <c r="A14" s="5"/>
      <c r="B14" s="29"/>
      <c r="C14" s="14"/>
      <c r="D14" s="14"/>
      <c r="E14" s="14"/>
      <c r="F14" s="4"/>
      <c r="G14" s="5"/>
    </row>
    <row r="15" spans="1:7">
      <c r="A15" s="28" t="s">
        <v>128</v>
      </c>
      <c r="B15" s="32" t="s">
        <v>117</v>
      </c>
      <c r="C15" s="33" t="s">
        <v>54</v>
      </c>
      <c r="D15" s="33"/>
      <c r="E15" s="33"/>
      <c r="F15" s="27"/>
      <c r="G15" s="28" t="s">
        <v>39</v>
      </c>
    </row>
    <row r="16" spans="1:7" ht="33.75" customHeight="1">
      <c r="A16" s="5" t="s">
        <v>129</v>
      </c>
      <c r="B16" s="29">
        <f>COUNTIF('Line Items'!$K$4:$K$11,"Approved*")</f>
        <v>3</v>
      </c>
      <c r="C16" s="14">
        <f>SUMIF('Line Items'!$K$4:$K$11,"Approved*",'Line Items'!$G$4:$G$11)</f>
        <v>100000</v>
      </c>
      <c r="D16" s="14"/>
      <c r="E16" s="14"/>
      <c r="F16" s="4"/>
      <c r="G16" s="5" t="s">
        <v>130</v>
      </c>
    </row>
    <row r="17" spans="1:7" ht="48" customHeight="1">
      <c r="A17" s="7" t="s">
        <v>131</v>
      </c>
      <c r="B17" s="30">
        <f>COUNTIF('Line Items'!$K$4:$K$11,"Requested*")</f>
        <v>4</v>
      </c>
      <c r="C17" s="18">
        <f>SUMIF('Line Items'!$K$4:$K$11,"Requested*",'Line Items'!$G$4:$G$11)</f>
        <v>106000</v>
      </c>
      <c r="D17" s="18"/>
      <c r="E17" s="18"/>
      <c r="F17" s="16"/>
      <c r="G17" s="7" t="s">
        <v>132</v>
      </c>
    </row>
    <row r="18" spans="1:7">
      <c r="A18" s="5" t="s">
        <v>133</v>
      </c>
      <c r="B18" s="29">
        <f>B6-B16-B17</f>
        <v>1</v>
      </c>
      <c r="C18" s="14">
        <f>C6-C16-C17</f>
        <v>0</v>
      </c>
      <c r="D18" s="14"/>
      <c r="E18" s="14"/>
      <c r="F18" s="4"/>
      <c r="G18" s="5" t="s">
        <v>134</v>
      </c>
    </row>
    <row r="19" spans="1:7">
      <c r="A19" s="5"/>
      <c r="B19" s="4"/>
      <c r="C19" s="4"/>
      <c r="D19" s="4"/>
      <c r="E19" s="4"/>
      <c r="F19" s="4"/>
      <c r="G19" s="5"/>
    </row>
    <row r="20" spans="1:7">
      <c r="A20" s="28" t="s">
        <v>135</v>
      </c>
      <c r="B20" s="27" t="s">
        <v>38</v>
      </c>
      <c r="C20" s="27"/>
      <c r="D20" s="27"/>
      <c r="E20" s="27"/>
      <c r="F20" s="27"/>
      <c r="G20" s="28" t="s">
        <v>136</v>
      </c>
    </row>
    <row r="21" spans="1:7" ht="48" customHeight="1">
      <c r="A21" s="5" t="s">
        <v>137</v>
      </c>
      <c r="B21" s="14">
        <f>COUNTA('Line Items'!B4:B11)</f>
        <v>8</v>
      </c>
      <c r="C21" s="4"/>
      <c r="D21" s="4"/>
      <c r="E21" s="4"/>
      <c r="F21" s="4"/>
      <c r="G21" s="5" t="s">
        <v>138</v>
      </c>
    </row>
    <row r="22" spans="1:7">
      <c r="A22" s="7" t="s">
        <v>139</v>
      </c>
      <c r="B22" s="18">
        <f>COUNT('Line Items'!G4:G11)</f>
        <v>6</v>
      </c>
      <c r="C22" s="16"/>
      <c r="D22" s="16"/>
      <c r="E22" s="16"/>
      <c r="F22" s="16"/>
      <c r="G22" s="7" t="s">
        <v>140</v>
      </c>
    </row>
    <row r="23" spans="1:7">
      <c r="A23" s="5" t="s">
        <v>141</v>
      </c>
      <c r="B23" s="14">
        <f>COUNT('Line Items'!H4:H11)</f>
        <v>0</v>
      </c>
      <c r="C23" s="4"/>
      <c r="D23" s="4"/>
      <c r="E23" s="4"/>
      <c r="F23" s="4"/>
      <c r="G23" s="5" t="s">
        <v>142</v>
      </c>
    </row>
    <row r="24" spans="1:7">
      <c r="A24" s="7" t="s">
        <v>143</v>
      </c>
      <c r="B24" s="18">
        <f>COUNTIF('Line Items'!I4:I11,"&lt;0")</f>
        <v>0</v>
      </c>
      <c r="C24" s="16"/>
      <c r="D24" s="16"/>
      <c r="E24" s="16"/>
      <c r="F24" s="16"/>
      <c r="G24" s="7" t="s">
        <v>144</v>
      </c>
    </row>
    <row r="25" spans="1:7" ht="30" customHeight="1">
      <c r="A25" s="5" t="s">
        <v>145</v>
      </c>
      <c r="B25" s="14">
        <f>C6-SUM('Line Items'!G4:G11)</f>
        <v>0</v>
      </c>
      <c r="C25" s="4"/>
      <c r="D25" s="4"/>
      <c r="E25" s="4"/>
      <c r="F25" s="4"/>
      <c r="G25" s="5" t="s">
        <v>146</v>
      </c>
    </row>
    <row r="26" spans="1:7" ht="30" customHeight="1">
      <c r="A26" s="7" t="s">
        <v>147</v>
      </c>
      <c r="B26" s="18">
        <f>C13-SUM('Line Items'!G4:G11)</f>
        <v>0</v>
      </c>
      <c r="C26" s="16"/>
      <c r="D26" s="16"/>
      <c r="E26" s="16"/>
      <c r="F26" s="16"/>
      <c r="G26" s="7" t="s">
        <v>148</v>
      </c>
    </row>
    <row r="27" spans="1:7">
      <c r="A27" s="5" t="s">
        <v>149</v>
      </c>
      <c r="B27" s="14">
        <f>COUNTA('Approvals Log'!C4:C37)</f>
        <v>34</v>
      </c>
      <c r="C27" s="4"/>
      <c r="D27" s="4"/>
      <c r="E27" s="4"/>
      <c r="F27" s="4"/>
      <c r="G27" s="5" t="s">
        <v>150</v>
      </c>
    </row>
    <row r="28" spans="1:7">
      <c r="A28" s="7" t="s">
        <v>151</v>
      </c>
      <c r="B28" s="18">
        <f>COUNTIF('Approvals Log'!K4:K37,"Approved*")+COUNTIF('Approvals Log'!K4:K37,"Completion*")</f>
        <v>25</v>
      </c>
      <c r="C28" s="16"/>
      <c r="D28" s="16"/>
      <c r="E28" s="16"/>
      <c r="F28" s="16"/>
      <c r="G28" s="7" t="s">
        <v>152</v>
      </c>
    </row>
    <row r="29" spans="1:7">
      <c r="A29" s="5" t="s">
        <v>153</v>
      </c>
      <c r="B29" s="14">
        <f>COUNTIF('Approvals Log'!K4:K37,"No *")</f>
        <v>9</v>
      </c>
      <c r="C29" s="4"/>
      <c r="D29" s="4"/>
      <c r="E29" s="4"/>
      <c r="F29" s="4"/>
      <c r="G29" s="5" t="s">
        <v>154</v>
      </c>
    </row>
    <row r="30" spans="1:7">
      <c r="A30" s="5"/>
      <c r="B30" s="4"/>
      <c r="C30" s="4"/>
      <c r="D30" s="4"/>
      <c r="E30" s="4"/>
      <c r="F30" s="4"/>
      <c r="G30" s="5"/>
    </row>
    <row r="31" spans="1:7">
      <c r="A31" s="28" t="s">
        <v>155</v>
      </c>
      <c r="B31" s="27" t="s">
        <v>38</v>
      </c>
      <c r="C31" s="27"/>
      <c r="D31" s="27"/>
      <c r="E31" s="27"/>
      <c r="F31" s="27"/>
      <c r="G31" s="28" t="s">
        <v>39</v>
      </c>
    </row>
    <row r="32" spans="1:7">
      <c r="A32" s="5" t="s">
        <v>156</v>
      </c>
      <c r="B32" s="35" t="str">
        <f>IF(Overview!B26="","",Overview!B26)</f>
        <v/>
      </c>
      <c r="C32" s="4"/>
      <c r="D32" s="4"/>
      <c r="E32" s="4"/>
      <c r="F32" s="4"/>
      <c r="G32" s="5" t="s">
        <v>157</v>
      </c>
    </row>
    <row r="33" spans="1:7">
      <c r="A33" s="7" t="s">
        <v>158</v>
      </c>
      <c r="B33" s="30">
        <f>C4</f>
        <v>206000</v>
      </c>
      <c r="C33" s="16"/>
      <c r="D33" s="16"/>
      <c r="E33" s="16"/>
      <c r="F33" s="16"/>
      <c r="G33" s="7" t="s">
        <v>159</v>
      </c>
    </row>
    <row r="34" spans="1:7">
      <c r="A34" s="5" t="s">
        <v>160</v>
      </c>
      <c r="B34" s="35" t="str">
        <f>IF(Overview!$B$26="","",C4/1000*Overview!$B$26)</f>
        <v/>
      </c>
      <c r="C34" s="4"/>
      <c r="D34" s="4"/>
      <c r="E34" s="4"/>
      <c r="F34" s="4"/>
      <c r="G34" s="5" t="str">
        <f>"In "&amp;Overview!B27&amp;" — credits ÷ 1,000 × credit price."</f>
        <v>In USD — credits ÷ 1,000 × credit price.</v>
      </c>
    </row>
    <row r="35" spans="1:7">
      <c r="A35" s="7" t="s">
        <v>161</v>
      </c>
      <c r="B35" s="36" t="str">
        <f>IF(Overview!$B$26="","",B34*Overview!$B$28)</f>
        <v/>
      </c>
      <c r="C35" s="16"/>
      <c r="D35" s="16"/>
      <c r="E35" s="16"/>
      <c r="F35" s="16"/>
      <c r="G35" s="7" t="str">
        <f>"Monthly cost × "&amp;Overview!B28&amp;" months (Overview B28)."</f>
        <v>Monthly cost × 3 months (Overview B28).</v>
      </c>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7" spans="1:7">
      <c r="A57" s="1"/>
      <c r="B57" s="1"/>
      <c r="C57" s="1"/>
      <c r="D57" s="1"/>
      <c r="E57" s="1"/>
      <c r="F57" s="1"/>
      <c r="G57" s="1"/>
    </row>
    <row r="58" spans="1:7">
      <c r="A58" s="1"/>
      <c r="B58" s="1"/>
      <c r="C58" s="1"/>
      <c r="D58" s="1"/>
      <c r="E58" s="1"/>
      <c r="F58" s="1"/>
      <c r="G58" s="1"/>
    </row>
  </sheetData>
  <mergeCells count="2">
    <mergeCell ref="A1:G1"/>
    <mergeCell ref="A2:G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2BB1B-B49B-4F56-82D6-34C88CC90268}">
  <dimension ref="A1:L37"/>
  <sheetViews>
    <sheetView workbookViewId="0">
      <pane xSplit="2" ySplit="3" topLeftCell="C4" activePane="bottomRight" state="frozen"/>
      <selection pane="bottomRight"/>
      <selection pane="bottomLeft"/>
      <selection pane="topRight"/>
    </sheetView>
  </sheetViews>
  <sheetFormatPr defaultRowHeight="15"/>
  <cols>
    <col min="1" max="1" width="5.7109375" customWidth="1"/>
    <col min="2" max="2" width="17.7109375" customWidth="1"/>
    <col min="3" max="3" width="16.7109375" customWidth="1"/>
    <col min="4" max="4" width="18.7109375" customWidth="1"/>
    <col min="5" max="5" width="34.7109375" customWidth="1"/>
    <col min="6" max="6" width="14.7109375" customWidth="1"/>
    <col min="7" max="7" width="22.7109375" customWidth="1"/>
    <col min="8" max="8" width="12.7109375" customWidth="1"/>
    <col min="9" max="9" width="26.7109375" customWidth="1"/>
    <col min="10" max="10" width="44.7109375" customWidth="1"/>
    <col min="11" max="12" width="52.7109375" customWidth="1"/>
  </cols>
  <sheetData>
    <row r="1" spans="1:12">
      <c r="A1" s="54" t="s">
        <v>162</v>
      </c>
      <c r="B1" s="54"/>
      <c r="C1" s="54"/>
      <c r="D1" s="54"/>
      <c r="E1" s="54"/>
      <c r="F1" s="54"/>
      <c r="G1" s="54"/>
      <c r="H1" s="54"/>
      <c r="I1" s="54"/>
      <c r="J1" s="54"/>
      <c r="K1" s="54"/>
      <c r="L1" s="54"/>
    </row>
    <row r="2" spans="1:12" ht="63.75" customHeight="1">
      <c r="A2" s="25" t="s">
        <v>163</v>
      </c>
      <c r="B2" s="25"/>
      <c r="C2" s="25"/>
      <c r="D2" s="25"/>
      <c r="E2" s="25"/>
      <c r="F2" s="25"/>
      <c r="G2" s="25"/>
      <c r="H2" s="25"/>
      <c r="I2" s="25"/>
      <c r="J2" s="25"/>
      <c r="K2" s="25"/>
      <c r="L2" s="25"/>
    </row>
    <row r="3" spans="1:12" ht="32.25" customHeight="1">
      <c r="A3" s="12" t="s">
        <v>164</v>
      </c>
      <c r="B3" s="12" t="s">
        <v>165</v>
      </c>
      <c r="C3" s="12" t="s">
        <v>166</v>
      </c>
      <c r="D3" s="12" t="s">
        <v>52</v>
      </c>
      <c r="E3" s="12" t="s">
        <v>167</v>
      </c>
      <c r="F3" s="12" t="s">
        <v>168</v>
      </c>
      <c r="G3" s="12" t="s">
        <v>169</v>
      </c>
      <c r="H3" s="12" t="s">
        <v>170</v>
      </c>
      <c r="I3" s="12" t="s">
        <v>171</v>
      </c>
      <c r="J3" s="12" t="s">
        <v>172</v>
      </c>
      <c r="K3" s="12" t="s">
        <v>173</v>
      </c>
      <c r="L3" s="12" t="s">
        <v>60</v>
      </c>
    </row>
    <row r="4" spans="1:12" ht="45.75" customHeight="1">
      <c r="A4" s="37">
        <v>1</v>
      </c>
      <c r="B4" s="38">
        <v>46219.652778000003</v>
      </c>
      <c r="C4" s="5" t="s">
        <v>102</v>
      </c>
      <c r="D4" s="5" t="s">
        <v>96</v>
      </c>
      <c r="E4" s="5" t="s">
        <v>174</v>
      </c>
      <c r="F4" s="39">
        <v>50000</v>
      </c>
      <c r="G4" s="5" t="s">
        <v>96</v>
      </c>
      <c r="H4" s="40"/>
      <c r="I4" s="5" t="s">
        <v>175</v>
      </c>
      <c r="J4" s="5" t="s">
        <v>96</v>
      </c>
      <c r="K4" s="5" t="s">
        <v>176</v>
      </c>
      <c r="L4" s="5" t="s">
        <v>177</v>
      </c>
    </row>
    <row r="5" spans="1:12" ht="45.75" customHeight="1">
      <c r="A5" s="41">
        <v>2</v>
      </c>
      <c r="B5" s="42">
        <v>46219.675000000003</v>
      </c>
      <c r="C5" s="7" t="s">
        <v>102</v>
      </c>
      <c r="D5" s="7" t="s">
        <v>96</v>
      </c>
      <c r="E5" s="7" t="s">
        <v>174</v>
      </c>
      <c r="F5" s="43">
        <v>50000</v>
      </c>
      <c r="G5" s="7" t="s">
        <v>96</v>
      </c>
      <c r="H5" s="44"/>
      <c r="I5" s="7" t="s">
        <v>175</v>
      </c>
      <c r="J5" s="7" t="s">
        <v>96</v>
      </c>
      <c r="K5" s="7" t="s">
        <v>176</v>
      </c>
      <c r="L5" s="7" t="s">
        <v>178</v>
      </c>
    </row>
    <row r="6" spans="1:12" ht="45.75" customHeight="1">
      <c r="A6" s="37">
        <v>3</v>
      </c>
      <c r="B6" s="38">
        <v>46220.129166999999</v>
      </c>
      <c r="C6" s="5" t="s">
        <v>102</v>
      </c>
      <c r="D6" s="5" t="s">
        <v>96</v>
      </c>
      <c r="E6" s="5" t="s">
        <v>174</v>
      </c>
      <c r="F6" s="39">
        <v>10000</v>
      </c>
      <c r="G6" s="5" t="s">
        <v>96</v>
      </c>
      <c r="H6" s="40"/>
      <c r="I6" s="5" t="s">
        <v>175</v>
      </c>
      <c r="J6" s="5" t="s">
        <v>96</v>
      </c>
      <c r="K6" s="5" t="s">
        <v>179</v>
      </c>
      <c r="L6" s="5" t="s">
        <v>180</v>
      </c>
    </row>
    <row r="7" spans="1:12" ht="45.75" customHeight="1">
      <c r="A7" s="41">
        <v>4</v>
      </c>
      <c r="B7" s="42">
        <v>46220.515972000001</v>
      </c>
      <c r="C7" s="7" t="s">
        <v>102</v>
      </c>
      <c r="D7" s="7" t="s">
        <v>96</v>
      </c>
      <c r="E7" s="7" t="s">
        <v>174</v>
      </c>
      <c r="F7" s="43">
        <v>10000</v>
      </c>
      <c r="G7" s="7" t="s">
        <v>96</v>
      </c>
      <c r="H7" s="44"/>
      <c r="I7" s="7" t="s">
        <v>175</v>
      </c>
      <c r="J7" s="7" t="s">
        <v>96</v>
      </c>
      <c r="K7" s="7" t="s">
        <v>181</v>
      </c>
      <c r="L7" s="7" t="s">
        <v>182</v>
      </c>
    </row>
    <row r="8" spans="1:12" ht="45.75" customHeight="1">
      <c r="A8" s="37">
        <v>5</v>
      </c>
      <c r="B8" s="38">
        <v>46220.554860999997</v>
      </c>
      <c r="C8" s="5" t="s">
        <v>102</v>
      </c>
      <c r="D8" s="5" t="s">
        <v>96</v>
      </c>
      <c r="E8" s="5" t="s">
        <v>174</v>
      </c>
      <c r="F8" s="39">
        <v>3000</v>
      </c>
      <c r="G8" s="5" t="s">
        <v>96</v>
      </c>
      <c r="H8" s="40"/>
      <c r="I8" s="5" t="s">
        <v>175</v>
      </c>
      <c r="J8" s="5" t="s">
        <v>96</v>
      </c>
      <c r="K8" s="5" t="s">
        <v>183</v>
      </c>
      <c r="L8" s="5" t="s">
        <v>184</v>
      </c>
    </row>
    <row r="9" spans="1:12" ht="45.75" customHeight="1">
      <c r="A9" s="41">
        <v>6</v>
      </c>
      <c r="B9" s="42">
        <v>46220.685417000001</v>
      </c>
      <c r="C9" s="7" t="s">
        <v>102</v>
      </c>
      <c r="D9" s="7" t="s">
        <v>96</v>
      </c>
      <c r="E9" s="7" t="s">
        <v>174</v>
      </c>
      <c r="F9" s="43">
        <v>10000</v>
      </c>
      <c r="G9" s="7" t="s">
        <v>96</v>
      </c>
      <c r="H9" s="44"/>
      <c r="I9" s="7" t="s">
        <v>175</v>
      </c>
      <c r="J9" s="7" t="s">
        <v>96</v>
      </c>
      <c r="K9" s="7" t="s">
        <v>185</v>
      </c>
      <c r="L9" s="7" t="s">
        <v>186</v>
      </c>
    </row>
    <row r="10" spans="1:12" ht="45.75" customHeight="1">
      <c r="A10" s="37">
        <v>7</v>
      </c>
      <c r="B10" s="38">
        <v>46220.979861</v>
      </c>
      <c r="C10" s="5" t="s">
        <v>102</v>
      </c>
      <c r="D10" s="5" t="s">
        <v>96</v>
      </c>
      <c r="E10" s="5" t="s">
        <v>174</v>
      </c>
      <c r="F10" s="39">
        <v>10000</v>
      </c>
      <c r="G10" s="5" t="s">
        <v>96</v>
      </c>
      <c r="H10" s="40"/>
      <c r="I10" s="5" t="s">
        <v>175</v>
      </c>
      <c r="J10" s="5" t="s">
        <v>96</v>
      </c>
      <c r="K10" s="5" t="s">
        <v>187</v>
      </c>
      <c r="L10" s="5" t="s">
        <v>188</v>
      </c>
    </row>
    <row r="11" spans="1:12" ht="45.75" customHeight="1">
      <c r="A11" s="41">
        <v>8</v>
      </c>
      <c r="B11" s="42">
        <v>46220.983332999996</v>
      </c>
      <c r="C11" s="7" t="s">
        <v>102</v>
      </c>
      <c r="D11" s="7" t="s">
        <v>96</v>
      </c>
      <c r="E11" s="7" t="s">
        <v>174</v>
      </c>
      <c r="F11" s="43">
        <v>50000</v>
      </c>
      <c r="G11" s="7" t="s">
        <v>96</v>
      </c>
      <c r="H11" s="44"/>
      <c r="I11" s="7" t="s">
        <v>175</v>
      </c>
      <c r="J11" s="7" t="s">
        <v>96</v>
      </c>
      <c r="K11" s="7" t="s">
        <v>189</v>
      </c>
      <c r="L11" s="7" t="s">
        <v>190</v>
      </c>
    </row>
    <row r="12" spans="1:12" ht="45.75" customHeight="1">
      <c r="A12" s="37">
        <v>9</v>
      </c>
      <c r="B12" s="38">
        <v>46221.608332999996</v>
      </c>
      <c r="C12" s="5" t="s">
        <v>102</v>
      </c>
      <c r="D12" s="5" t="s">
        <v>96</v>
      </c>
      <c r="E12" s="5" t="s">
        <v>174</v>
      </c>
      <c r="F12" s="39">
        <v>10000</v>
      </c>
      <c r="G12" s="5" t="s">
        <v>96</v>
      </c>
      <c r="H12" s="40"/>
      <c r="I12" s="5" t="s">
        <v>175</v>
      </c>
      <c r="J12" s="5" t="s">
        <v>96</v>
      </c>
      <c r="K12" s="5" t="s">
        <v>191</v>
      </c>
      <c r="L12" s="5" t="s">
        <v>192</v>
      </c>
    </row>
    <row r="13" spans="1:12" ht="45.75" customHeight="1">
      <c r="A13" s="41">
        <v>10</v>
      </c>
      <c r="B13" s="42">
        <v>46221.612500000003</v>
      </c>
      <c r="C13" s="7" t="s">
        <v>102</v>
      </c>
      <c r="D13" s="7" t="s">
        <v>96</v>
      </c>
      <c r="E13" s="7" t="s">
        <v>174</v>
      </c>
      <c r="F13" s="43">
        <v>50000</v>
      </c>
      <c r="G13" s="7" t="s">
        <v>96</v>
      </c>
      <c r="H13" s="44"/>
      <c r="I13" s="7" t="s">
        <v>175</v>
      </c>
      <c r="J13" s="7" t="s">
        <v>96</v>
      </c>
      <c r="K13" s="7" t="s">
        <v>193</v>
      </c>
      <c r="L13" s="7" t="s">
        <v>194</v>
      </c>
    </row>
    <row r="14" spans="1:12" ht="45.75" customHeight="1">
      <c r="A14" s="37">
        <v>11</v>
      </c>
      <c r="B14" s="38">
        <v>46223.341667000001</v>
      </c>
      <c r="C14" s="5" t="s">
        <v>64</v>
      </c>
      <c r="D14" s="5" t="s">
        <v>96</v>
      </c>
      <c r="E14" s="5" t="s">
        <v>195</v>
      </c>
      <c r="F14" s="39"/>
      <c r="G14" s="5" t="s">
        <v>96</v>
      </c>
      <c r="H14" s="40"/>
      <c r="I14" s="5" t="s">
        <v>196</v>
      </c>
      <c r="J14" s="5" t="s">
        <v>96</v>
      </c>
      <c r="K14" s="5" t="s">
        <v>197</v>
      </c>
      <c r="L14" s="5" t="s">
        <v>198</v>
      </c>
    </row>
    <row r="15" spans="1:12" ht="45.75" customHeight="1">
      <c r="A15" s="41">
        <v>12</v>
      </c>
      <c r="B15" s="42">
        <v>46223.459027999997</v>
      </c>
      <c r="C15" s="7" t="s">
        <v>64</v>
      </c>
      <c r="D15" s="7" t="s">
        <v>96</v>
      </c>
      <c r="E15" s="7" t="s">
        <v>199</v>
      </c>
      <c r="F15" s="43">
        <v>3000</v>
      </c>
      <c r="G15" s="7" t="s">
        <v>96</v>
      </c>
      <c r="H15" s="44"/>
      <c r="I15" s="7" t="s">
        <v>196</v>
      </c>
      <c r="J15" s="7" t="s">
        <v>96</v>
      </c>
      <c r="K15" s="7" t="s">
        <v>200</v>
      </c>
      <c r="L15" s="7" t="s">
        <v>201</v>
      </c>
    </row>
    <row r="16" spans="1:12" ht="45.75" customHeight="1">
      <c r="A16" s="37">
        <v>13</v>
      </c>
      <c r="B16" s="38">
        <v>46223.468055999998</v>
      </c>
      <c r="C16" s="5" t="s">
        <v>64</v>
      </c>
      <c r="D16" s="5" t="s">
        <v>96</v>
      </c>
      <c r="E16" s="5" t="s">
        <v>199</v>
      </c>
      <c r="F16" s="39">
        <v>10000</v>
      </c>
      <c r="G16" s="5" t="s">
        <v>96</v>
      </c>
      <c r="H16" s="40"/>
      <c r="I16" s="5" t="s">
        <v>196</v>
      </c>
      <c r="J16" s="5" t="s">
        <v>96</v>
      </c>
      <c r="K16" s="5" t="s">
        <v>202</v>
      </c>
      <c r="L16" s="5" t="s">
        <v>203</v>
      </c>
    </row>
    <row r="17" spans="1:12" ht="45.75" customHeight="1">
      <c r="A17" s="41">
        <v>14</v>
      </c>
      <c r="B17" s="42">
        <v>46223.484722000001</v>
      </c>
      <c r="C17" s="7" t="s">
        <v>64</v>
      </c>
      <c r="D17" s="7" t="s">
        <v>96</v>
      </c>
      <c r="E17" s="7" t="s">
        <v>204</v>
      </c>
      <c r="F17" s="43">
        <v>3000</v>
      </c>
      <c r="G17" s="7" t="s">
        <v>96</v>
      </c>
      <c r="H17" s="44"/>
      <c r="I17" s="7" t="s">
        <v>196</v>
      </c>
      <c r="J17" s="7" t="s">
        <v>96</v>
      </c>
      <c r="K17" s="7" t="s">
        <v>205</v>
      </c>
      <c r="L17" s="7" t="s">
        <v>206</v>
      </c>
    </row>
    <row r="18" spans="1:12" ht="45.75" customHeight="1">
      <c r="A18" s="37">
        <v>15</v>
      </c>
      <c r="B18" s="38">
        <v>46223.490277999997</v>
      </c>
      <c r="C18" s="5" t="s">
        <v>64</v>
      </c>
      <c r="D18" s="5" t="s">
        <v>96</v>
      </c>
      <c r="E18" s="5" t="s">
        <v>207</v>
      </c>
      <c r="F18" s="39">
        <v>10000</v>
      </c>
      <c r="G18" s="5" t="s">
        <v>96</v>
      </c>
      <c r="H18" s="40"/>
      <c r="I18" s="5" t="s">
        <v>196</v>
      </c>
      <c r="J18" s="5" t="s">
        <v>96</v>
      </c>
      <c r="K18" s="5" t="s">
        <v>205</v>
      </c>
      <c r="L18" s="5" t="s">
        <v>208</v>
      </c>
    </row>
    <row r="19" spans="1:12" ht="45.75" customHeight="1">
      <c r="A19" s="41">
        <v>16</v>
      </c>
      <c r="B19" s="42">
        <v>46224.363889</v>
      </c>
      <c r="C19" s="7" t="s">
        <v>64</v>
      </c>
      <c r="D19" s="7" t="s">
        <v>96</v>
      </c>
      <c r="E19" s="7" t="s">
        <v>207</v>
      </c>
      <c r="F19" s="43">
        <v>10000</v>
      </c>
      <c r="G19" s="7" t="s">
        <v>96</v>
      </c>
      <c r="H19" s="44"/>
      <c r="I19" s="7" t="s">
        <v>196</v>
      </c>
      <c r="J19" s="7" t="s">
        <v>96</v>
      </c>
      <c r="K19" s="7" t="s">
        <v>209</v>
      </c>
      <c r="L19" s="7" t="s">
        <v>210</v>
      </c>
    </row>
    <row r="20" spans="1:12" ht="45.75" customHeight="1">
      <c r="A20" s="37">
        <v>17</v>
      </c>
      <c r="B20" s="38">
        <v>46227.383332999998</v>
      </c>
      <c r="C20" s="5" t="s">
        <v>64</v>
      </c>
      <c r="D20" s="5" t="s">
        <v>96</v>
      </c>
      <c r="E20" s="5" t="s">
        <v>211</v>
      </c>
      <c r="F20" s="39"/>
      <c r="G20" s="5" t="s">
        <v>96</v>
      </c>
      <c r="H20" s="40"/>
      <c r="I20" s="5" t="s">
        <v>196</v>
      </c>
      <c r="J20" s="5" t="s">
        <v>96</v>
      </c>
      <c r="K20" s="5" t="s">
        <v>212</v>
      </c>
      <c r="L20" s="5" t="s">
        <v>213</v>
      </c>
    </row>
    <row r="21" spans="1:12" ht="45.75" customHeight="1">
      <c r="A21" s="41">
        <v>18</v>
      </c>
      <c r="B21" s="42">
        <v>46234.817361000001</v>
      </c>
      <c r="C21" s="7" t="s">
        <v>95</v>
      </c>
      <c r="D21" s="7" t="s">
        <v>96</v>
      </c>
      <c r="E21" s="7" t="s">
        <v>204</v>
      </c>
      <c r="F21" s="43">
        <v>3000</v>
      </c>
      <c r="G21" s="7" t="s">
        <v>96</v>
      </c>
      <c r="H21" s="44"/>
      <c r="I21" s="7" t="s">
        <v>175</v>
      </c>
      <c r="J21" s="7" t="s">
        <v>96</v>
      </c>
      <c r="K21" s="7" t="s">
        <v>205</v>
      </c>
      <c r="L21" s="7" t="s">
        <v>214</v>
      </c>
    </row>
    <row r="22" spans="1:12" ht="45.75" customHeight="1">
      <c r="A22" s="37">
        <v>19</v>
      </c>
      <c r="B22" s="38">
        <v>46237.627778000002</v>
      </c>
      <c r="C22" s="5" t="s">
        <v>64</v>
      </c>
      <c r="D22" s="5" t="s">
        <v>96</v>
      </c>
      <c r="E22" s="5" t="s">
        <v>207</v>
      </c>
      <c r="F22" s="39">
        <v>10000</v>
      </c>
      <c r="G22" s="5" t="s">
        <v>96</v>
      </c>
      <c r="H22" s="40"/>
      <c r="I22" s="5" t="s">
        <v>215</v>
      </c>
      <c r="J22" s="5" t="s">
        <v>96</v>
      </c>
      <c r="K22" s="5" t="s">
        <v>216</v>
      </c>
      <c r="L22" s="5" t="s">
        <v>217</v>
      </c>
    </row>
    <row r="23" spans="1:12" ht="45.75" customHeight="1">
      <c r="A23" s="41">
        <v>20</v>
      </c>
      <c r="B23" s="42">
        <v>46240.568055999996</v>
      </c>
      <c r="C23" s="7" t="s">
        <v>72</v>
      </c>
      <c r="D23" s="7" t="s">
        <v>96</v>
      </c>
      <c r="E23" s="7" t="s">
        <v>204</v>
      </c>
      <c r="F23" s="43">
        <v>3000</v>
      </c>
      <c r="G23" s="7" t="s">
        <v>96</v>
      </c>
      <c r="H23" s="44"/>
      <c r="I23" s="7" t="s">
        <v>196</v>
      </c>
      <c r="J23" s="7" t="s">
        <v>96</v>
      </c>
      <c r="K23" s="7" t="s">
        <v>218</v>
      </c>
      <c r="L23" s="7" t="s">
        <v>219</v>
      </c>
    </row>
    <row r="24" spans="1:12" ht="45.75" customHeight="1">
      <c r="A24" s="37">
        <v>21</v>
      </c>
      <c r="B24" s="38">
        <v>46240.578472000001</v>
      </c>
      <c r="C24" s="5" t="s">
        <v>72</v>
      </c>
      <c r="D24" s="5" t="s">
        <v>96</v>
      </c>
      <c r="E24" s="5" t="s">
        <v>207</v>
      </c>
      <c r="F24" s="39">
        <v>10000</v>
      </c>
      <c r="G24" s="5" t="s">
        <v>96</v>
      </c>
      <c r="H24" s="40"/>
      <c r="I24" s="5" t="s">
        <v>196</v>
      </c>
      <c r="J24" s="5" t="s">
        <v>96</v>
      </c>
      <c r="K24" s="5" t="s">
        <v>218</v>
      </c>
      <c r="L24" s="5" t="s">
        <v>220</v>
      </c>
    </row>
    <row r="25" spans="1:12" ht="45.75" customHeight="1">
      <c r="A25" s="41">
        <v>22</v>
      </c>
      <c r="B25" s="42">
        <v>46240.586805999999</v>
      </c>
      <c r="C25" s="7" t="s">
        <v>72</v>
      </c>
      <c r="D25" s="7" t="s">
        <v>73</v>
      </c>
      <c r="E25" s="7" t="s">
        <v>221</v>
      </c>
      <c r="F25" s="43">
        <v>50000</v>
      </c>
      <c r="G25" s="7" t="s">
        <v>222</v>
      </c>
      <c r="H25" s="44">
        <v>46241</v>
      </c>
      <c r="I25" s="7" t="s">
        <v>215</v>
      </c>
      <c r="J25" s="7" t="s">
        <v>223</v>
      </c>
      <c r="K25" s="7" t="s">
        <v>224</v>
      </c>
      <c r="L25" s="7" t="s">
        <v>225</v>
      </c>
    </row>
    <row r="26" spans="1:12" ht="45.75" customHeight="1">
      <c r="A26" s="37">
        <v>23</v>
      </c>
      <c r="B26" s="38">
        <v>46241.236110999998</v>
      </c>
      <c r="C26" s="5" t="s">
        <v>72</v>
      </c>
      <c r="D26" s="5" t="s">
        <v>73</v>
      </c>
      <c r="E26" s="5" t="s">
        <v>221</v>
      </c>
      <c r="F26" s="39">
        <v>50000</v>
      </c>
      <c r="G26" s="5" t="s">
        <v>226</v>
      </c>
      <c r="H26" s="40"/>
      <c r="I26" s="5" t="s">
        <v>215</v>
      </c>
      <c r="J26" s="5" t="s">
        <v>227</v>
      </c>
      <c r="K26" s="5" t="s">
        <v>228</v>
      </c>
      <c r="L26" s="5" t="s">
        <v>229</v>
      </c>
    </row>
    <row r="27" spans="1:12" ht="45.75" customHeight="1">
      <c r="A27" s="41">
        <v>24</v>
      </c>
      <c r="B27" s="42">
        <v>46246.309721999998</v>
      </c>
      <c r="C27" s="7" t="s">
        <v>64</v>
      </c>
      <c r="D27" s="7" t="s">
        <v>65</v>
      </c>
      <c r="E27" s="7" t="s">
        <v>207</v>
      </c>
      <c r="F27" s="43">
        <v>10000</v>
      </c>
      <c r="G27" s="7" t="s">
        <v>222</v>
      </c>
      <c r="H27" s="44">
        <v>46247</v>
      </c>
      <c r="I27" s="7" t="s">
        <v>215</v>
      </c>
      <c r="J27" s="7" t="s">
        <v>230</v>
      </c>
      <c r="K27" s="7" t="s">
        <v>231</v>
      </c>
      <c r="L27" s="7" t="s">
        <v>232</v>
      </c>
    </row>
    <row r="28" spans="1:12" ht="45.75" customHeight="1">
      <c r="A28" s="37">
        <v>25</v>
      </c>
      <c r="B28" s="38">
        <v>46246.327777999999</v>
      </c>
      <c r="C28" s="5" t="s">
        <v>64</v>
      </c>
      <c r="D28" s="5" t="s">
        <v>65</v>
      </c>
      <c r="E28" s="5" t="s">
        <v>204</v>
      </c>
      <c r="F28" s="39">
        <v>3000</v>
      </c>
      <c r="G28" s="5" t="s">
        <v>233</v>
      </c>
      <c r="H28" s="40">
        <v>46247</v>
      </c>
      <c r="I28" s="5" t="s">
        <v>215</v>
      </c>
      <c r="J28" s="5" t="s">
        <v>234</v>
      </c>
      <c r="K28" s="5" t="s">
        <v>235</v>
      </c>
      <c r="L28" s="5" t="s">
        <v>236</v>
      </c>
    </row>
    <row r="29" spans="1:12" ht="45.75" customHeight="1">
      <c r="A29" s="41">
        <v>26</v>
      </c>
      <c r="B29" s="42">
        <v>46246.329860999998</v>
      </c>
      <c r="C29" s="7" t="s">
        <v>64</v>
      </c>
      <c r="D29" s="7" t="s">
        <v>65</v>
      </c>
      <c r="E29" s="7" t="s">
        <v>221</v>
      </c>
      <c r="F29" s="43">
        <v>50000</v>
      </c>
      <c r="G29" s="7" t="s">
        <v>222</v>
      </c>
      <c r="H29" s="44">
        <v>46247</v>
      </c>
      <c r="I29" s="7" t="s">
        <v>215</v>
      </c>
      <c r="J29" s="7" t="s">
        <v>237</v>
      </c>
      <c r="K29" s="7" t="s">
        <v>238</v>
      </c>
      <c r="L29" s="7" t="s">
        <v>239</v>
      </c>
    </row>
    <row r="30" spans="1:12" ht="45.75" customHeight="1">
      <c r="A30" s="37">
        <v>27</v>
      </c>
      <c r="B30" s="38">
        <v>46247.238889</v>
      </c>
      <c r="C30" s="5" t="s">
        <v>72</v>
      </c>
      <c r="D30" s="5" t="s">
        <v>73</v>
      </c>
      <c r="E30" s="5" t="s">
        <v>207</v>
      </c>
      <c r="F30" s="39">
        <v>10000</v>
      </c>
      <c r="G30" s="5" t="s">
        <v>233</v>
      </c>
      <c r="H30" s="40">
        <v>46266</v>
      </c>
      <c r="I30" s="5" t="s">
        <v>215</v>
      </c>
      <c r="J30" s="5" t="s">
        <v>240</v>
      </c>
      <c r="K30" s="5" t="s">
        <v>241</v>
      </c>
      <c r="L30" s="5" t="s">
        <v>242</v>
      </c>
    </row>
    <row r="31" spans="1:12" ht="45.75" customHeight="1">
      <c r="A31" s="41">
        <v>28</v>
      </c>
      <c r="B31" s="42">
        <v>46247.387499999997</v>
      </c>
      <c r="C31" s="7" t="s">
        <v>72</v>
      </c>
      <c r="D31" s="7" t="s">
        <v>73</v>
      </c>
      <c r="E31" s="7" t="s">
        <v>221</v>
      </c>
      <c r="F31" s="43">
        <v>50000</v>
      </c>
      <c r="G31" s="7" t="s">
        <v>226</v>
      </c>
      <c r="H31" s="44"/>
      <c r="I31" s="7" t="s">
        <v>215</v>
      </c>
      <c r="J31" s="7" t="s">
        <v>243</v>
      </c>
      <c r="K31" s="7" t="s">
        <v>244</v>
      </c>
      <c r="L31" s="7" t="s">
        <v>245</v>
      </c>
    </row>
    <row r="32" spans="1:12" ht="45.75" customHeight="1">
      <c r="A32" s="37">
        <v>29</v>
      </c>
      <c r="B32" s="38">
        <v>46248.371528000003</v>
      </c>
      <c r="C32" s="5" t="s">
        <v>64</v>
      </c>
      <c r="D32" s="5" t="s">
        <v>65</v>
      </c>
      <c r="E32" s="5" t="s">
        <v>207</v>
      </c>
      <c r="F32" s="39">
        <v>10000</v>
      </c>
      <c r="G32" s="5" t="s">
        <v>222</v>
      </c>
      <c r="H32" s="40">
        <v>46249</v>
      </c>
      <c r="I32" s="5" t="s">
        <v>215</v>
      </c>
      <c r="J32" s="5" t="s">
        <v>246</v>
      </c>
      <c r="K32" s="5" t="s">
        <v>247</v>
      </c>
      <c r="L32" s="5" t="s">
        <v>248</v>
      </c>
    </row>
    <row r="33" spans="1:12" ht="62.25" customHeight="1">
      <c r="A33" s="41">
        <v>30</v>
      </c>
      <c r="B33" s="42">
        <v>46251.602778</v>
      </c>
      <c r="C33" s="7" t="s">
        <v>84</v>
      </c>
      <c r="D33" s="7" t="s">
        <v>85</v>
      </c>
      <c r="E33" s="7" t="s">
        <v>221</v>
      </c>
      <c r="F33" s="43">
        <v>50000</v>
      </c>
      <c r="G33" s="7" t="s">
        <v>226</v>
      </c>
      <c r="H33" s="44"/>
      <c r="I33" s="7" t="s">
        <v>249</v>
      </c>
      <c r="J33" s="7" t="s">
        <v>250</v>
      </c>
      <c r="K33" s="7" t="s">
        <v>205</v>
      </c>
      <c r="L33" s="7" t="s">
        <v>251</v>
      </c>
    </row>
    <row r="34" spans="1:12" ht="45.75" customHeight="1">
      <c r="A34" s="37">
        <v>31</v>
      </c>
      <c r="B34" s="38">
        <v>46251.936805999998</v>
      </c>
      <c r="C34" s="5" t="s">
        <v>91</v>
      </c>
      <c r="D34" s="5" t="s">
        <v>73</v>
      </c>
      <c r="E34" s="5" t="s">
        <v>204</v>
      </c>
      <c r="F34" s="39">
        <v>3000</v>
      </c>
      <c r="G34" s="5" t="s">
        <v>226</v>
      </c>
      <c r="H34" s="40"/>
      <c r="I34" s="5" t="s">
        <v>252</v>
      </c>
      <c r="J34" s="5" t="s">
        <v>253</v>
      </c>
      <c r="K34" s="5" t="s">
        <v>205</v>
      </c>
      <c r="L34" s="5" t="s">
        <v>254</v>
      </c>
    </row>
    <row r="35" spans="1:12" ht="45.75" customHeight="1">
      <c r="A35" s="41">
        <v>32</v>
      </c>
      <c r="B35" s="42">
        <v>46253.172222000001</v>
      </c>
      <c r="C35" s="7" t="s">
        <v>79</v>
      </c>
      <c r="D35" s="7" t="s">
        <v>73</v>
      </c>
      <c r="E35" s="7" t="s">
        <v>221</v>
      </c>
      <c r="F35" s="43">
        <v>50000</v>
      </c>
      <c r="G35" s="7" t="s">
        <v>222</v>
      </c>
      <c r="H35" s="44">
        <v>46263</v>
      </c>
      <c r="I35" s="7" t="s">
        <v>252</v>
      </c>
      <c r="J35" s="7" t="s">
        <v>255</v>
      </c>
      <c r="K35" s="7" t="s">
        <v>256</v>
      </c>
      <c r="L35" s="7" t="s">
        <v>257</v>
      </c>
    </row>
    <row r="36" spans="1:12" ht="45.75" customHeight="1">
      <c r="A36" s="37">
        <v>33</v>
      </c>
      <c r="B36" s="38">
        <v>46261.304167000002</v>
      </c>
      <c r="C36" s="5" t="s">
        <v>72</v>
      </c>
      <c r="D36" s="5" t="s">
        <v>73</v>
      </c>
      <c r="E36" s="5" t="s">
        <v>207</v>
      </c>
      <c r="F36" s="39">
        <v>10000</v>
      </c>
      <c r="G36" s="5" t="s">
        <v>258</v>
      </c>
      <c r="H36" s="40"/>
      <c r="I36" s="5" t="s">
        <v>196</v>
      </c>
      <c r="J36" s="5" t="s">
        <v>259</v>
      </c>
      <c r="K36" s="5" t="s">
        <v>205</v>
      </c>
      <c r="L36" s="5" t="s">
        <v>260</v>
      </c>
    </row>
    <row r="37" spans="1:12" ht="45.75" customHeight="1">
      <c r="A37" s="41">
        <v>34</v>
      </c>
      <c r="B37" s="42">
        <v>46268.488193999998</v>
      </c>
      <c r="C37" s="7" t="s">
        <v>64</v>
      </c>
      <c r="D37" s="7" t="s">
        <v>65</v>
      </c>
      <c r="E37" s="7" t="s">
        <v>211</v>
      </c>
      <c r="F37" s="43"/>
      <c r="G37" s="7" t="s">
        <v>226</v>
      </c>
      <c r="H37" s="44"/>
      <c r="I37" s="7" t="s">
        <v>196</v>
      </c>
      <c r="J37" s="7" t="s">
        <v>261</v>
      </c>
      <c r="K37" s="7" t="s">
        <v>262</v>
      </c>
      <c r="L37" s="7" t="s">
        <v>263</v>
      </c>
    </row>
  </sheetData>
  <mergeCells count="2">
    <mergeCell ref="A1:L1"/>
    <mergeCell ref="A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9D111-EAB4-4043-B5C6-1AA2A0AC3886}">
  <dimension ref="A1:H14"/>
  <sheetViews>
    <sheetView workbookViewId="0">
      <pane ySplit="3" topLeftCell="A4" activePane="bottomLeft" state="frozen"/>
      <selection pane="bottomLeft"/>
    </sheetView>
  </sheetViews>
  <sheetFormatPr defaultRowHeight="15"/>
  <cols>
    <col min="1" max="1" width="6.7109375" customWidth="1"/>
    <col min="2" max="2" width="40.7109375" customWidth="1"/>
    <col min="3" max="3" width="9.7109375" customWidth="1"/>
    <col min="4" max="5" width="28.7109375" customWidth="1"/>
    <col min="6" max="6" width="66.7109375" customWidth="1"/>
    <col min="7" max="7" width="42.7109375" customWidth="1"/>
    <col min="8" max="8" width="58.7109375" customWidth="1"/>
  </cols>
  <sheetData>
    <row r="1" spans="1:8">
      <c r="A1" s="54" t="s">
        <v>264</v>
      </c>
      <c r="B1" s="54"/>
      <c r="C1" s="54"/>
      <c r="D1" s="54"/>
      <c r="E1" s="54"/>
      <c r="F1" s="54"/>
      <c r="G1" s="54"/>
      <c r="H1" s="54"/>
    </row>
    <row r="2" spans="1:8" ht="32.25" customHeight="1">
      <c r="A2" s="25" t="s">
        <v>265</v>
      </c>
      <c r="B2" s="25"/>
      <c r="C2" s="25"/>
      <c r="D2" s="25"/>
      <c r="E2" s="25"/>
      <c r="F2" s="25"/>
      <c r="G2" s="25"/>
      <c r="H2" s="25"/>
    </row>
    <row r="3" spans="1:8" ht="30" customHeight="1">
      <c r="A3" s="12" t="s">
        <v>49</v>
      </c>
      <c r="B3" s="12" t="s">
        <v>266</v>
      </c>
      <c r="C3" s="12" t="s">
        <v>38</v>
      </c>
      <c r="D3" s="12" t="s">
        <v>53</v>
      </c>
      <c r="E3" s="12" t="s">
        <v>267</v>
      </c>
      <c r="F3" s="12" t="s">
        <v>268</v>
      </c>
      <c r="G3" s="12" t="s">
        <v>269</v>
      </c>
      <c r="H3" s="12" t="s">
        <v>270</v>
      </c>
    </row>
    <row r="4" spans="1:8" ht="62.25" customHeight="1">
      <c r="A4" s="5" t="s">
        <v>271</v>
      </c>
      <c r="B4" s="5" t="s">
        <v>272</v>
      </c>
      <c r="C4" s="45">
        <v>12.7</v>
      </c>
      <c r="D4" s="5" t="s">
        <v>273</v>
      </c>
      <c r="E4" s="5" t="s">
        <v>274</v>
      </c>
      <c r="F4" s="5" t="s">
        <v>275</v>
      </c>
      <c r="G4" s="5" t="s">
        <v>276</v>
      </c>
      <c r="H4" s="5" t="s">
        <v>277</v>
      </c>
    </row>
    <row r="5" spans="1:8" ht="62.25" customHeight="1">
      <c r="A5" s="7" t="s">
        <v>278</v>
      </c>
      <c r="B5" s="7" t="s">
        <v>279</v>
      </c>
      <c r="C5" s="46">
        <v>3</v>
      </c>
      <c r="D5" s="7" t="s">
        <v>280</v>
      </c>
      <c r="E5" s="7" t="s">
        <v>281</v>
      </c>
      <c r="F5" s="7" t="s">
        <v>282</v>
      </c>
      <c r="G5" s="7" t="s">
        <v>283</v>
      </c>
      <c r="H5" s="7" t="s">
        <v>284</v>
      </c>
    </row>
    <row r="6" spans="1:8" ht="62.25" customHeight="1">
      <c r="A6" s="5" t="s">
        <v>285</v>
      </c>
      <c r="B6" s="5" t="s">
        <v>286</v>
      </c>
      <c r="C6" s="45">
        <v>2</v>
      </c>
      <c r="D6" s="5" t="s">
        <v>287</v>
      </c>
      <c r="E6" s="5" t="s">
        <v>288</v>
      </c>
      <c r="F6" s="5" t="s">
        <v>289</v>
      </c>
      <c r="G6" s="5" t="s">
        <v>290</v>
      </c>
      <c r="H6" s="5" t="s">
        <v>291</v>
      </c>
    </row>
    <row r="7" spans="1:8" ht="62.25" customHeight="1">
      <c r="A7" s="7" t="s">
        <v>292</v>
      </c>
      <c r="B7" s="7" t="s">
        <v>293</v>
      </c>
      <c r="C7" s="46">
        <v>3.4</v>
      </c>
      <c r="D7" s="7" t="s">
        <v>280</v>
      </c>
      <c r="E7" s="7" t="s">
        <v>294</v>
      </c>
      <c r="F7" s="7" t="s">
        <v>295</v>
      </c>
      <c r="G7" s="7" t="s">
        <v>296</v>
      </c>
      <c r="H7" s="7" t="s">
        <v>297</v>
      </c>
    </row>
    <row r="8" spans="1:8" ht="62.25" customHeight="1">
      <c r="A8" s="5" t="s">
        <v>298</v>
      </c>
      <c r="B8" s="5" t="s">
        <v>299</v>
      </c>
      <c r="C8" s="45">
        <v>4.7</v>
      </c>
      <c r="D8" s="5" t="s">
        <v>300</v>
      </c>
      <c r="E8" s="5" t="s">
        <v>294</v>
      </c>
      <c r="F8" s="5" t="s">
        <v>301</v>
      </c>
      <c r="G8" s="5" t="s">
        <v>302</v>
      </c>
      <c r="H8" s="5" t="s">
        <v>303</v>
      </c>
    </row>
    <row r="9" spans="1:8" ht="62.25" customHeight="1">
      <c r="A9" s="7" t="s">
        <v>304</v>
      </c>
      <c r="B9" s="7" t="s">
        <v>305</v>
      </c>
      <c r="C9" s="46">
        <v>3.6</v>
      </c>
      <c r="D9" s="7" t="s">
        <v>306</v>
      </c>
      <c r="E9" s="7" t="s">
        <v>307</v>
      </c>
      <c r="F9" s="7" t="s">
        <v>308</v>
      </c>
      <c r="G9" s="7" t="s">
        <v>309</v>
      </c>
      <c r="H9" s="7" t="s">
        <v>310</v>
      </c>
    </row>
    <row r="10" spans="1:8" ht="62.25" customHeight="1">
      <c r="A10" s="5" t="s">
        <v>311</v>
      </c>
      <c r="B10" s="5" t="s">
        <v>312</v>
      </c>
      <c r="C10" s="45">
        <v>3.4</v>
      </c>
      <c r="D10" s="5" t="s">
        <v>306</v>
      </c>
      <c r="E10" s="5" t="s">
        <v>307</v>
      </c>
      <c r="F10" s="5" t="s">
        <v>313</v>
      </c>
      <c r="G10" s="5" t="s">
        <v>314</v>
      </c>
      <c r="H10" s="5" t="s">
        <v>315</v>
      </c>
    </row>
    <row r="11" spans="1:8" ht="62.25" customHeight="1">
      <c r="A11" s="7" t="s">
        <v>316</v>
      </c>
      <c r="B11" s="7" t="s">
        <v>317</v>
      </c>
      <c r="C11" s="46">
        <v>3</v>
      </c>
      <c r="D11" s="7" t="s">
        <v>318</v>
      </c>
      <c r="E11" s="7" t="s">
        <v>319</v>
      </c>
      <c r="F11" s="7" t="s">
        <v>320</v>
      </c>
      <c r="G11" s="7" t="s">
        <v>321</v>
      </c>
      <c r="H11" s="7" t="s">
        <v>315</v>
      </c>
    </row>
    <row r="12" spans="1:8" ht="78" customHeight="1">
      <c r="A12" s="5" t="s">
        <v>322</v>
      </c>
      <c r="B12" s="5" t="s">
        <v>323</v>
      </c>
      <c r="C12" s="45">
        <v>10</v>
      </c>
      <c r="D12" s="5" t="s">
        <v>324</v>
      </c>
      <c r="E12" s="5" t="s">
        <v>325</v>
      </c>
      <c r="F12" s="5" t="s">
        <v>326</v>
      </c>
      <c r="G12" s="5" t="s">
        <v>327</v>
      </c>
      <c r="H12" s="5" t="s">
        <v>315</v>
      </c>
    </row>
    <row r="13" spans="1:8" ht="62.25" customHeight="1">
      <c r="A13" s="7" t="s">
        <v>328</v>
      </c>
      <c r="B13" s="7" t="s">
        <v>329</v>
      </c>
      <c r="C13" s="46">
        <v>3.3</v>
      </c>
      <c r="D13" s="7" t="s">
        <v>280</v>
      </c>
      <c r="E13" s="7" t="s">
        <v>330</v>
      </c>
      <c r="F13" s="7" t="s">
        <v>331</v>
      </c>
      <c r="G13" s="7" t="s">
        <v>332</v>
      </c>
      <c r="H13" s="7" t="s">
        <v>333</v>
      </c>
    </row>
    <row r="14" spans="1:8" ht="62.25" customHeight="1">
      <c r="A14" s="5" t="s">
        <v>334</v>
      </c>
      <c r="B14" s="5" t="s">
        <v>335</v>
      </c>
      <c r="C14" s="45">
        <v>2.9</v>
      </c>
      <c r="D14" s="5" t="s">
        <v>280</v>
      </c>
      <c r="E14" s="5" t="s">
        <v>294</v>
      </c>
      <c r="F14" s="5" t="s">
        <v>336</v>
      </c>
      <c r="G14" s="5" t="s">
        <v>337</v>
      </c>
      <c r="H14" s="5" t="s">
        <v>338</v>
      </c>
    </row>
  </sheetData>
  <mergeCells count="2">
    <mergeCell ref="A1:H1"/>
    <mergeCell ref="A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C644E-4AB7-4530-8BDC-4DED8BC7E114}">
  <dimension ref="A1:G19"/>
  <sheetViews>
    <sheetView workbookViewId="0">
      <pane ySplit="3" topLeftCell="A4" activePane="bottomLeft" state="frozen"/>
      <selection pane="bottomLeft"/>
    </sheetView>
  </sheetViews>
  <sheetFormatPr defaultRowHeight="15"/>
  <cols>
    <col min="1" max="1" width="6.7109375" customWidth="1"/>
    <col min="2" max="2" width="18.7109375" customWidth="1"/>
    <col min="3" max="3" width="78.7109375" customWidth="1"/>
    <col min="4" max="4" width="40.7109375" customWidth="1"/>
    <col min="5" max="5" width="24.7109375" customWidth="1"/>
    <col min="6" max="6" width="34.7109375" customWidth="1"/>
    <col min="7" max="7" width="60.7109375" customWidth="1"/>
  </cols>
  <sheetData>
    <row r="1" spans="1:7">
      <c r="A1" s="54" t="s">
        <v>339</v>
      </c>
      <c r="B1" s="54"/>
      <c r="C1" s="54"/>
      <c r="D1" s="54"/>
      <c r="E1" s="54"/>
      <c r="F1" s="54"/>
      <c r="G1" s="54"/>
    </row>
    <row r="2" spans="1:7">
      <c r="A2" s="25" t="s">
        <v>340</v>
      </c>
      <c r="B2" s="25"/>
      <c r="C2" s="25"/>
      <c r="D2" s="25"/>
      <c r="E2" s="25"/>
      <c r="F2" s="25"/>
      <c r="G2" s="25"/>
    </row>
    <row r="3" spans="1:7" ht="27.75" customHeight="1">
      <c r="A3" s="12" t="s">
        <v>49</v>
      </c>
      <c r="B3" s="12" t="s">
        <v>341</v>
      </c>
      <c r="C3" s="12" t="s">
        <v>60</v>
      </c>
      <c r="D3" s="12" t="s">
        <v>342</v>
      </c>
      <c r="E3" s="12" t="s">
        <v>343</v>
      </c>
      <c r="F3" s="12" t="s">
        <v>344</v>
      </c>
      <c r="G3" s="12" t="s">
        <v>345</v>
      </c>
    </row>
    <row r="4" spans="1:7" ht="48" customHeight="1">
      <c r="A4" s="5" t="s">
        <v>346</v>
      </c>
      <c r="B4" s="5" t="s">
        <v>347</v>
      </c>
      <c r="C4" s="47" t="s">
        <v>348</v>
      </c>
      <c r="D4" s="5" t="s">
        <v>349</v>
      </c>
      <c r="E4" s="5" t="s">
        <v>350</v>
      </c>
      <c r="F4" s="5" t="s">
        <v>351</v>
      </c>
      <c r="G4" s="5" t="s">
        <v>352</v>
      </c>
    </row>
    <row r="5" spans="1:7" ht="48" customHeight="1">
      <c r="A5" s="7" t="s">
        <v>353</v>
      </c>
      <c r="B5" s="7" t="s">
        <v>347</v>
      </c>
      <c r="C5" s="50" t="s">
        <v>354</v>
      </c>
      <c r="D5" s="7" t="s">
        <v>355</v>
      </c>
      <c r="E5" s="7" t="s">
        <v>356</v>
      </c>
      <c r="F5" s="7" t="s">
        <v>357</v>
      </c>
      <c r="G5" s="7" t="s">
        <v>358</v>
      </c>
    </row>
    <row r="6" spans="1:7" ht="48" customHeight="1">
      <c r="A6" s="5" t="s">
        <v>359</v>
      </c>
      <c r="B6" s="5" t="s">
        <v>347</v>
      </c>
      <c r="C6" s="47" t="s">
        <v>360</v>
      </c>
      <c r="D6" s="5" t="s">
        <v>361</v>
      </c>
      <c r="E6" s="5" t="s">
        <v>362</v>
      </c>
      <c r="F6" s="5" t="s">
        <v>363</v>
      </c>
      <c r="G6" s="5" t="s">
        <v>364</v>
      </c>
    </row>
    <row r="7" spans="1:7" ht="48" customHeight="1">
      <c r="A7" s="7" t="s">
        <v>365</v>
      </c>
      <c r="B7" s="7" t="s">
        <v>366</v>
      </c>
      <c r="C7" s="50" t="s">
        <v>367</v>
      </c>
      <c r="D7" s="7" t="s">
        <v>64</v>
      </c>
      <c r="E7" s="7" t="s">
        <v>368</v>
      </c>
      <c r="F7" s="7" t="s">
        <v>369</v>
      </c>
      <c r="G7" s="7" t="s">
        <v>370</v>
      </c>
    </row>
    <row r="8" spans="1:7" ht="80.25" customHeight="1">
      <c r="A8" s="5" t="s">
        <v>371</v>
      </c>
      <c r="B8" s="5" t="s">
        <v>366</v>
      </c>
      <c r="C8" s="47" t="s">
        <v>372</v>
      </c>
      <c r="D8" s="5" t="s">
        <v>373</v>
      </c>
      <c r="E8" s="5" t="s">
        <v>374</v>
      </c>
      <c r="F8" s="5" t="s">
        <v>375</v>
      </c>
      <c r="G8" s="5" t="s">
        <v>376</v>
      </c>
    </row>
    <row r="9" spans="1:7" ht="33.75" customHeight="1">
      <c r="A9" s="7" t="s">
        <v>377</v>
      </c>
      <c r="B9" s="7" t="s">
        <v>366</v>
      </c>
      <c r="C9" s="50" t="s">
        <v>378</v>
      </c>
      <c r="D9" s="7" t="s">
        <v>379</v>
      </c>
      <c r="E9" s="51">
        <v>46268.625694444447</v>
      </c>
      <c r="F9" s="7" t="s">
        <v>380</v>
      </c>
      <c r="G9" s="7" t="s">
        <v>381</v>
      </c>
    </row>
    <row r="10" spans="1:7" ht="80.25" customHeight="1">
      <c r="A10" s="5" t="s">
        <v>382</v>
      </c>
      <c r="B10" s="5" t="s">
        <v>383</v>
      </c>
      <c r="C10" s="5" t="s">
        <v>384</v>
      </c>
      <c r="D10" s="5" t="s">
        <v>385</v>
      </c>
      <c r="E10" s="48">
        <v>46268</v>
      </c>
      <c r="F10" s="5" t="s">
        <v>386</v>
      </c>
      <c r="G10" s="5" t="s">
        <v>387</v>
      </c>
    </row>
    <row r="11" spans="1:7" ht="33.75" customHeight="1">
      <c r="A11" s="7" t="s">
        <v>388</v>
      </c>
      <c r="B11" s="7" t="s">
        <v>389</v>
      </c>
      <c r="C11" s="7" t="s">
        <v>390</v>
      </c>
      <c r="D11" s="7" t="s">
        <v>391</v>
      </c>
      <c r="E11" s="7">
        <v>2025</v>
      </c>
      <c r="F11" s="7" t="s">
        <v>271</v>
      </c>
      <c r="G11" s="7" t="s">
        <v>277</v>
      </c>
    </row>
    <row r="12" spans="1:7" ht="33.75" customHeight="1">
      <c r="A12" s="5" t="s">
        <v>392</v>
      </c>
      <c r="B12" s="5" t="s">
        <v>389</v>
      </c>
      <c r="C12" s="5" t="s">
        <v>393</v>
      </c>
      <c r="D12" s="5" t="s">
        <v>394</v>
      </c>
      <c r="E12" s="48">
        <v>46251</v>
      </c>
      <c r="F12" s="5" t="s">
        <v>278</v>
      </c>
      <c r="G12" s="5" t="s">
        <v>284</v>
      </c>
    </row>
    <row r="13" spans="1:7" ht="33.75" customHeight="1">
      <c r="A13" s="7" t="s">
        <v>395</v>
      </c>
      <c r="B13" s="7" t="s">
        <v>389</v>
      </c>
      <c r="C13" s="7" t="s">
        <v>396</v>
      </c>
      <c r="D13" s="7" t="s">
        <v>397</v>
      </c>
      <c r="E13" s="52">
        <v>46218</v>
      </c>
      <c r="F13" s="7" t="s">
        <v>285</v>
      </c>
      <c r="G13" s="7" t="s">
        <v>291</v>
      </c>
    </row>
    <row r="14" spans="1:7" ht="33.75" customHeight="1">
      <c r="A14" s="5" t="s">
        <v>398</v>
      </c>
      <c r="B14" s="5" t="s">
        <v>389</v>
      </c>
      <c r="C14" s="5" t="s">
        <v>399</v>
      </c>
      <c r="D14" s="5" t="s">
        <v>400</v>
      </c>
      <c r="E14" s="49">
        <v>46235</v>
      </c>
      <c r="F14" s="5" t="s">
        <v>292</v>
      </c>
      <c r="G14" s="5" t="s">
        <v>297</v>
      </c>
    </row>
    <row r="15" spans="1:7" ht="33.75" customHeight="1">
      <c r="A15" s="7" t="s">
        <v>401</v>
      </c>
      <c r="B15" s="7" t="s">
        <v>389</v>
      </c>
      <c r="C15" s="7" t="s">
        <v>402</v>
      </c>
      <c r="D15" s="7" t="s">
        <v>400</v>
      </c>
      <c r="E15" s="52">
        <v>46247</v>
      </c>
      <c r="F15" s="7" t="s">
        <v>298</v>
      </c>
      <c r="G15" s="7" t="s">
        <v>303</v>
      </c>
    </row>
    <row r="16" spans="1:7" ht="48" customHeight="1">
      <c r="A16" s="5" t="s">
        <v>403</v>
      </c>
      <c r="B16" s="5" t="s">
        <v>389</v>
      </c>
      <c r="C16" s="5" t="s">
        <v>404</v>
      </c>
      <c r="D16" s="5" t="s">
        <v>405</v>
      </c>
      <c r="E16" s="49">
        <v>46204</v>
      </c>
      <c r="F16" s="5" t="s">
        <v>406</v>
      </c>
      <c r="G16" s="5" t="s">
        <v>407</v>
      </c>
    </row>
    <row r="17" spans="1:7" ht="48" customHeight="1">
      <c r="A17" s="7" t="s">
        <v>408</v>
      </c>
      <c r="B17" s="7" t="s">
        <v>389</v>
      </c>
      <c r="C17" s="7" t="s">
        <v>409</v>
      </c>
      <c r="D17" s="7" t="s">
        <v>410</v>
      </c>
      <c r="E17" s="52">
        <v>46248</v>
      </c>
      <c r="F17" s="7" t="s">
        <v>411</v>
      </c>
      <c r="G17" s="7" t="s">
        <v>315</v>
      </c>
    </row>
    <row r="18" spans="1:7" ht="33.75" customHeight="1">
      <c r="A18" s="5" t="s">
        <v>412</v>
      </c>
      <c r="B18" s="5" t="s">
        <v>389</v>
      </c>
      <c r="C18" s="5" t="s">
        <v>413</v>
      </c>
      <c r="D18" s="5" t="s">
        <v>414</v>
      </c>
      <c r="E18" s="48">
        <v>46266</v>
      </c>
      <c r="F18" s="5" t="s">
        <v>328</v>
      </c>
      <c r="G18" s="5" t="s">
        <v>333</v>
      </c>
    </row>
    <row r="19" spans="1:7" ht="33.75" customHeight="1">
      <c r="A19" s="7" t="s">
        <v>415</v>
      </c>
      <c r="B19" s="7" t="s">
        <v>389</v>
      </c>
      <c r="C19" s="7" t="s">
        <v>416</v>
      </c>
      <c r="D19" s="7" t="s">
        <v>417</v>
      </c>
      <c r="E19" s="53">
        <v>46235</v>
      </c>
      <c r="F19" s="7" t="s">
        <v>334</v>
      </c>
      <c r="G19" s="7" t="s">
        <v>338</v>
      </c>
    </row>
  </sheetData>
  <mergeCells count="2">
    <mergeCell ref="A1:G1"/>
    <mergeCell ref="A2: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9F5865-7339-471C-98EF-1305672DFA50}"/>
</file>

<file path=customXml/itemProps2.xml><?xml version="1.0" encoding="utf-8"?>
<ds:datastoreItem xmlns:ds="http://schemas.openxmlformats.org/officeDocument/2006/customXml" ds:itemID="{99217B3A-4040-4CA0-B42C-79BECF7B6086}"/>
</file>

<file path=customXml/itemProps3.xml><?xml version="1.0" encoding="utf-8"?>
<ds:datastoreItem xmlns:ds="http://schemas.openxmlformats.org/officeDocument/2006/customXml" ds:itemID="{D06F3C0B-178E-4C32-8026-A5FBA8EED6D4}"/>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i:0#.f|membership|bobuhac@how2demos.com</cp:lastModifiedBy>
  <cp:revision/>
  <dcterms:created xsi:type="dcterms:W3CDTF">2026-09-03T15:22:05Z</dcterms:created>
  <dcterms:modified xsi:type="dcterms:W3CDTF">2026-09-03T15:38:38Z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