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workbookPr/>
  <mc:AlternateContent xmlns:mc="http://schemas.openxmlformats.org/markup-compatibility/2006">
    <mc:Choice Requires="x15">
      <x15ac:absPath xmlns:x15ac="http://schemas.microsoft.com/office/spreadsheetml/2010/11/ac" url="https://d.docs.live.net/4a84cb1a44de039c/Public/"/>
    </mc:Choice>
  </mc:AlternateContent>
  <xr:revisionPtr revIDLastSave="344" documentId="8_{A805BF8C-F442-44C2-96F9-9A15D4B54795}" xr6:coauthVersionLast="47" xr6:coauthVersionMax="47" xr10:uidLastSave="{6D2F904F-CA5C-48A6-959F-449F3D5176CF}"/>
  <bookViews>
    <workbookView xWindow="-108" yWindow="-108" windowWidth="30936" windowHeight="17496" xr2:uid="{EB71189C-B0E1-4425-AB4D-84E53115CCBD}"/>
  </bookViews>
  <sheets>
    <sheet name="Damage-Calculator" sheetId="7" r:id="rId1"/>
    <sheet name="Weapon-Data" sheetId="4" r:id="rId2"/>
    <sheet name="Faction-Data" sheetId="6" r:id="rId3"/>
    <sheet name="OLD-CALCULATIONS" sheetId="1"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4" i="7" l="1"/>
  <c r="Q8" i="7"/>
  <c r="M8" i="7"/>
  <c r="T1" i="7"/>
  <c r="N12" i="7" s="1" a="1"/>
  <c r="N12" i="7" s="1"/>
  <c r="B7" i="7"/>
  <c r="U777" i="4"/>
  <c r="Q16" i="7" a="1"/>
  <c r="Q16" i="7" s="1"/>
  <c r="P16" i="7" a="1"/>
  <c r="P16" i="7" s="1"/>
  <c r="O16" i="7" a="1"/>
  <c r="O16" i="7" s="1"/>
  <c r="N16" i="7" a="1"/>
  <c r="N16" i="7" s="1"/>
  <c r="M16" i="7" a="1"/>
  <c r="M16" i="7" s="1"/>
  <c r="L16" i="7" a="1"/>
  <c r="L16" i="7" s="1"/>
  <c r="K16" i="7" a="1"/>
  <c r="K16" i="7" s="1"/>
  <c r="J16" i="7" a="1"/>
  <c r="J16" i="7" s="1"/>
  <c r="I16" i="7" a="1"/>
  <c r="I16" i="7" s="1"/>
  <c r="H16" i="7" a="1"/>
  <c r="H16" i="7" s="1"/>
  <c r="H20" i="7" s="1" a="1"/>
  <c r="H20" i="7" s="1"/>
  <c r="G16" i="7" a="1"/>
  <c r="G16" i="7" s="1"/>
  <c r="F16" i="7" a="1"/>
  <c r="F16" i="7" s="1"/>
  <c r="E16" i="7" a="1"/>
  <c r="E16" i="7" s="1"/>
  <c r="D16" i="7" a="1"/>
  <c r="D16" i="7" s="1"/>
  <c r="D20" i="7" s="1" a="1"/>
  <c r="D20" i="7" s="1"/>
  <c r="P12" i="7" a="1"/>
  <c r="P12" i="7" s="1"/>
  <c r="O12" i="7" a="1"/>
  <c r="O12" i="7" s="1"/>
  <c r="J12" i="7" a="1"/>
  <c r="J12" i="7" s="1"/>
  <c r="I12" i="7" a="1"/>
  <c r="I12" i="7" s="1"/>
  <c r="H12" i="7" a="1"/>
  <c r="H12" i="7" s="1"/>
  <c r="F12" i="7"/>
  <c r="E12" i="7"/>
  <c r="D12" i="7"/>
  <c r="B21" i="7"/>
  <c r="B6" i="7"/>
  <c r="T6" i="7" s="1"/>
  <c r="M8" i="1"/>
  <c r="Q12" i="7"/>
  <c r="Q8" i="1"/>
  <c r="C12" i="1" a="1"/>
  <c r="C12" i="1" s="1"/>
  <c r="C16" i="1" a="1"/>
  <c r="C16" i="1" s="1"/>
  <c r="B9" i="7"/>
  <c r="B8" i="7"/>
  <c r="B10" i="7"/>
  <c r="B24" i="7"/>
  <c r="B23" i="7"/>
  <c r="B22" i="7"/>
  <c r="B20" i="7"/>
  <c r="M12" i="7" s="1" a="1"/>
  <c r="M12" i="7" s="1"/>
  <c r="B19" i="7"/>
  <c r="B18" i="7"/>
  <c r="K12" i="7" s="1" a="1"/>
  <c r="K12" i="7" s="1"/>
  <c r="B17" i="7"/>
  <c r="B16" i="7"/>
  <c r="B15" i="7"/>
  <c r="B14" i="7"/>
  <c r="B13" i="7"/>
  <c r="B12" i="7"/>
  <c r="B11" i="7"/>
  <c r="C4" i="1" a="1"/>
  <c r="C4" i="1" s="1"/>
  <c r="R4" i="1" a="1"/>
  <c r="R4" i="1" s="1"/>
  <c r="M4" i="1" s="1" a="1"/>
  <c r="M4" i="1" s="1"/>
  <c r="P4" i="1" a="1"/>
  <c r="P4" i="1" s="1"/>
  <c r="O4" i="1" a="1"/>
  <c r="O4" i="1" s="1"/>
  <c r="N4" i="1" a="1"/>
  <c r="N4" i="1" s="1"/>
  <c r="L4" i="1" a="1"/>
  <c r="L4" i="1" s="1"/>
  <c r="K4" i="1" a="1"/>
  <c r="K4" i="1" s="1"/>
  <c r="J4" i="1" a="1"/>
  <c r="J4" i="1" s="1"/>
  <c r="G4" i="1" a="1"/>
  <c r="G4" i="1" s="1"/>
  <c r="F4" i="1" a="1"/>
  <c r="F4" i="1" s="1"/>
  <c r="E4" i="1" a="1"/>
  <c r="E4" i="1" s="1"/>
  <c r="D4" i="1" a="1"/>
  <c r="D4" i="1" s="1"/>
  <c r="K16" i="1" a="1"/>
  <c r="K16" i="1" s="1"/>
  <c r="L16" i="1" a="1"/>
  <c r="L16" i="1" s="1"/>
  <c r="M16" i="1" a="1"/>
  <c r="M16" i="1" s="1"/>
  <c r="N16" i="1" a="1"/>
  <c r="N16" i="1" s="1"/>
  <c r="O16" i="1" a="1"/>
  <c r="O16" i="1" s="1"/>
  <c r="P16" i="1" a="1"/>
  <c r="P16" i="1" s="1"/>
  <c r="Q16" i="1" a="1"/>
  <c r="Q16" i="1" s="1"/>
  <c r="D16" i="1" a="1"/>
  <c r="D16" i="1" s="1"/>
  <c r="E16" i="1" a="1"/>
  <c r="E16" i="1" s="1"/>
  <c r="F16" i="1" a="1"/>
  <c r="F16" i="1" s="1"/>
  <c r="G16" i="1" a="1"/>
  <c r="G16" i="1" s="1"/>
  <c r="H16" i="1" a="1"/>
  <c r="H16" i="1" s="1"/>
  <c r="I16" i="1" a="1"/>
  <c r="I16" i="1" s="1"/>
  <c r="J16" i="1" a="1"/>
  <c r="J16" i="1" s="1"/>
  <c r="P12" i="1" a="1"/>
  <c r="P12" i="1" s="1"/>
  <c r="A24" i="1" a="1"/>
  <c r="A24" i="1" s="1"/>
  <c r="A20" i="1" a="1"/>
  <c r="A20" i="1" s="1"/>
  <c r="A28" i="1" a="1"/>
  <c r="A28" i="1" s="1"/>
  <c r="Q12" i="1" a="1"/>
  <c r="Q12" i="1" s="1"/>
  <c r="O12" i="1" a="1"/>
  <c r="O12" i="1" s="1"/>
  <c r="N12" i="1" a="1"/>
  <c r="N12" i="1" s="1"/>
  <c r="M12" i="1" a="1"/>
  <c r="M12" i="1" s="1"/>
  <c r="L12" i="1" a="1"/>
  <c r="L12" i="1" s="1"/>
  <c r="K12" i="1" a="1"/>
  <c r="K12" i="1" s="1"/>
  <c r="J12" i="1" a="1"/>
  <c r="J12" i="1" s="1"/>
  <c r="I12" i="1" a="1"/>
  <c r="I12" i="1" s="1"/>
  <c r="H12" i="1" a="1"/>
  <c r="H12" i="1" s="1"/>
  <c r="G12" i="1" a="1"/>
  <c r="G12" i="1" s="1"/>
  <c r="F12" i="1" a="1"/>
  <c r="F12" i="1" s="1"/>
  <c r="E12" i="1" a="1"/>
  <c r="E12" i="1" s="1"/>
  <c r="D12" i="1" a="1"/>
  <c r="D12" i="1" s="1"/>
  <c r="B5" i="7" l="1"/>
  <c r="L12" i="7" a="1"/>
  <c r="L12" i="7" s="1"/>
  <c r="G12" i="7" s="1" a="1"/>
  <c r="G12" i="7" s="1"/>
  <c r="T7" i="7"/>
  <c r="T10" i="7"/>
  <c r="T8" i="7"/>
  <c r="T9" i="7"/>
  <c r="L20" i="7" a="1"/>
  <c r="L20" i="7" s="1"/>
  <c r="P20" i="7" a="1"/>
  <c r="P20" i="7" s="1"/>
  <c r="F20" i="7" a="1"/>
  <c r="F20" i="7" s="1"/>
  <c r="N20" i="7" a="1"/>
  <c r="N20" i="7" s="1"/>
  <c r="Q20" i="7" a="1"/>
  <c r="Q20" i="7" s="1"/>
  <c r="G20" i="7" a="1"/>
  <c r="G20" i="7" s="1"/>
  <c r="J20" i="7" a="1"/>
  <c r="J20" i="7" s="1"/>
  <c r="K20" i="7" a="1"/>
  <c r="K20" i="7" s="1"/>
  <c r="O20" i="7" a="1"/>
  <c r="O20" i="7" s="1"/>
  <c r="I20" i="7" a="1"/>
  <c r="I20" i="7" s="1"/>
  <c r="E20" i="7" a="1"/>
  <c r="E20" i="7" s="1"/>
  <c r="M20" i="7" a="1"/>
  <c r="M20" i="7" s="1"/>
  <c r="H4" i="1" a="1"/>
  <c r="H4" i="1" s="1"/>
  <c r="I4" i="1" a="1"/>
  <c r="I4" i="1" s="1"/>
  <c r="Q4" i="1" l="1"/>
  <c r="B4" i="1" l="1"/>
  <c r="F20" i="1" s="1" a="1"/>
  <c r="F20" i="1" s="1"/>
  <c r="E28" i="1" a="1"/>
  <c r="E28" i="1" s="1"/>
  <c r="C20" i="1" a="1"/>
  <c r="C20" i="1" s="1"/>
  <c r="F28" i="1" a="1"/>
  <c r="F28" i="1" s="1"/>
  <c r="N24" i="1" a="1"/>
  <c r="N24" i="1" s="1"/>
  <c r="L24" i="1" a="1"/>
  <c r="L24" i="1" s="1"/>
  <c r="M24" i="1" l="1" a="1"/>
  <c r="M24" i="1" s="1"/>
  <c r="M20" i="1" a="1"/>
  <c r="M20" i="1" s="1"/>
  <c r="E20" i="1" a="1"/>
  <c r="E20" i="1" s="1"/>
  <c r="C28" i="1" a="1"/>
  <c r="C28" i="1" s="1"/>
  <c r="D20" i="1" a="1"/>
  <c r="D20" i="1" s="1"/>
  <c r="C24" i="1" a="1"/>
  <c r="C24" i="1" s="1"/>
  <c r="P28" i="1" a="1"/>
  <c r="P28" i="1" s="1"/>
  <c r="I24" i="1" a="1"/>
  <c r="I24" i="1" s="1"/>
  <c r="B24" i="1" a="1"/>
  <c r="B24" i="1" s="1"/>
  <c r="K20" i="1" a="1"/>
  <c r="K20" i="1" s="1"/>
  <c r="L28" i="1" a="1"/>
  <c r="L28" i="1" s="1"/>
  <c r="D24" i="1" a="1"/>
  <c r="D24" i="1" s="1"/>
  <c r="J20" i="1" a="1"/>
  <c r="J20" i="1" s="1"/>
  <c r="M28" i="1" a="1"/>
  <c r="M28" i="1" s="1"/>
  <c r="F24" i="1" a="1"/>
  <c r="F24" i="1" s="1"/>
  <c r="H24" i="1" a="1"/>
  <c r="H24" i="1" s="1"/>
  <c r="H28" i="1" a="1"/>
  <c r="H28" i="1" s="1"/>
  <c r="P20" i="1" a="1"/>
  <c r="P20" i="1" s="1"/>
  <c r="B16" i="1" a="1"/>
  <c r="B16" i="1" s="1"/>
  <c r="K28" i="1" a="1"/>
  <c r="K28" i="1" s="1"/>
  <c r="E24" i="1" a="1"/>
  <c r="E24" i="1" s="1"/>
  <c r="L20" i="1" a="1"/>
  <c r="L20" i="1" s="1"/>
  <c r="O24" i="1" a="1"/>
  <c r="O24" i="1" s="1"/>
  <c r="G24" i="1" a="1"/>
  <c r="G24" i="1" s="1"/>
  <c r="J24" i="1" a="1"/>
  <c r="J24" i="1" s="1"/>
  <c r="B28" i="1" a="1"/>
  <c r="B28" i="1" s="1"/>
  <c r="B20" i="1" a="1"/>
  <c r="B20" i="1" s="1"/>
  <c r="H20" i="1" a="1"/>
  <c r="H20" i="1" s="1"/>
  <c r="G28" i="1" a="1"/>
  <c r="G28" i="1" s="1"/>
  <c r="O28" i="1" a="1"/>
  <c r="O28" i="1" s="1"/>
  <c r="O20" i="1" a="1"/>
  <c r="O20" i="1" s="1"/>
  <c r="P24" i="1" a="1"/>
  <c r="P24" i="1" s="1"/>
  <c r="B12" i="1" a="1"/>
  <c r="B12" i="1" s="1"/>
  <c r="N28" i="1" a="1"/>
  <c r="N28" i="1" s="1"/>
  <c r="I20" i="1" a="1"/>
  <c r="I20" i="1" s="1"/>
  <c r="K24" i="1" a="1"/>
  <c r="K24" i="1" s="1"/>
  <c r="D28" i="1" a="1"/>
  <c r="D28" i="1" s="1"/>
  <c r="G20" i="1" a="1"/>
  <c r="G20" i="1" s="1"/>
  <c r="J28" i="1" a="1"/>
  <c r="J28" i="1" s="1"/>
  <c r="I28" i="1" a="1"/>
  <c r="I28" i="1" s="1"/>
  <c r="N20" i="1" a="1"/>
  <c r="N20" i="1" s="1"/>
  <c r="Q28" i="1" l="1" a="1"/>
  <c r="Q28" i="1" s="1"/>
  <c r="R24" i="1" a="1"/>
  <c r="R24" i="1" s="1"/>
  <c r="Q24" i="1" a="1"/>
  <c r="Q24" i="1" s="1"/>
  <c r="R28" i="1" a="1"/>
  <c r="R28" i="1" s="1"/>
  <c r="Q20" i="1"/>
  <c r="R20" i="1" s="1" a="1"/>
  <c r="R20" i="1" s="1"/>
  <c r="B4" i="7" l="1"/>
  <c r="T20" i="7" l="1" a="1"/>
  <c r="T20" i="7" s="1"/>
  <c r="N24" i="7" a="1"/>
  <c r="N24" i="7" s="1"/>
  <c r="C24" i="7" a="1"/>
  <c r="C24" i="7" s="1"/>
  <c r="T14" i="7" a="1"/>
  <c r="T14" i="7" s="1"/>
  <c r="H24" i="7" a="1"/>
  <c r="H24" i="7" s="1"/>
  <c r="D24" i="7" a="1"/>
  <c r="D24" i="7" s="1"/>
  <c r="T18" i="7" a="1"/>
  <c r="T18" i="7" s="1"/>
  <c r="F24" i="7" a="1"/>
  <c r="F24" i="7" s="1"/>
  <c r="T15" i="7" a="1"/>
  <c r="T15" i="7" s="1"/>
  <c r="T12" i="7" a="1"/>
  <c r="T12" i="7" s="1"/>
  <c r="L24" i="7" a="1"/>
  <c r="L24" i="7" s="1"/>
  <c r="I24" i="7" a="1"/>
  <c r="I24" i="7" s="1"/>
  <c r="T21" i="7" a="1"/>
  <c r="T21" i="7" s="1"/>
  <c r="T13" i="7" a="1"/>
  <c r="T13" i="7" s="1"/>
  <c r="O24" i="7" a="1"/>
  <c r="O24" i="7" s="1"/>
  <c r="T22" i="7" a="1"/>
  <c r="T22" i="7" s="1"/>
  <c r="T23" i="7" a="1"/>
  <c r="T23" i="7" s="1"/>
  <c r="E24" i="7" a="1"/>
  <c r="E24" i="7" s="1"/>
  <c r="T11" i="7" a="1"/>
  <c r="T11" i="7" s="1"/>
  <c r="T19" i="7" a="1"/>
  <c r="T19" i="7" s="1"/>
  <c r="G24" i="7" a="1"/>
  <c r="G24" i="7" s="1"/>
  <c r="T24" i="7" a="1"/>
  <c r="T24" i="7" s="1"/>
  <c r="J24" i="7" a="1"/>
  <c r="J24" i="7" s="1"/>
  <c r="P24" i="7" a="1"/>
  <c r="P24" i="7" s="1"/>
  <c r="M24" i="7" a="1"/>
  <c r="M24" i="7" s="1"/>
  <c r="K24" i="7" a="1"/>
  <c r="K24" i="7" s="1"/>
  <c r="T16" i="7" a="1"/>
  <c r="T16" i="7" s="1"/>
  <c r="T17" i="7" a="1"/>
  <c r="T17" i="7" s="1"/>
  <c r="T4" i="7" l="1"/>
  <c r="T5" i="7" s="1" a="1"/>
  <c r="T5" i="7" s="1"/>
  <c r="R24" i="7" l="1" a="1"/>
  <c r="R24"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<sst xmlns="http://schemas.openxmlformats.org/spreadsheetml/2006/main" count="1137" uniqueCount="883">
  <si>
    <t xml:space="preserve">              Warframe Damage Calculations</t>
  </si>
  <si>
    <t>Weapon Base Values</t>
  </si>
  <si>
    <t>Weapon Information</t>
  </si>
  <si>
    <t>Enemy Information</t>
  </si>
  <si>
    <t>Weapon Final Values</t>
  </si>
  <si>
    <t>Type</t>
  </si>
  <si>
    <t>Values</t>
  </si>
  <si>
    <t>Weapon Name</t>
  </si>
  <si>
    <t>Lich Element</t>
  </si>
  <si>
    <t>Valence Base</t>
  </si>
  <si>
    <t>Faction</t>
  </si>
  <si>
    <t>Armor Base</t>
  </si>
  <si>
    <t>Level</t>
  </si>
  <si>
    <t>Armor @ Level</t>
  </si>
  <si>
    <t>Quanta</t>
  </si>
  <si>
    <t>Tenet Arca Plasmor</t>
  </si>
  <si>
    <t>MAG</t>
  </si>
  <si>
    <t>Grineer</t>
  </si>
  <si>
    <t>Damage</t>
  </si>
  <si>
    <t>Dmg w/Bane</t>
  </si>
  <si>
    <t>Fire Rate</t>
  </si>
  <si>
    <t>Mod Values</t>
  </si>
  <si>
    <t>Multishot</t>
  </si>
  <si>
    <t>IMPACT</t>
  </si>
  <si>
    <t>PUNC</t>
  </si>
  <si>
    <t>SLASH</t>
  </si>
  <si>
    <t>HEAT</t>
  </si>
  <si>
    <t>COLD</t>
  </si>
  <si>
    <t>ELEC</t>
  </si>
  <si>
    <t>TOXIN</t>
  </si>
  <si>
    <t>BLAST</t>
  </si>
  <si>
    <t>RAD</t>
  </si>
  <si>
    <t>GAS</t>
  </si>
  <si>
    <t>VIRAL</t>
  </si>
  <si>
    <t>CORR</t>
  </si>
  <si>
    <t>VOID</t>
  </si>
  <si>
    <t>TRUE</t>
  </si>
  <si>
    <t>BANE</t>
  </si>
  <si>
    <t>Crit. Chance</t>
  </si>
  <si>
    <t>Crit. Multiplier</t>
  </si>
  <si>
    <t>Status Chance</t>
  </si>
  <si>
    <t>Valence Changes</t>
  </si>
  <si>
    <t>Impact</t>
  </si>
  <si>
    <t>Puncture</t>
  </si>
  <si>
    <t>Slash</t>
  </si>
  <si>
    <t>Heat</t>
  </si>
  <si>
    <t>Faction Weakness/Resistances</t>
  </si>
  <si>
    <t>Cold</t>
  </si>
  <si>
    <t>Electric</t>
  </si>
  <si>
    <t>Toxin</t>
  </si>
  <si>
    <t>Blast</t>
  </si>
  <si>
    <t>Armor Modifiers</t>
  </si>
  <si>
    <t>Radiation</t>
  </si>
  <si>
    <t>Gas</t>
  </si>
  <si>
    <t>Magnetic</t>
  </si>
  <si>
    <t>Viral</t>
  </si>
  <si>
    <t>Mod Screen Values</t>
  </si>
  <si>
    <t>Corrosive</t>
  </si>
  <si>
    <t>DMG</t>
  </si>
  <si>
    <t>Void</t>
  </si>
  <si>
    <t>Calculator How-To</t>
  </si>
  <si>
    <t xml:space="preserve">This damage calculator can provide as close to accurate damage values for weapons in Warframe as we can get without knowing the actual underlying code for the game. The calculator takes several inputs to then give you both the values displayed in the mod screen as well as actual values seen when using the weapon. To do this this spreadsheet takes several inputs from you including: weapon name, bonus element and percentage (if Lich weapon), enemy faction, base armor value, and enemy level. You then add the mod values and the sheet should automatically update to give you near perfect damage values for the game. NOTE: Some values are impossible for us to accurately determine as the game often does not give enough percision in certain values to get the true damage numbers. </t>
  </si>
  <si>
    <t xml:space="preserve">Below you will find some notes on how to get more accurate results, as well as how to properly input values into each section. </t>
  </si>
  <si>
    <t>Input Details</t>
  </si>
  <si>
    <t>Other Notes</t>
  </si>
  <si>
    <t>Here simply enter the weapons name; capitilization does not matter. For lich weapons, the name is just the part from either 'Kuva' or 'Tenet' on, ie 'Tenet Arca Plasmor'.</t>
  </si>
  <si>
    <t>Mod Screen Values vs. Weapon Final Values</t>
  </si>
  <si>
    <t xml:space="preserve">If you are entering a Kuva or Tenet weapon, please also include the bonus element for the weapon, using the same shortned format you see in the 'Mod Values' table below this field. </t>
  </si>
  <si>
    <t>You might have noticed at times the values you see while modding your weapon (the box to the left of the mods in game) doesn't seem to match what you see when you take even a single shot at an enemy. While most of this is due to enemy resistance/weakness/armor/bane mods, etc., part of the issue is how Warframe does the calculations, and more specifically how they round. Because of this we provide both those values you see on the mod screen, and the real final values you will see while testing against real enemies!</t>
  </si>
  <si>
    <t>See note to the right →</t>
  </si>
  <si>
    <t>Enter the faction or group fo the enemy you are testing with. Options are: Grineer, Kuva, Corpus, Amalgam, Infested, Deimos, Orokin, Sentient, Narmer, Murmur and Zairman.</t>
  </si>
  <si>
    <t>Kuva/Tenet Weapon Valence Bonus - Why We Don't Use The Percentage</t>
  </si>
  <si>
    <t xml:space="preserve">Level of the enemy you are testing against. </t>
  </si>
  <si>
    <t>Due to the game not giving you enough decimal places to know the actual bonus of your Kuva or Tenet weapon, we need you to get the damage bonus from the weapon to better calculate that whole bonus percentage. Even if the game shows 60% (the max), there is a chance you are actually at 59.9...%, so by finiding the amount the game adds based on the bonus, we can reverse out a more accurate percentage. This might not matter on low base damage weapons, but the deviation can get quite high on more powerful weapons like the Tenet Arca Plasmor</t>
  </si>
  <si>
    <t>Base Armor</t>
  </si>
  <si>
    <t xml:space="preserve">This value can be found on the wiki; for example if testing against the Grineer Heavy Gunner, the base value is 500. </t>
  </si>
  <si>
    <t>Elemental Mods</t>
  </si>
  <si>
    <t>Convert percentage to decimal number, ie 60% to heat would be 0.60 in the HEAT column. YOU MUST COMBINE MOD VALUES FOR CREATED ELEMENTS; See the note below ↓</t>
  </si>
  <si>
    <t>What About Shields, Overguard, or Crits, Multishot, Radial and Blast Damage?</t>
  </si>
  <si>
    <t>True Mods</t>
  </si>
  <si>
    <t xml:space="preserve">Base damage mods, such as 'Serration' or 'Point Blank', or any mod that adds a base weapon damage percentage. As above, convert percentage to a decimal value. </t>
  </si>
  <si>
    <t xml:space="preserve">While enemy shields and overguard can give us a real challenge at times, and using the correct elements can help us bypass or shred them faster, it turns out that the damage both of these take is the exact same as base. So you will find that the damage values you see here match what happens when you shot enemies that have either. As for the other stuff, I plan to add those in the future as we figure them out and get them coded in. </t>
  </si>
  <si>
    <t>Bane Mods</t>
  </si>
  <si>
    <t xml:space="preserve">These are the anti-faction mods, like Bane or Cleanse. Simply enter the numerical value on the mod, ie a maxed level   'Bane of Grineer' would be a 1.30 in the 'BANE' field. </t>
  </si>
  <si>
    <t>Elemental Mod Combinations</t>
  </si>
  <si>
    <t xml:space="preserve">You are most likely aware that combining two elements in Warframe can turn them into a new combined element. For example, adding both Cold and Electricity to a weapon will give you Magnetic instead. While a proper script for calculating damage could handle you simply entering the values of all the mods as they are, remeber this is just Excel. So if you say add a 165% Primed Cold, 60% Toxin, and 90% Heat mod to your weapon (in that order), you would have actually added 225% Viral and 90% Heat. AND if your weapon had a base amount of Electricity damage, then you would actually be creating Viral &amp; Radiation. So due to the complexity that would be required to impliment being able to simply add each mods value, you will need to add the combined value under the new element. So in our first example, you would put 2.25 under 'VIRAL' and 0.9 under 'HEAT', or 0.9 under 'RAD' in our second example of a weapon with base electric damage. </t>
  </si>
  <si>
    <t>Due to the game not giving you enough decimal places to know the actual bonus of your Kuva or Tenet weapon, we need you to get the damage bonus from the weapon to better calculate that whole bonus percentage. Even if the game shows 60% (the max), there is a chance you are actually at 59.9...%, so by finiding the amoun the game adds based on the bonus, we can reverse out a more accurate percentage. This might not matter on low base damage weapons, but the deviation can get quite high on more powerful weapons like the Tenet Arca Plasmor. If the weapon has a base amount of your bonus, say it started with 30 Impact, and now with a 55.6% bonus it shows say 57.8 Impact, still put in that 57.8. The forumlas are designed to handle that!</t>
  </si>
  <si>
    <t>Warframe Raw Weapon Data</t>
  </si>
  <si>
    <t>WEAPON</t>
  </si>
  <si>
    <t>CRITCHAN</t>
  </si>
  <si>
    <t>CRITMULT</t>
  </si>
  <si>
    <t>STATCHAN</t>
  </si>
  <si>
    <t>FIRERATE</t>
  </si>
  <si>
    <t>MULTI</t>
  </si>
  <si>
    <t>Acceltra</t>
  </si>
  <si>
    <t>Acceltra Prime</t>
  </si>
  <si>
    <t>Ack &amp; Brunt</t>
  </si>
  <si>
    <t>Acrid</t>
  </si>
  <si>
    <t>Adlet Core</t>
  </si>
  <si>
    <t>ADRA MUTAGEN</t>
  </si>
  <si>
    <t>Aegrit</t>
  </si>
  <si>
    <t>Aegron Gyro</t>
  </si>
  <si>
    <t>Aeolak</t>
  </si>
  <si>
    <t>Afentis</t>
  </si>
  <si>
    <t>Afuris</t>
  </si>
  <si>
    <t>Afuris Prime</t>
  </si>
  <si>
    <t>Agkuza</t>
  </si>
  <si>
    <t>Akarius</t>
  </si>
  <si>
    <t>Akarius Prime</t>
  </si>
  <si>
    <t>Akaten</t>
  </si>
  <si>
    <t>Akbolto</t>
  </si>
  <si>
    <t>Akbolto Prime</t>
  </si>
  <si>
    <t>Akbronco</t>
  </si>
  <si>
    <t>Akbronco Prime</t>
  </si>
  <si>
    <t>Akjagara</t>
  </si>
  <si>
    <t>Akjagara Prime</t>
  </si>
  <si>
    <t>Aklato</t>
  </si>
  <si>
    <t>Aklex</t>
  </si>
  <si>
    <t>Aklex Prime</t>
  </si>
  <si>
    <t>Akmagnus</t>
  </si>
  <si>
    <t>Akmagnus Prime</t>
  </si>
  <si>
    <t>Aksomati</t>
  </si>
  <si>
    <t>Aksomati Prime</t>
  </si>
  <si>
    <t>Akstiletto</t>
  </si>
  <si>
    <t>Akstiletto Prime</t>
  </si>
  <si>
    <t>Akvasto</t>
  </si>
  <si>
    <t>Akvasto Prime</t>
  </si>
  <si>
    <t>Akzani</t>
  </si>
  <si>
    <t>Alcrom Core</t>
  </si>
  <si>
    <t>Alternox</t>
  </si>
  <si>
    <t>Ambassador</t>
  </si>
  <si>
    <t>Amphis</t>
  </si>
  <si>
    <t>Amprex</t>
  </si>
  <si>
    <t>Angstrum</t>
  </si>
  <si>
    <t>Anku</t>
  </si>
  <si>
    <t>Ankyros</t>
  </si>
  <si>
    <t>Ankyros Prime</t>
  </si>
  <si>
    <t>Anspatha Brace</t>
  </si>
  <si>
    <t>Arc Twelve</t>
  </si>
  <si>
    <t>Arca Plasmor</t>
  </si>
  <si>
    <t>Arca Scisco</t>
  </si>
  <si>
    <t>Arca Titron</t>
  </si>
  <si>
    <t>Arcroid</t>
  </si>
  <si>
    <t>Argo &amp; Vel</t>
  </si>
  <si>
    <t>Argonak</t>
  </si>
  <si>
    <t>ARIOLI MUTAGEN</t>
  </si>
  <si>
    <t>Arquebex</t>
  </si>
  <si>
    <t>Artax</t>
  </si>
  <si>
    <t>Artemis Bow</t>
  </si>
  <si>
    <t>Artemis Bow Prime</t>
  </si>
  <si>
    <t>Arum Spinosa</t>
  </si>
  <si>
    <t>Astilla</t>
  </si>
  <si>
    <t>Astilla Prime</t>
  </si>
  <si>
    <t>Atheca Gyro</t>
  </si>
  <si>
    <t>Athodai</t>
  </si>
  <si>
    <t>Atomos</t>
  </si>
  <si>
    <t>Atterax</t>
  </si>
  <si>
    <t>Attica</t>
  </si>
  <si>
    <t>AX-52</t>
  </si>
  <si>
    <t>Azima</t>
  </si>
  <si>
    <t>Azothane</t>
  </si>
  <si>
    <t>Bad Baby</t>
  </si>
  <si>
    <t>Balefire Charger</t>
  </si>
  <si>
    <t>Balefire Charger Prime</t>
  </si>
  <si>
    <t>Balla</t>
  </si>
  <si>
    <t>Ballistica</t>
  </si>
  <si>
    <t>Ballistica Prime</t>
  </si>
  <si>
    <t>Bashrack</t>
  </si>
  <si>
    <t>Basmu</t>
  </si>
  <si>
    <t>Batoten</t>
  </si>
  <si>
    <t>Battacor</t>
  </si>
  <si>
    <t>Baza</t>
  </si>
  <si>
    <t>Baza Prime</t>
  </si>
  <si>
    <t>Beaky</t>
  </si>
  <si>
    <t>Bellows</t>
  </si>
  <si>
    <t>Bhaira Hound</t>
  </si>
  <si>
    <t>Bo</t>
  </si>
  <si>
    <t>Bo Prime</t>
  </si>
  <si>
    <t>Boar</t>
  </si>
  <si>
    <t>Boar Prime</t>
  </si>
  <si>
    <t>Boltace</t>
  </si>
  <si>
    <t>Bolto</t>
  </si>
  <si>
    <t>Boltor</t>
  </si>
  <si>
    <t>Boltor Prime</t>
  </si>
  <si>
    <t>Brakk</t>
  </si>
  <si>
    <t>Brash</t>
  </si>
  <si>
    <t>Braton</t>
  </si>
  <si>
    <t>Braton Prime</t>
  </si>
  <si>
    <t>Braton Vandal</t>
  </si>
  <si>
    <t>Broken Scepter</t>
  </si>
  <si>
    <t>Broken War</t>
  </si>
  <si>
    <t>Bronco</t>
  </si>
  <si>
    <t>Bronco Prime</t>
  </si>
  <si>
    <t>Bubonico</t>
  </si>
  <si>
    <t>Burst Laser</t>
  </si>
  <si>
    <t>Burst Laser Prime</t>
  </si>
  <si>
    <t>Burston</t>
  </si>
  <si>
    <t>Burston Prime</t>
  </si>
  <si>
    <t>Buzlok</t>
  </si>
  <si>
    <t>Cadus</t>
  </si>
  <si>
    <t>Cantare</t>
  </si>
  <si>
    <t>Cantic Prism</t>
  </si>
  <si>
    <t>Carmine Penta</t>
  </si>
  <si>
    <t>Cassowar</t>
  </si>
  <si>
    <t>Castanas</t>
  </si>
  <si>
    <t>Catabolyst</t>
  </si>
  <si>
    <t>Catchmoon</t>
  </si>
  <si>
    <t>Caustacyst</t>
  </si>
  <si>
    <t>Cedo</t>
  </si>
  <si>
    <t>Cela Bracket</t>
  </si>
  <si>
    <t>Centaur</t>
  </si>
  <si>
    <t>Ceramic Dagger</t>
  </si>
  <si>
    <t>Cerata</t>
  </si>
  <si>
    <t>Cernos</t>
  </si>
  <si>
    <t>Cernos Prime</t>
  </si>
  <si>
    <t>Certus Brace</t>
  </si>
  <si>
    <t>Cestra</t>
  </si>
  <si>
    <t>Ceti Lacera</t>
  </si>
  <si>
    <t>CHITEN MUTAGEN</t>
  </si>
  <si>
    <t>Cinta</t>
  </si>
  <si>
    <t>Clapkra Brace</t>
  </si>
  <si>
    <t>Cobra &amp; Crane</t>
  </si>
  <si>
    <t>Cobra &amp; Crane Prime</t>
  </si>
  <si>
    <t>Coldfusor</t>
  </si>
  <si>
    <t>Convectrix</t>
  </si>
  <si>
    <t>Corinth</t>
  </si>
  <si>
    <t>Corinth Prime</t>
  </si>
  <si>
    <t>Cortege</t>
  </si>
  <si>
    <t>Corufell</t>
  </si>
  <si>
    <t>Corvas</t>
  </si>
  <si>
    <t>Corvas Prime</t>
  </si>
  <si>
    <t>Crescent Vulpaphyla</t>
  </si>
  <si>
    <t>Cronus</t>
  </si>
  <si>
    <t>Cryotra</t>
  </si>
  <si>
    <t>Cyanex</t>
  </si>
  <si>
    <t>Cyath</t>
  </si>
  <si>
    <t>Cycron</t>
  </si>
  <si>
    <t>Cyngas</t>
  </si>
  <si>
    <t>Daikyu</t>
  </si>
  <si>
    <t>Dakra Prime</t>
  </si>
  <si>
    <t>Dark Dagger</t>
  </si>
  <si>
    <t>Dark Split-Sword</t>
  </si>
  <si>
    <t>Dark Sword</t>
  </si>
  <si>
    <t>Deconstructor</t>
  </si>
  <si>
    <t>Deconstructor Prime</t>
  </si>
  <si>
    <t>Deepbreath</t>
  </si>
  <si>
    <t>Dehtat</t>
  </si>
  <si>
    <t>Dera</t>
  </si>
  <si>
    <t>Dera Vandal</t>
  </si>
  <si>
    <t>Desert Wind</t>
  </si>
  <si>
    <t>Desert Wind Prime</t>
  </si>
  <si>
    <t>Despair</t>
  </si>
  <si>
    <t>Destreza</t>
  </si>
  <si>
    <t>Destreza Prime</t>
  </si>
  <si>
    <t>DESUS ANTIGEN</t>
  </si>
  <si>
    <t>Deth Machine Rifle</t>
  </si>
  <si>
    <t>Deth Machine Rifle Prime</t>
  </si>
  <si>
    <t>Detron</t>
  </si>
  <si>
    <t>Dex Dakra</t>
  </si>
  <si>
    <t>Dex Furis</t>
  </si>
  <si>
    <t>Dex Nikana</t>
  </si>
  <si>
    <t>Dex Pixia</t>
  </si>
  <si>
    <t>Dex Pixia Prime</t>
  </si>
  <si>
    <t>Dex Sybaris</t>
  </si>
  <si>
    <t>Dink-A-Donk</t>
  </si>
  <si>
    <t>Dissic Scaffold</t>
  </si>
  <si>
    <t>Diwata</t>
  </si>
  <si>
    <t>Diwata Prime</t>
  </si>
  <si>
    <t>Dokrahm</t>
  </si>
  <si>
    <t>Dorma Hound</t>
  </si>
  <si>
    <t>Dorrclave</t>
  </si>
  <si>
    <t>Dragon Nikana</t>
  </si>
  <si>
    <t>Drakgoon</t>
  </si>
  <si>
    <t>Dread</t>
  </si>
  <si>
    <t>Drex Core</t>
  </si>
  <si>
    <t>Drimper Bracket</t>
  </si>
  <si>
    <t>Dual Cestra</t>
  </si>
  <si>
    <t>Dual Cleavers</t>
  </si>
  <si>
    <t>Dual Decurion</t>
  </si>
  <si>
    <t>Dual Ether</t>
  </si>
  <si>
    <t>Dual Heat Swords</t>
  </si>
  <si>
    <t>Dual Ichor</t>
  </si>
  <si>
    <t>Dual Kamas</t>
  </si>
  <si>
    <t>Dual Kamas Prime</t>
  </si>
  <si>
    <t>Dual Keres</t>
  </si>
  <si>
    <t>Dual Keres Prime</t>
  </si>
  <si>
    <t>Dual Raza</t>
  </si>
  <si>
    <t>Dual Skana</t>
  </si>
  <si>
    <t>Dual Toxocyst</t>
  </si>
  <si>
    <t>Dual Zoren</t>
  </si>
  <si>
    <t>Edun</t>
  </si>
  <si>
    <t>Ekhein</t>
  </si>
  <si>
    <t>Ekwana II Jai</t>
  </si>
  <si>
    <t>Ekwana II Ruhang</t>
  </si>
  <si>
    <t>Ekwana Jai</t>
  </si>
  <si>
    <t>Ekwana Jai II</t>
  </si>
  <si>
    <t>Ekwana Ruhang</t>
  </si>
  <si>
    <t>Ekwana Ruhang II</t>
  </si>
  <si>
    <t>ELASMUN ANTIGEN</t>
  </si>
  <si>
    <t>ELSA MUTAGEN</t>
  </si>
  <si>
    <t>Embolist</t>
  </si>
  <si>
    <t>Endura</t>
  </si>
  <si>
    <t>Epitaph</t>
  </si>
  <si>
    <t>Epitaph Prime</t>
  </si>
  <si>
    <t>Ether Daggers</t>
  </si>
  <si>
    <t>Ether Reaper</t>
  </si>
  <si>
    <t>Ether Sword</t>
  </si>
  <si>
    <t>Euphona Prime</t>
  </si>
  <si>
    <t>Evensong</t>
  </si>
  <si>
    <t>Exalted Blade</t>
  </si>
  <si>
    <t>Exalted Prime Blade</t>
  </si>
  <si>
    <t>Exalted Umbra Blade</t>
  </si>
  <si>
    <t>Exard Scaffold</t>
  </si>
  <si>
    <t>Exergis</t>
  </si>
  <si>
    <t>Falcor</t>
  </si>
  <si>
    <t>Fang</t>
  </si>
  <si>
    <t>Fang Prime</t>
  </si>
  <si>
    <t>Fatboys</t>
  </si>
  <si>
    <t>Felarx</t>
  </si>
  <si>
    <t>Ferrox</t>
  </si>
  <si>
    <t>Feverspine</t>
  </si>
  <si>
    <t>Flatbelly</t>
  </si>
  <si>
    <t>Fluctus</t>
  </si>
  <si>
    <t>Flutterfire</t>
  </si>
  <si>
    <t>Flux Rifle</t>
  </si>
  <si>
    <t>Fragor</t>
  </si>
  <si>
    <t>Fragor Prime</t>
  </si>
  <si>
    <t>Frak Stabilizer</t>
  </si>
  <si>
    <t>Fulmin</t>
  </si>
  <si>
    <t>Fulmin Prime</t>
  </si>
  <si>
    <t>Furax</t>
  </si>
  <si>
    <t>Furax Wraith</t>
  </si>
  <si>
    <t>Furis</t>
  </si>
  <si>
    <t>Fusilai</t>
  </si>
  <si>
    <t>Galatine</t>
  </si>
  <si>
    <t>Galatine Prime</t>
  </si>
  <si>
    <t>Galvacord</t>
  </si>
  <si>
    <t>Gammacor</t>
  </si>
  <si>
    <t>Garmr Core</t>
  </si>
  <si>
    <t>Garuda Prime Talons</t>
  </si>
  <si>
    <t>Garuda Talons</t>
  </si>
  <si>
    <t>Gauth Bracket</t>
  </si>
  <si>
    <t>Gazal Machete</t>
  </si>
  <si>
    <t>Gaze</t>
  </si>
  <si>
    <t>Ghoulsaw</t>
  </si>
  <si>
    <t>Gibber</t>
  </si>
  <si>
    <t>Glaive</t>
  </si>
  <si>
    <t>Glaive Prime</t>
  </si>
  <si>
    <t>Glaxion</t>
  </si>
  <si>
    <t>Glaxion Vandal</t>
  </si>
  <si>
    <t>Glory</t>
  </si>
  <si>
    <t>Gorgon</t>
  </si>
  <si>
    <t>Gorgon Wraith</t>
  </si>
  <si>
    <t>Gotva Prime</t>
  </si>
  <si>
    <t>Grakata</t>
  </si>
  <si>
    <t>Gram</t>
  </si>
  <si>
    <t>Gram Prime</t>
  </si>
  <si>
    <t>Granmu Prism</t>
  </si>
  <si>
    <t>Grattler</t>
  </si>
  <si>
    <t>Grimoire</t>
  </si>
  <si>
    <t>Grinlok</t>
  </si>
  <si>
    <t>Gristlebuck</t>
  </si>
  <si>
    <t>Guandao</t>
  </si>
  <si>
    <t>Guandao Prime</t>
  </si>
  <si>
    <t>Gunsen</t>
  </si>
  <si>
    <t>Gunsen Prime</t>
  </si>
  <si>
    <t>Halikar</t>
  </si>
  <si>
    <t>Halikar Wraith</t>
  </si>
  <si>
    <t>Harmony</t>
  </si>
  <si>
    <t>Harpak</t>
  </si>
  <si>
    <t>Harpen Gyro</t>
  </si>
  <si>
    <t>Hate</t>
  </si>
  <si>
    <t>Haymaker</t>
  </si>
  <si>
    <t>Heat Dagger</t>
  </si>
  <si>
    <t>Heat Sword</t>
  </si>
  <si>
    <t>Hec Hound</t>
  </si>
  <si>
    <t>Hek</t>
  </si>
  <si>
    <t>Heliocor</t>
  </si>
  <si>
    <t>Helstrum</t>
  </si>
  <si>
    <t>Hema</t>
  </si>
  <si>
    <t>Hespar</t>
  </si>
  <si>
    <t>Hextra Gyro</t>
  </si>
  <si>
    <t>Highbrow</t>
  </si>
  <si>
    <t>Hikou</t>
  </si>
  <si>
    <t>Hikou Prime</t>
  </si>
  <si>
    <t>Hind</t>
  </si>
  <si>
    <t>Hinta Stabilizer</t>
  </si>
  <si>
    <t>Hirudo</t>
  </si>
  <si>
    <t>Hona Bracket</t>
  </si>
  <si>
    <t>Hothead</t>
  </si>
  <si>
    <t>Hystrix</t>
  </si>
  <si>
    <t>Hystrix Prime</t>
  </si>
  <si>
    <t>IBEXAN ANTIGEN</t>
  </si>
  <si>
    <t>Ignis</t>
  </si>
  <si>
    <t>Ignis Wraith</t>
  </si>
  <si>
    <t>Imperator</t>
  </si>
  <si>
    <t>Imperator Vandal</t>
  </si>
  <si>
    <t>Innodem</t>
  </si>
  <si>
    <t>IRANON ANTIGEN</t>
  </si>
  <si>
    <t>Iron Staff</t>
  </si>
  <si>
    <t>Iron Staff Prime</t>
  </si>
  <si>
    <t>Ironbride</t>
  </si>
  <si>
    <t>Jai</t>
  </si>
  <si>
    <t>Jai II</t>
  </si>
  <si>
    <t>Jat Kittag</t>
  </si>
  <si>
    <t>Jat Kusar</t>
  </si>
  <si>
    <t>Javlok</t>
  </si>
  <si>
    <t>Jaw Sword</t>
  </si>
  <si>
    <t>Jayap</t>
  </si>
  <si>
    <t>Jonsin Bracket</t>
  </si>
  <si>
    <t>Juttni Brace</t>
  </si>
  <si>
    <t>Kama</t>
  </si>
  <si>
    <t>Karak</t>
  </si>
  <si>
    <t>Karak Wraith</t>
  </si>
  <si>
    <t>Karyst</t>
  </si>
  <si>
    <t>Karyst Prime</t>
  </si>
  <si>
    <t>Kaszas</t>
  </si>
  <si>
    <t>Keratinos</t>
  </si>
  <si>
    <t>Kesheg</t>
  </si>
  <si>
    <t>Kestrel</t>
  </si>
  <si>
    <t>Killstream</t>
  </si>
  <si>
    <t>Klamora Prism</t>
  </si>
  <si>
    <t>Klebrik Scaffold</t>
  </si>
  <si>
    <t>Knell</t>
  </si>
  <si>
    <t>Knell Prime</t>
  </si>
  <si>
    <t>Knux</t>
  </si>
  <si>
    <t>Kogake</t>
  </si>
  <si>
    <t>Kogake Prime</t>
  </si>
  <si>
    <t>Kohm</t>
  </si>
  <si>
    <t>Kohmak</t>
  </si>
  <si>
    <t>Komorex</t>
  </si>
  <si>
    <t>Kompressa</t>
  </si>
  <si>
    <t>Korb</t>
  </si>
  <si>
    <t>Korrudo</t>
  </si>
  <si>
    <t>Korumm</t>
  </si>
  <si>
    <t>Kraken</t>
  </si>
  <si>
    <t>Kreska</t>
  </si>
  <si>
    <t>Krisys Core</t>
  </si>
  <si>
    <t>Krohkur</t>
  </si>
  <si>
    <t>Kronen</t>
  </si>
  <si>
    <t>Kronen Prime</t>
  </si>
  <si>
    <t>Kronsh</t>
  </si>
  <si>
    <t>Kroostra</t>
  </si>
  <si>
    <t>Kulstar</t>
  </si>
  <si>
    <t>Kunai</t>
  </si>
  <si>
    <t>Kuva Ayanga</t>
  </si>
  <si>
    <t>Kuva Brakk</t>
  </si>
  <si>
    <t>Kuva Bramma</t>
  </si>
  <si>
    <t>Kuva Chakkhurr</t>
  </si>
  <si>
    <t>Kuva Drakgoon</t>
  </si>
  <si>
    <t>Kuva Grattler</t>
  </si>
  <si>
    <t>Kuva Hek</t>
  </si>
  <si>
    <t>Kuva Hind</t>
  </si>
  <si>
    <t>Kuva Karak</t>
  </si>
  <si>
    <t>Kuva Kohm</t>
  </si>
  <si>
    <t>Kuva Kraken</t>
  </si>
  <si>
    <t>Kuva Nukor</t>
  </si>
  <si>
    <t>Kuva Ogris</t>
  </si>
  <si>
    <t>Kuva Quartakk</t>
  </si>
  <si>
    <t>Kuva Seer</t>
  </si>
  <si>
    <t>Kuva Shildeg</t>
  </si>
  <si>
    <t>Kuva Sobek</t>
  </si>
  <si>
    <t>Kuva Tonkor</t>
  </si>
  <si>
    <t>Kuva Twin Stubbas</t>
  </si>
  <si>
    <t>Kuva Zarr</t>
  </si>
  <si>
    <t>Kwath</t>
  </si>
  <si>
    <t>Lacera</t>
  </si>
  <si>
    <t>Lacerten</t>
  </si>
  <si>
    <t>Laetum</t>
  </si>
  <si>
    <t>Laka</t>
  </si>
  <si>
    <t>Lambeo Moa</t>
  </si>
  <si>
    <t>Lanka</t>
  </si>
  <si>
    <t>Larkspur</t>
  </si>
  <si>
    <t>Larkspur Prime</t>
  </si>
  <si>
    <t>Laser Rifle</t>
  </si>
  <si>
    <t>Lato</t>
  </si>
  <si>
    <t>Lato Prime</t>
  </si>
  <si>
    <t>Lato Vandal</t>
  </si>
  <si>
    <t>Latron</t>
  </si>
  <si>
    <t>Latron Prime</t>
  </si>
  <si>
    <t>Latron Wraith</t>
  </si>
  <si>
    <t>Lecta</t>
  </si>
  <si>
    <t>Lega Prism</t>
  </si>
  <si>
    <t>Lehan Core</t>
  </si>
  <si>
    <t>Lenz</t>
  </si>
  <si>
    <t>LEPTOSAM MUTAGEN</t>
  </si>
  <si>
    <t>Lesion</t>
  </si>
  <si>
    <t>Lex</t>
  </si>
  <si>
    <t>Lex Prime</t>
  </si>
  <si>
    <t>Lohrin Brace</t>
  </si>
  <si>
    <t>Lovetap</t>
  </si>
  <si>
    <t>Machete</t>
  </si>
  <si>
    <t>Machete Wraith</t>
  </si>
  <si>
    <t>Macro Arcroid</t>
  </si>
  <si>
    <t>Macro Thymoid</t>
  </si>
  <si>
    <t>Magistar</t>
  </si>
  <si>
    <t>Magnus</t>
  </si>
  <si>
    <t>Magnus Prime</t>
  </si>
  <si>
    <t>Mandonel</t>
  </si>
  <si>
    <t>Mara Detron</t>
  </si>
  <si>
    <t>Marelok</t>
  </si>
  <si>
    <t>Masseter</t>
  </si>
  <si>
    <t>Masseter Prime</t>
  </si>
  <si>
    <t>Mausolon</t>
  </si>
  <si>
    <t>Medjay Predasite</t>
  </si>
  <si>
    <t>Mewan</t>
  </si>
  <si>
    <t>Mios</t>
  </si>
  <si>
    <t>Mire</t>
  </si>
  <si>
    <t>Miter</t>
  </si>
  <si>
    <t>MK1-Bo</t>
  </si>
  <si>
    <t>MK1-Braton</t>
  </si>
  <si>
    <t>MK1-Furax</t>
  </si>
  <si>
    <t>MK1-Furis</t>
  </si>
  <si>
    <t>MK1-Kunai</t>
  </si>
  <si>
    <t>MK1-Paris</t>
  </si>
  <si>
    <t>MK1-Strun</t>
  </si>
  <si>
    <t>MONACHOD MUTAGEN</t>
  </si>
  <si>
    <t>Morgha</t>
  </si>
  <si>
    <t>Mote Brace</t>
  </si>
  <si>
    <t>Mote Prism</t>
  </si>
  <si>
    <t>Mote Scaffold</t>
  </si>
  <si>
    <t>Multron</t>
  </si>
  <si>
    <t>Munit Gyro</t>
  </si>
  <si>
    <t>Mutalist Cernos</t>
  </si>
  <si>
    <t>Mutalist Quanta</t>
  </si>
  <si>
    <t>Nagantaka</t>
  </si>
  <si>
    <t>Nagantaka Prime</t>
  </si>
  <si>
    <t>Nami Skyla</t>
  </si>
  <si>
    <t>Nami Skyla Prime</t>
  </si>
  <si>
    <t>Nami Solo</t>
  </si>
  <si>
    <t>Nataruk</t>
  </si>
  <si>
    <t>Needlenose</t>
  </si>
  <si>
    <t>Nepheri</t>
  </si>
  <si>
    <t>Nikana</t>
  </si>
  <si>
    <t>Nikana Prime</t>
  </si>
  <si>
    <t>Ninkondi</t>
  </si>
  <si>
    <t>Ninkondi Prime</t>
  </si>
  <si>
    <t>Noctua</t>
  </si>
  <si>
    <t>Nodulite</t>
  </si>
  <si>
    <t>Nukor</t>
  </si>
  <si>
    <t>Nychus Moa</t>
  </si>
  <si>
    <t>Obex</t>
  </si>
  <si>
    <t>Ocucor</t>
  </si>
  <si>
    <t>Ogris</t>
  </si>
  <si>
    <t>Ohma</t>
  </si>
  <si>
    <t>Okina</t>
  </si>
  <si>
    <t>Okina Prime</t>
  </si>
  <si>
    <t>Oloro Moa</t>
  </si>
  <si>
    <t>Onorix</t>
  </si>
  <si>
    <t>Onos</t>
  </si>
  <si>
    <t>Ooltha</t>
  </si>
  <si>
    <t>Opticor</t>
  </si>
  <si>
    <t>Opticor Vandal</t>
  </si>
  <si>
    <t>Orthos</t>
  </si>
  <si>
    <t>Orthos Prime</t>
  </si>
  <si>
    <t>Orvius</t>
  </si>
  <si>
    <t>Palmaris</t>
  </si>
  <si>
    <t>Pandero</t>
  </si>
  <si>
    <t>Pandero Prime</t>
  </si>
  <si>
    <t>Pangolin Prime</t>
  </si>
  <si>
    <t>Pangolin Sword</t>
  </si>
  <si>
    <t>Panthera</t>
  </si>
  <si>
    <t>Panthera Prime</t>
  </si>
  <si>
    <t>Panzer Vulpaphyla</t>
  </si>
  <si>
    <t>Para Moa</t>
  </si>
  <si>
    <t>Paracesis</t>
  </si>
  <si>
    <t>Paracyst</t>
  </si>
  <si>
    <t>Paris</t>
  </si>
  <si>
    <t>Paris Prime</t>
  </si>
  <si>
    <t>Pathocyst</t>
  </si>
  <si>
    <t>Pencha Scaffold</t>
  </si>
  <si>
    <t>Pennant</t>
  </si>
  <si>
    <t>Penta</t>
  </si>
  <si>
    <t>Perigale</t>
  </si>
  <si>
    <t>Peye</t>
  </si>
  <si>
    <t>Phaedra</t>
  </si>
  <si>
    <t>Phage</t>
  </si>
  <si>
    <t>Phahd Scaffold</t>
  </si>
  <si>
    <t>Phantasma</t>
  </si>
  <si>
    <t>Phantasma Prime</t>
  </si>
  <si>
    <t>Pharaoh Predasite</t>
  </si>
  <si>
    <t>Phazor Gyro</t>
  </si>
  <si>
    <t>Phenmor</t>
  </si>
  <si>
    <t>PHIJAR MUTAGEN</t>
  </si>
  <si>
    <t>Plaga Brace</t>
  </si>
  <si>
    <t>PLAGEN ANTIGEN</t>
  </si>
  <si>
    <t>Plague Akwin</t>
  </si>
  <si>
    <t>Plague Bokwin</t>
  </si>
  <si>
    <t>Plague Keewar</t>
  </si>
  <si>
    <t>Plague Kripath</t>
  </si>
  <si>
    <t>Plasma Sword</t>
  </si>
  <si>
    <t>Plinx</t>
  </si>
  <si>
    <t>Pox</t>
  </si>
  <si>
    <t>POXI ANTIGEN</t>
  </si>
  <si>
    <t>Praedos</t>
  </si>
  <si>
    <t>Prime Laser Rifle</t>
  </si>
  <si>
    <t>Prisma Angstrum</t>
  </si>
  <si>
    <t>Prisma Burst Laser</t>
  </si>
  <si>
    <t>Prisma Dual Cleavers</t>
  </si>
  <si>
    <t>Prisma Dual Decurions</t>
  </si>
  <si>
    <t>Prisma Gorgon</t>
  </si>
  <si>
    <t>Prisma Grakata</t>
  </si>
  <si>
    <t>Prisma Grinlok</t>
  </si>
  <si>
    <t>Prisma Lenz</t>
  </si>
  <si>
    <t>Prisma Machete</t>
  </si>
  <si>
    <t>Prisma Obex</t>
  </si>
  <si>
    <t>Prisma Ohma</t>
  </si>
  <si>
    <t>Prisma Skana</t>
  </si>
  <si>
    <t>Prisma Tetra</t>
  </si>
  <si>
    <t>Prisma Twin Gremlins</t>
  </si>
  <si>
    <t>Prisma Veritux</t>
  </si>
  <si>
    <t>Proboscis Cernos</t>
  </si>
  <si>
    <t>Propa Scaffold</t>
  </si>
  <si>
    <t>Prova</t>
  </si>
  <si>
    <t>Prova Vandal</t>
  </si>
  <si>
    <t>Pulmonars</t>
  </si>
  <si>
    <t>Pupacyst</t>
  </si>
  <si>
    <t>Pyrana</t>
  </si>
  <si>
    <t>Pyrana Prime</t>
  </si>
  <si>
    <t>Quanta Vandal</t>
  </si>
  <si>
    <t>Quartakk</t>
  </si>
  <si>
    <t>Quassus</t>
  </si>
  <si>
    <t>Quatz</t>
  </si>
  <si>
    <t>Quellor</t>
  </si>
  <si>
    <t>Rabvee</t>
  </si>
  <si>
    <t>Rahn Prism</t>
  </si>
  <si>
    <t>Raiju Core</t>
  </si>
  <si>
    <t>Rakta Ballistica</t>
  </si>
  <si>
    <t>Rakta Cernos</t>
  </si>
  <si>
    <t>Rakta Dark Dagger</t>
  </si>
  <si>
    <t>Ramble</t>
  </si>
  <si>
    <t>Ramflare</t>
  </si>
  <si>
    <t>Raplak Prism</t>
  </si>
  <si>
    <t>Rathbone</t>
  </si>
  <si>
    <t>Rattleguts</t>
  </si>
  <si>
    <t>Rauta</t>
  </si>
  <si>
    <t>Reaper Prime</t>
  </si>
  <si>
    <t>Redeemer</t>
  </si>
  <si>
    <t>Redeemer Prime</t>
  </si>
  <si>
    <t>Regulators</t>
  </si>
  <si>
    <t>Regulators Prime</t>
  </si>
  <si>
    <t>Ripkas</t>
  </si>
  <si>
    <t>Rubico</t>
  </si>
  <si>
    <t>Rubico Prime</t>
  </si>
  <si>
    <t>Ruhang</t>
  </si>
  <si>
    <t>Ruhang II</t>
  </si>
  <si>
    <t>Rumblejack</t>
  </si>
  <si>
    <t>Runway</t>
  </si>
  <si>
    <t>Ruvox</t>
  </si>
  <si>
    <t>Sampotes</t>
  </si>
  <si>
    <t>Sancti Castanas</t>
  </si>
  <si>
    <t>Sancti Magistar</t>
  </si>
  <si>
    <t>Sancti Tigris</t>
  </si>
  <si>
    <t>Sarofang</t>
  </si>
  <si>
    <t>Sarpa</t>
  </si>
  <si>
    <t>Scindo</t>
  </si>
  <si>
    <t>Scindo Prime</t>
  </si>
  <si>
    <t>Scoliac</t>
  </si>
  <si>
    <t>Scourge</t>
  </si>
  <si>
    <t>Scourge Prime</t>
  </si>
  <si>
    <t>Secura Dual Cestra</t>
  </si>
  <si>
    <t>Secura Lecta</t>
  </si>
  <si>
    <t>Secura Penta</t>
  </si>
  <si>
    <t>Seekalla</t>
  </si>
  <si>
    <t>Seer</t>
  </si>
  <si>
    <t>Sepfahn</t>
  </si>
  <si>
    <t>Sepulcrum</t>
  </si>
  <si>
    <t>Serro</t>
  </si>
  <si>
    <t>Shadow Claws</t>
  </si>
  <si>
    <t>Shadow Claws Prime</t>
  </si>
  <si>
    <t>Shaku</t>
  </si>
  <si>
    <t>Shedu</t>
  </si>
  <si>
    <t>Sheev</t>
  </si>
  <si>
    <t>Shraksun Scaffold</t>
  </si>
  <si>
    <t>Shrewd</t>
  </si>
  <si>
    <t>Shtung</t>
  </si>
  <si>
    <t>Shwaak Prism</t>
  </si>
  <si>
    <t>Sibear</t>
  </si>
  <si>
    <t>Sicarus</t>
  </si>
  <si>
    <t>Sicarus Prime</t>
  </si>
  <si>
    <t>Sigma &amp; Octantis</t>
  </si>
  <si>
    <t>Silva &amp; Aegis</t>
  </si>
  <si>
    <t>Silva &amp; Aegis Prime</t>
  </si>
  <si>
    <t>Simulor</t>
  </si>
  <si>
    <t>Sirocco</t>
  </si>
  <si>
    <t>Skana</t>
  </si>
  <si>
    <t>Skana Prime</t>
  </si>
  <si>
    <t>Skiajati</t>
  </si>
  <si>
    <t>Slap</t>
  </si>
  <si>
    <t>Slapneedle</t>
  </si>
  <si>
    <t>Slaytra</t>
  </si>
  <si>
    <t>Sly Vulpaphyla</t>
  </si>
  <si>
    <t>Snipetron</t>
  </si>
  <si>
    <t>Snipetron Vandal</t>
  </si>
  <si>
    <t>Sobek</t>
  </si>
  <si>
    <t>Soma</t>
  </si>
  <si>
    <t>Soma Prime</t>
  </si>
  <si>
    <t>Sonicor</t>
  </si>
  <si>
    <t>Sparkfire</t>
  </si>
  <si>
    <t>Spectra</t>
  </si>
  <si>
    <t>Spectra Vandal</t>
  </si>
  <si>
    <t>Spira</t>
  </si>
  <si>
    <t>Spira Prime</t>
  </si>
  <si>
    <t>Splat</t>
  </si>
  <si>
    <t>Sporelacer</t>
  </si>
  <si>
    <t>Sporothrix</t>
  </si>
  <si>
    <t>Stahlta</t>
  </si>
  <si>
    <t>Staticor</t>
  </si>
  <si>
    <t>Steadyslam</t>
  </si>
  <si>
    <t>Steeba</t>
  </si>
  <si>
    <t>Steflos</t>
  </si>
  <si>
    <t>Step Tens</t>
  </si>
  <si>
    <t>Stinger</t>
  </si>
  <si>
    <t>Stitch</t>
  </si>
  <si>
    <t>Stradavar</t>
  </si>
  <si>
    <t>Stradavar Prime</t>
  </si>
  <si>
    <t>Stropha</t>
  </si>
  <si>
    <t>Strun</t>
  </si>
  <si>
    <t>Strun Prime</t>
  </si>
  <si>
    <t>Strun Wraith</t>
  </si>
  <si>
    <t>Stubba</t>
  </si>
  <si>
    <t>Stug</t>
  </si>
  <si>
    <t>Sun &amp; Moon</t>
  </si>
  <si>
    <t>Suo Brace</t>
  </si>
  <si>
    <t>Supra</t>
  </si>
  <si>
    <t>Supra Vandal</t>
  </si>
  <si>
    <t>Sweeper</t>
  </si>
  <si>
    <t>Sweeper Prime</t>
  </si>
  <si>
    <t>Swiftfire</t>
  </si>
  <si>
    <t>Syam</t>
  </si>
  <si>
    <t>Sybaris</t>
  </si>
  <si>
    <t>Sybaris Prime</t>
  </si>
  <si>
    <t>Sydon</t>
  </si>
  <si>
    <t>Synapse</t>
  </si>
  <si>
    <t>Synoid Gammacor</t>
  </si>
  <si>
    <t>Synoid Heliocor</t>
  </si>
  <si>
    <t>Synoid Simulor</t>
  </si>
  <si>
    <t>Talons</t>
  </si>
  <si>
    <t>Tatsu</t>
  </si>
  <si>
    <t>Tatsu Prime</t>
  </si>
  <si>
    <t>Tazicor</t>
  </si>
  <si>
    <t>Tekko</t>
  </si>
  <si>
    <t>Tekko Prime</t>
  </si>
  <si>
    <t>Telos Akbolto</t>
  </si>
  <si>
    <t>Telos Boltace</t>
  </si>
  <si>
    <t>Telos Boltor</t>
  </si>
  <si>
    <t>Tenet Agendus</t>
  </si>
  <si>
    <t>Tenet Cycron</t>
  </si>
  <si>
    <t>Tenet Detron</t>
  </si>
  <si>
    <t>Tenet Diplos</t>
  </si>
  <si>
    <t>Tenet Envoy</t>
  </si>
  <si>
    <t>Tenet Exec</t>
  </si>
  <si>
    <t>Tenet Ferrox</t>
  </si>
  <si>
    <t>Tenet Flux Rifle</t>
  </si>
  <si>
    <t>Tenet Glaxion</t>
  </si>
  <si>
    <t>Tenet Grigori</t>
  </si>
  <si>
    <t>Tenet Livia</t>
  </si>
  <si>
    <t>Tenet Plinx</t>
  </si>
  <si>
    <t>Tenet Spirex</t>
  </si>
  <si>
    <t>Tenet Tetra</t>
  </si>
  <si>
    <t>Tenora</t>
  </si>
  <si>
    <t>Tenora Prime</t>
  </si>
  <si>
    <t>TETHRON ANTIGEN</t>
  </si>
  <si>
    <t>Tetra</t>
  </si>
  <si>
    <t>Thugs</t>
  </si>
  <si>
    <t>Thunderdrum</t>
  </si>
  <si>
    <t>Thymoid</t>
  </si>
  <si>
    <t>Tian Bracket</t>
  </si>
  <si>
    <t>Tiberon</t>
  </si>
  <si>
    <t>Tiberon Prime</t>
  </si>
  <si>
    <t>Tigris</t>
  </si>
  <si>
    <t>Tigris Prime</t>
  </si>
  <si>
    <t>Tipedo</t>
  </si>
  <si>
    <t>Tipedo Prime</t>
  </si>
  <si>
    <t>Tombfinger</t>
  </si>
  <si>
    <t>Tonbo</t>
  </si>
  <si>
    <t>Tonkor</t>
  </si>
  <si>
    <t>Torid</t>
  </si>
  <si>
    <t>Tremor</t>
  </si>
  <si>
    <t>Trumna</t>
  </si>
  <si>
    <t>Trux Gyro</t>
  </si>
  <si>
    <t>Twin Basolk</t>
  </si>
  <si>
    <t>Twin Grakatas</t>
  </si>
  <si>
    <t>Twin Gremlins</t>
  </si>
  <si>
    <t>Twin Kavats</t>
  </si>
  <si>
    <t>Twin Kohmak</t>
  </si>
  <si>
    <t>Twin Krohkur</t>
  </si>
  <si>
    <t>Twin Rogga</t>
  </si>
  <si>
    <t>Twin Vipers</t>
  </si>
  <si>
    <t>Twin Vipers Wraith</t>
  </si>
  <si>
    <t>Two-Sloops</t>
  </si>
  <si>
    <t>Tyli Gyro</t>
  </si>
  <si>
    <t>Tysis</t>
  </si>
  <si>
    <t>Ulnaris</t>
  </si>
  <si>
    <t>Urga Bracket</t>
  </si>
  <si>
    <t>Valkyr Prime Talons</t>
  </si>
  <si>
    <t>Valkyr Talons</t>
  </si>
  <si>
    <t>Vargeet II Jai</t>
  </si>
  <si>
    <t>Vargeet II Ruhang</t>
  </si>
  <si>
    <t>Vargeet Jai</t>
  </si>
  <si>
    <t>Vargeet Jai II</t>
  </si>
  <si>
    <t>Vargeet Ruhang</t>
  </si>
  <si>
    <t>Vargeet Ruhang II</t>
  </si>
  <si>
    <t>Vastilok</t>
  </si>
  <si>
    <t>Vasto</t>
  </si>
  <si>
    <t>Vasto Prime</t>
  </si>
  <si>
    <t>Vaykor Hek</t>
  </si>
  <si>
    <t>Vaykor Marelok</t>
  </si>
  <si>
    <t>Vaykor Sydon</t>
  </si>
  <si>
    <t>Vectis</t>
  </si>
  <si>
    <t>Vectis Prime</t>
  </si>
  <si>
    <t>Veldt</t>
  </si>
  <si>
    <t>Velocitus</t>
  </si>
  <si>
    <t>Velox</t>
  </si>
  <si>
    <t>Velox Prime</t>
  </si>
  <si>
    <t>Venato</t>
  </si>
  <si>
    <t>Venka</t>
  </si>
  <si>
    <t>Venka Prime</t>
  </si>
  <si>
    <t>Verdilac</t>
  </si>
  <si>
    <t>Verglas</t>
  </si>
  <si>
    <t>Verglas Prime</t>
  </si>
  <si>
    <t>Vericres</t>
  </si>
  <si>
    <t>Veritux</t>
  </si>
  <si>
    <t>Vermisplicer</t>
  </si>
  <si>
    <t>Viper</t>
  </si>
  <si>
    <t>Viper Wraith</t>
  </si>
  <si>
    <t>VIROX ANTIGEN</t>
  </si>
  <si>
    <t>Vitrica</t>
  </si>
  <si>
    <t>Vizier Predasite</t>
  </si>
  <si>
    <t>Volnus</t>
  </si>
  <si>
    <t>Volnus Prime</t>
  </si>
  <si>
    <t>Vulcax</t>
  </si>
  <si>
    <t>Vulkar</t>
  </si>
  <si>
    <t>Vulkar Wraith</t>
  </si>
  <si>
    <t>Vulklok</t>
  </si>
  <si>
    <t>Wanz Stabilizer</t>
  </si>
  <si>
    <t>War</t>
  </si>
  <si>
    <t>Wingnut</t>
  </si>
  <si>
    <t>Wolf Sledge</t>
  </si>
  <si>
    <t>Xoris</t>
  </si>
  <si>
    <t>Zakti</t>
  </si>
  <si>
    <t>Zakti Prime</t>
  </si>
  <si>
    <t>ZARIM MUTAGEN</t>
  </si>
  <si>
    <t>Zarr</t>
  </si>
  <si>
    <t>Zenistar</t>
  </si>
  <si>
    <t>Zenith</t>
  </si>
  <si>
    <t>Zhuge</t>
  </si>
  <si>
    <t>Zhuge Prime</t>
  </si>
  <si>
    <t>Zip</t>
  </si>
  <si>
    <t>Zipfire</t>
  </si>
  <si>
    <t>Zipneedle</t>
  </si>
  <si>
    <t>Zubb Bracket</t>
  </si>
  <si>
    <t>Zylok</t>
  </si>
  <si>
    <t>Zylok Prime</t>
  </si>
  <si>
    <t>Zymos</t>
  </si>
  <si>
    <t>Total Weapons</t>
  </si>
  <si>
    <t>Warframe Faction Resistance/Weakness</t>
  </si>
  <si>
    <t>FACTION</t>
  </si>
  <si>
    <t>Kuva</t>
  </si>
  <si>
    <t>Corpus</t>
  </si>
  <si>
    <t>Amalgam</t>
  </si>
  <si>
    <t>Infested</t>
  </si>
  <si>
    <t>Deimos</t>
  </si>
  <si>
    <t>Orokin</t>
  </si>
  <si>
    <t>Sentient</t>
  </si>
  <si>
    <t>Narmer</t>
  </si>
  <si>
    <t>Murmur</t>
  </si>
  <si>
    <t>Zairman</t>
  </si>
  <si>
    <t>Warframe Damage Calculations</t>
  </si>
  <si>
    <t>Weapon Base Damage Values</t>
  </si>
  <si>
    <t>QUANTA</t>
  </si>
  <si>
    <t>TOTAL</t>
  </si>
  <si>
    <t>VALEN</t>
  </si>
  <si>
    <t>Weapon Mod Values</t>
  </si>
  <si>
    <t>VALENCE</t>
  </si>
  <si>
    <t>%</t>
  </si>
  <si>
    <t>Faction Resistance/Weakness</t>
  </si>
  <si>
    <t>N/A</t>
  </si>
  <si>
    <t>Enemy Armor Modifier</t>
  </si>
  <si>
    <t>ARMOR</t>
  </si>
  <si>
    <t>Mod Screen Damage Values</t>
  </si>
  <si>
    <t>In Game Damage Values</t>
  </si>
  <si>
    <t>Final Damage Values (Faction+Armor/Shield/Overguard Modifiers)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</si>
</sst>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000%"/>
    <numFmt numFmtId="166" formatCode="0.000"/>
    <numFmt numFmtId="167" formatCode="#,##0.0"/>
  </numFmts>
  <fonts count="13">
    <font>
      <sz val="11"/>
      <color theme="1"/>
      <name val="Calibri"/>
      <family val="2"/>
      <scheme val="minor"/>
    </font>
    <font>
      <sz val="12"/>
      <color theme="1"/>
      <name val="Calibri"/>
      <family val="2"/>
      <scheme val="minor"/>
    </font>
    <font>
      <sz val="16"/>
      <color theme="1"/>
      <name val="Calibri"/>
      <family val="2"/>
      <scheme val="minor"/>
    </font>
    <font>
      <b/>
      <sz val="18"/>
      <color theme="0"/>
      <name val="Calibri"/>
      <family val="2"/>
      <scheme val="minor"/>
    </font>
    <font>
      <sz val="8"/>
      <color theme="1"/>
      <name val="Calibri"/>
      <family val="2"/>
      <scheme val="minor"/>
    </font>
    <font>
      <b/>
      <sz val="26"/>
      <color theme="0"/>
      <name val="Calibri"/>
      <family val="2"/>
      <scheme val="minor"/>
    </font>
    <font>
      <b/>
      <sz val="26"/>
      <color theme="1"/>
      <name val="Calibri"/>
      <family val="2"/>
      <scheme val="minor"/>
    </font>
    <font>
      <b/>
      <sz val="16"/>
      <color theme="0"/>
      <name val="Calibri"/>
      <family val="2"/>
      <scheme val="minor"/>
    </font>
    <font>
      <b/>
      <sz val="20"/>
      <color theme="0"/>
      <name val="Calibri"/>
      <family val="2"/>
      <scheme val="minor"/>
    </font>
    <font>
      <b/>
      <sz val="28"/>
      <color theme="0"/>
      <name val="Calibri"/>
      <family val="2"/>
      <scheme val="minor"/>
    </font>
    <font>
      <sz val="16"/>
      <color theme="0"/>
      <name val="Calibri"/>
      <family val="2"/>
      <scheme val="minor"/>
    </font>
    <font>
      <sz val="14"/>
      <color theme="1"/>
      <name val="Calibri"/>
      <family val="2"/>
      <scheme val="minor"/>
    </font>
    <font>
      <b/>
      <sz val="8"/>
      <color theme="3"/>
      <name val="Calibri"/>
      <family val="2"/>
      <scheme val="minor"/>
    </font>
  </fonts>
  <fills count="8">
    <fill>
      <patternFill patternType="none"/>
    </fill>
    <fill>
      <patternFill patternType="gray125"/>
    </fill>
    <fill>
      <patternFill patternType="solid">
        <fgColor theme="3"/>
        <bgColor indexed="64"/>
      </patternFill>
    </fill>
    <fill>
      <patternFill patternType="solid">
        <fgColor theme="4" tint="-0.249977111117893"/>
        <bgColor indexed="64"/>
      </patternFill>
    </fill>
    <fill>
      <patternFill patternType="solid">
        <fgColor theme="1" tint="0.14999847407452621"/>
        <bgColor indexed="64"/>
      </patternFill>
    </fill>
    <fill>
      <patternFill patternType="solid">
        <fgColor theme="4"/>
        <bgColor indexed="64"/>
      </patternFill>
    </fill>
    <fill>
      <patternFill patternType="solid">
        <fgColor theme="0" tint="-0.14999847407452621"/>
        <bgColor indexed="64"/>
      </patternFill>
    </fill>
    <fill>
      <patternFill patternType="solid">
        <fgColor theme="0"/>
        <bgColor indexed="64"/>
      </patternFill>
    </fill>
  </fills>
  <borders count="52">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style="medium">
        <color auto="1"/>
      </top>
      <bottom style="medium">
        <color indexed="64"/>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theme="2" tint="-0.24994659260841701"/>
      </left>
      <right style="thin">
        <color theme="2" tint="-0.24994659260841701"/>
      </right>
      <top style="medium">
        <color auto="1"/>
      </top>
      <bottom style="thin">
        <color auto="1"/>
      </bottom>
      <diagonal/>
    </border>
    <border>
      <left style="thin">
        <color theme="2" tint="-0.24994659260841701"/>
      </left>
      <right style="medium">
        <color auto="1"/>
      </right>
      <top style="medium">
        <color auto="1"/>
      </top>
      <bottom style="thin">
        <color auto="1"/>
      </bottom>
      <diagonal/>
    </border>
    <border>
      <left style="thin">
        <color theme="2" tint="-0.24994659260841701"/>
      </left>
      <right style="thin">
        <color theme="2" tint="-0.24994659260841701"/>
      </right>
      <top style="thin">
        <color auto="1"/>
      </top>
      <bottom style="thin">
        <color auto="1"/>
      </bottom>
      <diagonal/>
    </border>
    <border>
      <left style="thin">
        <color theme="2" tint="-0.24994659260841701"/>
      </left>
      <right style="medium">
        <color auto="1"/>
      </right>
      <top style="thin">
        <color auto="1"/>
      </top>
      <bottom style="thin">
        <color auto="1"/>
      </bottom>
      <diagonal/>
    </border>
    <border>
      <left style="thin">
        <color theme="2" tint="-0.24994659260841701"/>
      </left>
      <right style="thin">
        <color theme="2" tint="-0.24994659260841701"/>
      </right>
      <top style="thin">
        <color auto="1"/>
      </top>
      <bottom style="medium">
        <color auto="1"/>
      </bottom>
      <diagonal/>
    </border>
    <border>
      <left style="thin">
        <color theme="2" tint="-0.24994659260841701"/>
      </left>
      <right style="medium">
        <color auto="1"/>
      </right>
      <top style="thin">
        <color auto="1"/>
      </top>
      <bottom style="medium">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style="thick">
        <color auto="1"/>
      </left>
      <right/>
      <top style="medium">
        <color auto="1"/>
      </top>
      <bottom style="medium">
        <color auto="1"/>
      </bottom>
      <diagonal/>
    </border>
    <border>
      <left/>
      <right style="thick">
        <color auto="1"/>
      </right>
      <top style="medium">
        <color auto="1"/>
      </top>
      <bottom style="medium">
        <color auto="1"/>
      </bottom>
      <diagonal/>
    </border>
    <border>
      <left style="thick">
        <color auto="1"/>
      </left>
      <right/>
      <top/>
      <bottom/>
      <diagonal/>
    </border>
    <border>
      <left/>
      <right style="thick">
        <color auto="1"/>
      </right>
      <top/>
      <bottom/>
      <diagonal/>
    </border>
    <border>
      <left style="thick">
        <color auto="1"/>
      </left>
      <right/>
      <top style="medium">
        <color auto="1"/>
      </top>
      <bottom/>
      <diagonal/>
    </border>
    <border>
      <left/>
      <right style="thick">
        <color auto="1"/>
      </right>
      <top style="medium">
        <color auto="1"/>
      </top>
      <bottom/>
      <diagonal/>
    </border>
    <border>
      <left style="thick">
        <color auto="1"/>
      </left>
      <right/>
      <top/>
      <bottom style="medium">
        <color auto="1"/>
      </bottom>
      <diagonal/>
    </border>
    <border>
      <left/>
      <right style="thick">
        <color auto="1"/>
      </right>
      <top/>
      <bottom style="medium">
        <color auto="1"/>
      </bottom>
      <diagonal/>
    </border>
    <border>
      <left style="thick">
        <color auto="1"/>
      </left>
      <right style="thin">
        <color theme="2" tint="-0.24994659260841701"/>
      </right>
      <top style="medium">
        <color auto="1"/>
      </top>
      <bottom style="thin">
        <color auto="1"/>
      </bottom>
      <diagonal/>
    </border>
    <border>
      <left style="thick">
        <color auto="1"/>
      </left>
      <right style="thin">
        <color theme="2" tint="-0.24994659260841701"/>
      </right>
      <top style="thin">
        <color auto="1"/>
      </top>
      <bottom style="thin">
        <color auto="1"/>
      </bottom>
      <diagonal/>
    </border>
    <border>
      <left style="thick">
        <color auto="1"/>
      </left>
      <right style="thin">
        <color theme="2" tint="-0.24994659260841701"/>
      </right>
      <top style="thin">
        <color auto="1"/>
      </top>
      <bottom style="medium">
        <color auto="1"/>
      </bottom>
      <diagonal/>
    </border>
    <border>
      <left style="thick">
        <color auto="1"/>
      </left>
      <right/>
      <top/>
      <bottom style="thick">
        <color auto="1"/>
      </bottom>
      <diagonal/>
    </border>
    <border>
      <left/>
      <right/>
      <top/>
      <bottom style="thick">
        <color auto="1"/>
      </bottom>
      <diagonal/>
    </border>
    <border>
      <left/>
      <right style="medium">
        <color auto="1"/>
      </right>
      <top/>
      <bottom style="thick">
        <color auto="1"/>
      </bottom>
      <diagonal/>
    </border>
    <border>
      <left style="medium">
        <color auto="1"/>
      </left>
      <right/>
      <top/>
      <bottom style="thick">
        <color auto="1"/>
      </bottom>
      <diagonal/>
    </border>
    <border>
      <left/>
      <right style="thick">
        <color auto="1"/>
      </right>
      <top/>
      <bottom style="thick">
        <color auto="1"/>
      </bottom>
      <diagonal/>
    </border>
    <border>
      <left style="medium">
        <color rgb="FF000000"/>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top/>
      <bottom/>
      <diagonal/>
    </border>
    <border>
      <left/>
      <right style="medium">
        <color rgb="FF000000"/>
      </right>
      <top/>
      <bottom/>
      <diagonal/>
    </border>
    <border>
      <left style="medium">
        <color rgb="FF000000"/>
      </left>
      <right/>
      <top style="medium">
        <color auto="1"/>
      </top>
      <bottom/>
      <diagonal/>
    </border>
    <border>
      <left/>
      <right style="medium">
        <color rgb="FF000000"/>
      </right>
      <top style="medium">
        <color auto="1"/>
      </top>
      <bottom/>
      <diagonal/>
    </border>
    <border>
      <left style="medium">
        <color rgb="FF000000"/>
      </left>
      <right/>
      <top/>
      <bottom style="medium">
        <color auto="1"/>
      </bottom>
      <diagonal/>
    </border>
    <border>
      <left/>
      <right style="medium">
        <color rgb="FF000000"/>
      </right>
      <top/>
      <bottom style="medium">
        <color auto="1"/>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auto="1"/>
      </left>
      <right/>
      <top style="medium">
        <color auto="1"/>
      </top>
      <bottom style="medium">
        <color auto="1"/>
      </bottom>
      <diagonal/>
    </border>
    <border>
      <left/>
      <right/>
      <top style="thick">
        <color auto="1"/>
      </top>
      <bottom/>
      <diagonal/>
    </border>
    <border>
      <left/>
      <right style="thick">
        <color auto="1"/>
      </right>
      <top style="thick">
        <color auto="1"/>
      </top>
      <bottom/>
      <diagonal/>
    </border>
  </borders>
  <cellStyleXfs count="1">
    <xf numFmtId="0" fontId="0" fillId="0" borderId="0"/>
  </cellStyleXfs>
  <cellXfs count="171">
    <xf numFmtId="0" fontId="0" fillId="0" borderId="0" xfId="0"/>
    <xf numFmtId="0" fontId="2" fillId="0" borderId="0" xfId="0" applyFont="1" applyAlignment="1">
      <alignment horizontal="center" vertical="center"/>
    </xf>
    <xf numFmtId="0" fontId="2" fillId="0" borderId="0" xfId="0" applyFont="1"/>
    <xf numFmtId="0" fontId="0" fillId="0" borderId="0" xfId="0" applyAlignment="1">
      <alignment vertical="center"/>
    </xf>
    <xf numFmtId="10" fontId="2" fillId="0" borderId="0" xfId="0" applyNumberFormat="1" applyFont="1"/>
    <xf numFmtId="0" fontId="1" fillId="0" borderId="0" xfId="0" applyFont="1" applyAlignment="1">
      <alignment horizontal="center" vertical="center"/>
    </xf>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1" fillId="0" borderId="5" xfId="0" applyFont="1" applyBorder="1" applyAlignment="1">
      <alignment vertical="center"/>
    </xf>
    <xf numFmtId="0" fontId="1" fillId="0" borderId="8" xfId="0" applyFont="1" applyBorder="1" applyAlignment="1">
      <alignment horizontal="center" vertical="center"/>
    </xf>
    <xf numFmtId="0" fontId="6" fillId="0" borderId="0" xfId="0" applyFont="1"/>
    <xf numFmtId="164" fontId="1" fillId="0" borderId="0" xfId="0" applyNumberFormat="1" applyFont="1" applyAlignment="1">
      <alignment horizontal="center" vertical="center"/>
    </xf>
    <xf numFmtId="0" fontId="0" fillId="0" borderId="0" xfId="0" applyAlignment="1">
      <alignment horizontal="center"/>
    </xf>
    <xf numFmtId="10" fontId="0" fillId="0" borderId="0" xfId="0" applyNumberFormat="1"/>
    <xf numFmtId="0" fontId="0" fillId="0" borderId="0" xfId="0" applyAlignment="1">
      <alignment horizontal="center" vertical="center"/>
    </xf>
    <xf numFmtId="0" fontId="4" fillId="4" borderId="1" xfId="0" applyFont="1" applyFill="1" applyBorder="1"/>
    <xf numFmtId="0" fontId="4" fillId="4" borderId="2" xfId="0" applyFont="1" applyFill="1" applyBorder="1"/>
    <xf numFmtId="0" fontId="4" fillId="4" borderId="3" xfId="0" applyFont="1" applyFill="1" applyBorder="1"/>
    <xf numFmtId="0" fontId="0" fillId="0" borderId="0" xfId="0" applyAlignment="1">
      <alignment horizontal="right" vertical="center"/>
    </xf>
    <xf numFmtId="165" fontId="0" fillId="0" borderId="0" xfId="0" applyNumberFormat="1"/>
    <xf numFmtId="0" fontId="1" fillId="0" borderId="5" xfId="0" applyFont="1" applyBorder="1" applyAlignment="1">
      <alignment horizontal="center" vertical="center"/>
    </xf>
    <xf numFmtId="0" fontId="1" fillId="0" borderId="9" xfId="0" applyFont="1" applyBorder="1" applyAlignment="1">
      <alignment vertical="center"/>
    </xf>
    <xf numFmtId="0" fontId="1" fillId="0" borderId="0" xfId="0" applyFont="1" applyAlignment="1">
      <alignment horizontal="left" vertical="center" indent="1"/>
    </xf>
    <xf numFmtId="0" fontId="2" fillId="4" borderId="0" xfId="0" applyFont="1" applyFill="1" applyAlignment="1">
      <alignment horizontal="center" vertical="center"/>
    </xf>
    <xf numFmtId="0" fontId="11" fillId="4" borderId="5" xfId="0" applyFont="1" applyFill="1" applyBorder="1" applyAlignment="1">
      <alignment horizontal="center" vertical="center"/>
    </xf>
    <xf numFmtId="0" fontId="11" fillId="4" borderId="0" xfId="0" applyFont="1" applyFill="1" applyAlignment="1">
      <alignment horizontal="center" vertical="center"/>
    </xf>
    <xf numFmtId="0" fontId="11" fillId="4" borderId="8" xfId="0" applyFont="1" applyFill="1" applyBorder="1" applyAlignment="1">
      <alignment horizontal="center" vertical="center"/>
    </xf>
    <xf numFmtId="10" fontId="1" fillId="0" borderId="0" xfId="0" applyNumberFormat="1" applyFont="1" applyAlignment="1">
      <alignment horizontal="left" vertical="center" inden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3" xfId="0" applyFont="1" applyBorder="1" applyAlignment="1">
      <alignment horizontal="center" vertical="center"/>
    </xf>
    <xf numFmtId="0" fontId="1" fillId="0" borderId="12" xfId="0" applyFont="1" applyBorder="1" applyAlignment="1">
      <alignment horizontal="center" vertical="center"/>
    </xf>
    <xf numFmtId="0" fontId="1" fillId="0" borderId="14" xfId="0" applyFont="1" applyBorder="1" applyAlignment="1">
      <alignment horizontal="center" vertical="center"/>
    </xf>
    <xf numFmtId="0" fontId="0" fillId="0" borderId="5" xfId="0" applyBorder="1" applyAlignment="1">
      <alignment vertical="center"/>
    </xf>
    <xf numFmtId="10" fontId="1" fillId="0" borderId="13" xfId="0" applyNumberFormat="1" applyFont="1" applyBorder="1" applyAlignment="1">
      <alignment horizontal="center" vertical="center"/>
    </xf>
    <xf numFmtId="10" fontId="1" fillId="0" borderId="12" xfId="0" applyNumberFormat="1" applyFont="1" applyBorder="1" applyAlignment="1">
      <alignment horizontal="center" vertical="center"/>
    </xf>
    <xf numFmtId="10" fontId="1" fillId="0" borderId="14" xfId="0" applyNumberFormat="1" applyFont="1" applyBorder="1" applyAlignment="1">
      <alignment horizontal="center" vertical="center"/>
    </xf>
    <xf numFmtId="167" fontId="1" fillId="0" borderId="13" xfId="0" applyNumberFormat="1" applyFont="1" applyBorder="1" applyAlignment="1">
      <alignment horizontal="center" vertical="center"/>
    </xf>
    <xf numFmtId="167" fontId="1" fillId="0" borderId="12" xfId="0" applyNumberFormat="1" applyFont="1" applyBorder="1" applyAlignment="1">
      <alignment horizontal="center" vertical="center"/>
    </xf>
    <xf numFmtId="167" fontId="1" fillId="0" borderId="14" xfId="0" applyNumberFormat="1" applyFont="1" applyBorder="1" applyAlignment="1">
      <alignment horizontal="center" vertical="center"/>
    </xf>
    <xf numFmtId="0" fontId="2" fillId="4" borderId="25" xfId="0" applyFont="1" applyFill="1" applyBorder="1" applyAlignment="1">
      <alignment horizontal="center" vertical="center"/>
    </xf>
    <xf numFmtId="0" fontId="1" fillId="0" borderId="27" xfId="0" applyFont="1" applyBorder="1" applyAlignment="1">
      <alignment horizontal="left" vertical="center" indent="1"/>
    </xf>
    <xf numFmtId="0" fontId="1" fillId="0" borderId="29" xfId="0" applyFont="1" applyBorder="1" applyAlignment="1">
      <alignment horizontal="left" vertical="center" indent="1"/>
    </xf>
    <xf numFmtId="0" fontId="1" fillId="0" borderId="25" xfId="0" applyFont="1" applyBorder="1" applyAlignment="1">
      <alignment horizontal="left" vertical="center" indent="1"/>
    </xf>
    <xf numFmtId="0" fontId="11" fillId="0" borderId="31" xfId="0" applyFont="1" applyBorder="1" applyAlignment="1">
      <alignment horizontal="left" vertical="center" wrapText="1" indent="1"/>
    </xf>
    <xf numFmtId="0" fontId="11" fillId="6" borderId="32" xfId="0" applyFont="1" applyFill="1" applyBorder="1" applyAlignment="1">
      <alignment horizontal="left" vertical="center" wrapText="1" indent="1"/>
    </xf>
    <xf numFmtId="0" fontId="11" fillId="0" borderId="32" xfId="0" applyFont="1" applyBorder="1" applyAlignment="1">
      <alignment horizontal="left" vertical="center" wrapText="1" indent="1"/>
    </xf>
    <xf numFmtId="0" fontId="11" fillId="0" borderId="33" xfId="0" applyFont="1" applyBorder="1" applyAlignment="1">
      <alignment horizontal="left" vertical="center" wrapText="1" indent="1"/>
    </xf>
    <xf numFmtId="0" fontId="1" fillId="0" borderId="6" xfId="0" applyFont="1" applyBorder="1" applyAlignment="1">
      <alignment vertical="center"/>
    </xf>
    <xf numFmtId="4" fontId="1" fillId="0" borderId="4" xfId="0" applyNumberFormat="1" applyFont="1" applyBorder="1" applyAlignment="1">
      <alignment horizontal="center" vertical="center"/>
    </xf>
    <xf numFmtId="10" fontId="1" fillId="0" borderId="4" xfId="0" applyNumberFormat="1" applyFont="1" applyBorder="1" applyAlignment="1">
      <alignment horizontal="center" vertical="center"/>
    </xf>
    <xf numFmtId="4" fontId="1" fillId="0" borderId="7" xfId="0" applyNumberFormat="1" applyFont="1" applyBorder="1" applyAlignment="1">
      <alignment horizontal="center" vertical="center"/>
    </xf>
    <xf numFmtId="4" fontId="1" fillId="0" borderId="0" xfId="0" applyNumberFormat="1" applyFont="1" applyAlignment="1">
      <alignment horizontal="center" vertical="center"/>
    </xf>
    <xf numFmtId="10" fontId="1" fillId="0" borderId="0" xfId="0" applyNumberFormat="1" applyFont="1" applyAlignment="1">
      <alignment horizontal="center" vertical="center"/>
    </xf>
    <xf numFmtId="4" fontId="1" fillId="0" borderId="8" xfId="0" applyNumberFormat="1" applyFont="1" applyBorder="1" applyAlignment="1">
      <alignment horizontal="center" vertical="center"/>
    </xf>
    <xf numFmtId="4" fontId="1" fillId="0" borderId="10" xfId="0" applyNumberFormat="1" applyFont="1" applyBorder="1" applyAlignment="1">
      <alignment horizontal="center" vertical="center"/>
    </xf>
    <xf numFmtId="10" fontId="1" fillId="0" borderId="10" xfId="0" applyNumberFormat="1" applyFont="1" applyBorder="1" applyAlignment="1">
      <alignment horizontal="center" vertical="center"/>
    </xf>
    <xf numFmtId="4" fontId="1" fillId="0" borderId="11" xfId="0" applyNumberFormat="1"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1" fillId="0" borderId="1" xfId="0" applyFont="1" applyBorder="1" applyAlignment="1">
      <alignment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left" vertical="center" indent="1"/>
    </xf>
    <xf numFmtId="0" fontId="1" fillId="0" borderId="10" xfId="0" applyFont="1" applyBorder="1" applyAlignment="1">
      <alignment horizontal="left" vertical="center" indent="1"/>
    </xf>
    <xf numFmtId="10" fontId="1" fillId="0" borderId="10" xfId="0" applyNumberFormat="1" applyFont="1" applyBorder="1" applyAlignment="1">
      <alignment horizontal="left" vertical="center" indent="1"/>
    </xf>
    <xf numFmtId="0" fontId="2" fillId="4" borderId="41" xfId="0" applyFont="1" applyFill="1" applyBorder="1" applyAlignment="1">
      <alignment horizontal="center" vertical="center"/>
    </xf>
    <xf numFmtId="0" fontId="2" fillId="4" borderId="42" xfId="0" applyFont="1" applyFill="1" applyBorder="1" applyAlignment="1">
      <alignment horizontal="center" vertical="center"/>
    </xf>
    <xf numFmtId="0" fontId="1" fillId="0" borderId="43" xfId="0" applyFont="1" applyBorder="1" applyAlignment="1">
      <alignment horizontal="left" vertical="center" indent="1"/>
    </xf>
    <xf numFmtId="3" fontId="1" fillId="0" borderId="44" xfId="0" applyNumberFormat="1" applyFont="1" applyBorder="1" applyAlignment="1">
      <alignment horizontal="left" vertical="center" indent="1"/>
    </xf>
    <xf numFmtId="0" fontId="1" fillId="0" borderId="45" xfId="0" applyFont="1" applyBorder="1" applyAlignment="1">
      <alignment horizontal="left" vertical="center" indent="1"/>
    </xf>
    <xf numFmtId="3" fontId="1" fillId="0" borderId="46" xfId="0" applyNumberFormat="1" applyFont="1" applyBorder="1" applyAlignment="1">
      <alignment horizontal="left" vertical="center" indent="1"/>
    </xf>
    <xf numFmtId="166" fontId="1" fillId="0" borderId="44" xfId="0" applyNumberFormat="1" applyFont="1" applyBorder="1" applyAlignment="1">
      <alignment horizontal="left" vertical="center" indent="1"/>
    </xf>
    <xf numFmtId="0" fontId="1" fillId="0" borderId="41" xfId="0" applyFont="1" applyBorder="1" applyAlignment="1">
      <alignment horizontal="left" vertical="center" indent="1"/>
    </xf>
    <xf numFmtId="0" fontId="1" fillId="0" borderId="42" xfId="0" applyFont="1" applyBorder="1" applyAlignment="1">
      <alignment horizontal="left" vertical="center" indent="1"/>
    </xf>
    <xf numFmtId="10" fontId="1" fillId="0" borderId="42" xfId="0" applyNumberFormat="1" applyFont="1" applyBorder="1" applyAlignment="1">
      <alignment horizontal="left" vertical="center" indent="1"/>
    </xf>
    <xf numFmtId="10" fontId="1" fillId="0" borderId="46" xfId="0" applyNumberFormat="1" applyFont="1" applyBorder="1" applyAlignment="1">
      <alignment horizontal="left" vertical="center" indent="1"/>
    </xf>
    <xf numFmtId="3" fontId="1" fillId="0" borderId="42" xfId="0" applyNumberFormat="1" applyFont="1" applyBorder="1" applyAlignment="1">
      <alignment horizontal="left" vertical="center" indent="1"/>
    </xf>
    <xf numFmtId="0" fontId="1" fillId="0" borderId="47" xfId="0" applyFont="1" applyBorder="1" applyAlignment="1">
      <alignment horizontal="left" vertical="center" indent="1"/>
    </xf>
    <xf numFmtId="3" fontId="1" fillId="0" borderId="48" xfId="0" applyNumberFormat="1" applyFont="1" applyBorder="1" applyAlignment="1">
      <alignment horizontal="left" vertical="center" indent="1"/>
    </xf>
    <xf numFmtId="0" fontId="1" fillId="0" borderId="49" xfId="0" applyFont="1" applyBorder="1" applyAlignment="1">
      <alignment horizontal="center" vertical="center"/>
    </xf>
    <xf numFmtId="167" fontId="1" fillId="0" borderId="49" xfId="0" applyNumberFormat="1" applyFont="1" applyBorder="1" applyAlignment="1">
      <alignment horizontal="center" vertical="center"/>
    </xf>
    <xf numFmtId="0" fontId="12" fillId="2" borderId="51" xfId="0" applyFont="1" applyFill="1" applyBorder="1" applyAlignment="1">
      <alignment vertical="center"/>
    </xf>
    <xf numFmtId="0" fontId="0" fillId="0" borderId="6" xfId="0" applyBorder="1" applyAlignment="1">
      <alignment vertical="center"/>
    </xf>
    <xf numFmtId="0" fontId="0" fillId="0" borderId="4"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46" xfId="0" applyBorder="1" applyAlignment="1">
      <alignment vertical="center"/>
    </xf>
    <xf numFmtId="0" fontId="8" fillId="5" borderId="1" xfId="0" applyFont="1" applyFill="1" applyBorder="1" applyAlignment="1">
      <alignment horizontal="center" vertical="center"/>
    </xf>
    <xf numFmtId="0" fontId="8" fillId="5" borderId="2" xfId="0" applyFont="1" applyFill="1" applyBorder="1" applyAlignment="1">
      <alignment horizontal="center" vertical="center"/>
    </xf>
    <xf numFmtId="0" fontId="8" fillId="5" borderId="3" xfId="0" applyFont="1" applyFill="1" applyBorder="1" applyAlignment="1">
      <alignment horizontal="center" vertical="center"/>
    </xf>
    <xf numFmtId="0" fontId="8" fillId="5" borderId="39" xfId="0" applyFont="1" applyFill="1" applyBorder="1" applyAlignment="1">
      <alignment horizontal="center" vertical="center"/>
    </xf>
    <xf numFmtId="0" fontId="8" fillId="5" borderId="40"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2" xfId="0" applyFont="1" applyFill="1" applyBorder="1" applyAlignment="1">
      <alignment horizontal="center" vertical="center"/>
    </xf>
    <xf numFmtId="0" fontId="8" fillId="5" borderId="23" xfId="0" applyFont="1" applyFill="1" applyBorder="1" applyAlignment="1">
      <alignment horizontal="center" vertical="center"/>
    </xf>
    <xf numFmtId="0" fontId="10" fillId="4" borderId="1" xfId="0" applyFont="1" applyFill="1" applyBorder="1" applyAlignment="1">
      <alignment horizontal="center" vertical="center"/>
    </xf>
    <xf numFmtId="0" fontId="10" fillId="4" borderId="2" xfId="0" applyFont="1" applyFill="1" applyBorder="1" applyAlignment="1">
      <alignment horizontal="center" vertical="center"/>
    </xf>
    <xf numFmtId="0" fontId="10" fillId="4" borderId="24" xfId="0" applyFont="1" applyFill="1" applyBorder="1" applyAlignment="1">
      <alignment horizontal="center" vertical="center"/>
    </xf>
    <xf numFmtId="0" fontId="11" fillId="6" borderId="13" xfId="0" applyFont="1" applyFill="1" applyBorder="1" applyAlignment="1">
      <alignment horizontal="center" vertical="center"/>
    </xf>
    <xf numFmtId="0" fontId="11" fillId="6" borderId="12" xfId="0" applyFont="1" applyFill="1" applyBorder="1" applyAlignment="1">
      <alignment horizontal="center" vertical="center"/>
    </xf>
    <xf numFmtId="0" fontId="1" fillId="0" borderId="6"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28" xfId="0" applyFont="1" applyBorder="1" applyAlignment="1">
      <alignment horizontal="left" vertical="center" wrapText="1" indent="1"/>
    </xf>
    <xf numFmtId="0" fontId="1" fillId="0" borderId="5" xfId="0" applyFont="1" applyBorder="1" applyAlignment="1">
      <alignment horizontal="left" vertical="center" wrapText="1" indent="1"/>
    </xf>
    <xf numFmtId="0" fontId="1" fillId="0" borderId="0" xfId="0" applyFont="1" applyAlignment="1">
      <alignment horizontal="left" vertical="center" wrapText="1" indent="1"/>
    </xf>
    <xf numFmtId="0" fontId="1" fillId="0" borderId="26" xfId="0" applyFont="1" applyBorder="1" applyAlignment="1">
      <alignment horizontal="left" vertical="center" wrapText="1" indent="1"/>
    </xf>
    <xf numFmtId="0" fontId="7" fillId="4" borderId="12" xfId="0" applyFont="1" applyFill="1" applyBorder="1" applyAlignment="1">
      <alignment horizontal="center" vertical="center"/>
    </xf>
    <xf numFmtId="3" fontId="11" fillId="6" borderId="12" xfId="0" applyNumberFormat="1" applyFont="1" applyFill="1" applyBorder="1" applyAlignment="1">
      <alignment horizontal="center" vertical="center"/>
    </xf>
    <xf numFmtId="0" fontId="7" fillId="4" borderId="14" xfId="0" applyFont="1" applyFill="1" applyBorder="1" applyAlignment="1">
      <alignment horizontal="center" vertical="center"/>
    </xf>
    <xf numFmtId="0" fontId="11" fillId="6" borderId="14" xfId="0" applyFont="1" applyFill="1" applyBorder="1" applyAlignment="1">
      <alignment horizontal="center" vertical="center"/>
    </xf>
    <xf numFmtId="0" fontId="7" fillId="5" borderId="3" xfId="0" applyFont="1" applyFill="1" applyBorder="1" applyAlignment="1">
      <alignment horizontal="center" vertical="center"/>
    </xf>
    <xf numFmtId="0" fontId="1" fillId="0" borderId="37" xfId="0" applyFont="1" applyBorder="1" applyAlignment="1">
      <alignment horizontal="left" vertical="center" wrapText="1" indent="1"/>
    </xf>
    <xf numFmtId="0" fontId="1" fillId="0" borderId="35" xfId="0" applyFont="1" applyBorder="1" applyAlignment="1">
      <alignment horizontal="left" vertical="center" wrapText="1" indent="1"/>
    </xf>
    <xf numFmtId="0" fontId="1" fillId="0" borderId="38" xfId="0" applyFont="1" applyBorder="1" applyAlignment="1">
      <alignment horizontal="left" vertical="center" wrapText="1" indent="1"/>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50" xfId="0" applyFont="1" applyFill="1" applyBorder="1" applyAlignment="1">
      <alignment horizontal="center" vertical="center"/>
    </xf>
    <xf numFmtId="0" fontId="1" fillId="0" borderId="19" xfId="0" applyFont="1" applyBorder="1" applyAlignment="1">
      <alignment horizontal="left" vertical="center" wrapText="1" indent="1"/>
    </xf>
    <xf numFmtId="0" fontId="1" fillId="0" borderId="20" xfId="0" applyFont="1" applyBorder="1" applyAlignment="1">
      <alignment horizontal="left" vertical="center" wrapText="1" indent="1"/>
    </xf>
    <xf numFmtId="0" fontId="1" fillId="7" borderId="27" xfId="0" applyFont="1" applyFill="1" applyBorder="1" applyAlignment="1">
      <alignment horizontal="left" vertical="center" wrapText="1" indent="1"/>
    </xf>
    <xf numFmtId="0" fontId="1" fillId="7" borderId="4" xfId="0" applyFont="1" applyFill="1" applyBorder="1" applyAlignment="1">
      <alignment horizontal="left" vertical="center" wrapText="1" indent="1"/>
    </xf>
    <xf numFmtId="0" fontId="1" fillId="7" borderId="28" xfId="0" applyFont="1" applyFill="1" applyBorder="1" applyAlignment="1">
      <alignment horizontal="left" vertical="center" wrapText="1" indent="1"/>
    </xf>
    <xf numFmtId="0" fontId="1" fillId="7" borderId="25" xfId="0" applyFont="1" applyFill="1" applyBorder="1" applyAlignment="1">
      <alignment horizontal="left" vertical="center" wrapText="1" indent="1"/>
    </xf>
    <xf numFmtId="0" fontId="1" fillId="7" borderId="0" xfId="0" applyFont="1" applyFill="1" applyAlignment="1">
      <alignment horizontal="left" vertical="center" wrapText="1" indent="1"/>
    </xf>
    <xf numFmtId="0" fontId="1" fillId="7" borderId="26" xfId="0" applyFont="1" applyFill="1" applyBorder="1" applyAlignment="1">
      <alignment horizontal="left" vertical="center" wrapText="1" indent="1"/>
    </xf>
    <xf numFmtId="0" fontId="1" fillId="7" borderId="29" xfId="0" applyFont="1" applyFill="1" applyBorder="1" applyAlignment="1">
      <alignment horizontal="center" vertical="top" wrapText="1"/>
    </xf>
    <xf numFmtId="0" fontId="1" fillId="7" borderId="10" xfId="0" applyFont="1" applyFill="1" applyBorder="1" applyAlignment="1">
      <alignment horizontal="center" vertical="top" wrapText="1"/>
    </xf>
    <xf numFmtId="0" fontId="1" fillId="7" borderId="30" xfId="0" applyFont="1" applyFill="1" applyBorder="1" applyAlignment="1">
      <alignment horizontal="center" vertical="top" wrapText="1"/>
    </xf>
    <xf numFmtId="0" fontId="8" fillId="5" borderId="24" xfId="0" applyFont="1" applyFill="1" applyBorder="1" applyAlignment="1">
      <alignment horizontal="center" vertical="center"/>
    </xf>
    <xf numFmtId="0" fontId="9" fillId="2" borderId="23"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30"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49" xfId="0" applyFont="1" applyFill="1" applyBorder="1" applyAlignment="1">
      <alignment horizontal="center" vertical="center"/>
    </xf>
    <xf numFmtId="3" fontId="11" fillId="6" borderId="49" xfId="0" applyNumberFormat="1" applyFont="1" applyFill="1" applyBorder="1" applyAlignment="1">
      <alignment horizontal="center" vertical="center"/>
    </xf>
    <xf numFmtId="0" fontId="1" fillId="6" borderId="17" xfId="0" applyFont="1" applyFill="1" applyBorder="1" applyAlignment="1">
      <alignment horizontal="left" vertical="center" wrapText="1" indent="1"/>
    </xf>
    <xf numFmtId="0" fontId="1" fillId="6" borderId="18" xfId="0" applyFont="1" applyFill="1" applyBorder="1" applyAlignment="1">
      <alignment horizontal="left" vertical="center" wrapText="1" indent="1"/>
    </xf>
    <xf numFmtId="0" fontId="1" fillId="0" borderId="17" xfId="0" applyFont="1" applyBorder="1" applyAlignment="1">
      <alignment horizontal="left" vertical="center" wrapText="1" indent="1"/>
    </xf>
    <xf numFmtId="0" fontId="1" fillId="0" borderId="18" xfId="0" applyFont="1" applyBorder="1" applyAlignment="1">
      <alignment horizontal="left" vertical="center" wrapText="1" indent="1"/>
    </xf>
    <xf numFmtId="0" fontId="10" fillId="4" borderId="23" xfId="0" applyFont="1" applyFill="1" applyBorder="1" applyAlignment="1">
      <alignment horizontal="center" vertical="center"/>
    </xf>
    <xf numFmtId="0" fontId="10" fillId="4" borderId="3" xfId="0" applyFont="1" applyFill="1" applyBorder="1" applyAlignment="1">
      <alignment horizontal="center" vertical="center"/>
    </xf>
    <xf numFmtId="0" fontId="1" fillId="0" borderId="27" xfId="0" applyFont="1" applyBorder="1" applyAlignment="1">
      <alignment horizontal="left" vertical="center" wrapText="1" indent="1"/>
    </xf>
    <xf numFmtId="0" fontId="1" fillId="0" borderId="7" xfId="0" applyFont="1" applyBorder="1" applyAlignment="1">
      <alignment horizontal="left" vertical="center" wrapText="1" indent="1"/>
    </xf>
    <xf numFmtId="0" fontId="1" fillId="0" borderId="25"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34" xfId="0" applyFont="1" applyBorder="1" applyAlignment="1">
      <alignment horizontal="left" vertical="center" wrapText="1" indent="1"/>
    </xf>
    <xf numFmtId="0" fontId="1" fillId="0" borderId="36" xfId="0" applyFont="1" applyBorder="1" applyAlignment="1">
      <alignment horizontal="left" vertical="center" wrapText="1" indent="1"/>
    </xf>
    <xf numFmtId="0" fontId="1" fillId="0" borderId="15" xfId="0" applyFont="1" applyBorder="1" applyAlignment="1">
      <alignment horizontal="left" vertical="center" wrapText="1" indent="1"/>
    </xf>
    <xf numFmtId="0" fontId="1" fillId="0" borderId="16" xfId="0" applyFont="1" applyBorder="1" applyAlignment="1">
      <alignment horizontal="left" vertical="center" wrapText="1" indent="1"/>
    </xf>
    <xf numFmtId="0" fontId="9" fillId="2" borderId="1" xfId="0" applyFont="1" applyFill="1" applyBorder="1" applyAlignment="1">
      <alignment horizontal="center" vertical="center"/>
    </xf>
    <xf numFmtId="0" fontId="9" fillId="2" borderId="3" xfId="0" applyFont="1" applyFill="1" applyBorder="1" applyAlignment="1">
      <alignment horizontal="center" vertical="center"/>
    </xf>
    <xf numFmtId="0" fontId="3" fillId="3" borderId="5" xfId="0" applyFont="1" applyFill="1" applyBorder="1" applyAlignment="1">
      <alignment horizontal="center" vertical="center"/>
    </xf>
    <xf numFmtId="0" fontId="3" fillId="3" borderId="0" xfId="0" applyFont="1" applyFill="1" applyAlignment="1">
      <alignment horizontal="center" vertical="center"/>
    </xf>
    <xf numFmtId="0" fontId="3" fillId="3" borderId="8" xfId="0" applyFont="1" applyFill="1" applyBorder="1" applyAlignment="1">
      <alignment horizontal="center" vertical="center"/>
    </xf>
    <xf numFmtId="0" fontId="4" fillId="4" borderId="9" xfId="0" applyFont="1" applyFill="1" applyBorder="1" applyAlignment="1">
      <alignment horizontal="center"/>
    </xf>
    <xf numFmtId="0" fontId="4" fillId="4" borderId="10" xfId="0" applyFont="1" applyFill="1" applyBorder="1" applyAlignment="1">
      <alignment horizontal="center"/>
    </xf>
    <xf numFmtId="0" fontId="4" fillId="4" borderId="11" xfId="0" applyFont="1" applyFill="1" applyBorder="1" applyAlignment="1">
      <alignment horizontal="center"/>
    </xf>
    <xf numFmtId="0" fontId="5" fillId="2" borderId="6"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7" xfId="0" applyFont="1" applyFill="1" applyBorder="1" applyAlignment="1">
      <alignment horizontal="center" vertical="center"/>
    </xf>
    <xf numFmtId="0" fontId="4" fillId="4" borderId="1" xfId="0" applyFont="1" applyFill="1" applyBorder="1" applyAlignment="1">
      <alignment horizontal="center"/>
    </xf>
    <xf numFmtId="0" fontId="4" fillId="4" borderId="2" xfId="0" applyFont="1" applyFill="1" applyBorder="1" applyAlignment="1">
      <alignment horizontal="center"/>
    </xf>
    <xf numFmtId="0" fontId="4" fillId="4" borderId="3" xfId="0" applyFont="1" applyFill="1" applyBorder="1" applyAlignment="1">
      <alignment horizontal="center"/>
    </xf>
    <xf numFmtId="0" fontId="3" fillId="3" borderId="6"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7" xfId="0" applyFont="1" applyFill="1" applyBorder="1" applyAlignment="1">
      <alignment horizontal="center" vertical="center"/>
    </xf>
  </cellXfs>
  <cellStyles count="1">
    <cellStyle name="Normal" xfId="0" builtinId="0"/>
  </cellStyles>
  <dxfs count="423">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4"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right style="medium">
          <color auto="1"/>
        </right>
        <top/>
        <bottom/>
        <vertical/>
        <horizontal/>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vertical="center" textRotation="0" wrapText="0" indent="0" justifyLastLine="0" shrinkToFit="0" readingOrder="0"/>
    </dxf>
    <dxf>
      <font>
        <strike val="0"/>
        <outline val="0"/>
        <shadow val="0"/>
        <u val="none"/>
        <vertAlign val="baseline"/>
        <sz val="12"/>
        <color rgb="FF000000"/>
        <name val="Calibri"/>
        <family val="2"/>
        <scheme val="none"/>
      </font>
      <alignment horizontal="center"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border diagonalUp="0" diagonalDown="0">
        <left/>
        <right style="medium">
          <color indexed="64"/>
        </right>
        <vertical/>
      </border>
    </dxf>
    <dxf>
      <font>
        <b val="0"/>
        <i val="0"/>
        <strike val="0"/>
        <condense val="0"/>
        <extend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4" formatCode="#,##0.00"/>
      <alignment horizontal="center" vertical="center" textRotation="0" wrapText="0" indent="0" justifyLastLine="0" shrinkToFit="0" readingOrder="0"/>
    </dxf>
    <dxf>
      <font>
        <b val="0"/>
        <i val="0"/>
        <strike val="0"/>
        <condense val="0"/>
        <extend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general" vertical="center" textRotation="0" wrapText="0" indent="0" justifyLastLine="0" shrinkToFit="0" readingOrder="0"/>
      <border diagonalUp="0" diagonalDown="0">
        <left style="medium">
          <color indexed="64"/>
        </left>
        <right/>
        <vertical/>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border>
        <top style="medium">
          <color indexed="64"/>
        </top>
      </border>
    </dxf>
    <dxf>
      <border>
        <bottom style="medium">
          <color indexed="64"/>
        </bottom>
      </border>
    </dxf>
    <dxf>
      <font>
        <strike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6"/>
        <color theme="1"/>
        <name val="Calibri"/>
        <family val="2"/>
        <scheme val="minor"/>
      </font>
      <alignment horizontal="center" vertical="center" textRotation="0" wrapText="0" indent="0" justifyLastLine="0" shrinkToFit="0" readingOrder="0"/>
      <border diagonalUp="0" diagonalDown="0">
        <left/>
        <right/>
        <top/>
        <bottom/>
        <vertic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right style="medium">
          <color auto="1"/>
        </right>
        <top/>
        <bottom/>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medium">
          <color auto="1"/>
        </left>
        <right/>
        <top/>
        <bottom/>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4"/>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medium">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border diagonalUp="0" diagonalDown="0">
        <left style="medium">
          <color auto="1"/>
        </left>
        <right style="thin">
          <color auto="1"/>
        </right>
        <top/>
        <bottom/>
      </border>
    </dxf>
    <dxf>
      <font>
        <strike val="0"/>
        <outline val="0"/>
        <shadow val="0"/>
        <u val="none"/>
        <vertAlign val="baseline"/>
        <sz val="12"/>
        <color theme="1"/>
        <name val="Calibri"/>
        <family val="2"/>
        <scheme val="minor"/>
      </font>
      <numFmt numFmtId="14" formatCode="0.00%"/>
      <alignment horizontal="center" vertical="center" textRotation="0" wrapText="0" indent="0" justifyLastLine="0" shrinkToFit="0" readingOrder="0"/>
    </dxf>
    <dxf>
      <font>
        <strike val="0"/>
        <outline val="0"/>
        <shadow val="0"/>
        <u val="none"/>
        <vertAlign val="baseline"/>
        <sz val="14"/>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medium">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border diagonalUp="0" diagonalDown="0">
        <left style="medium">
          <color auto="1"/>
        </left>
        <right style="thin">
          <color auto="1"/>
        </right>
        <top/>
        <bottom/>
      </border>
    </dxf>
    <dxf>
      <font>
        <strike val="0"/>
        <outline val="0"/>
        <shadow val="0"/>
        <u val="none"/>
        <vertAlign val="baseline"/>
        <sz val="12"/>
        <color theme="1"/>
        <name val="Calibri"/>
        <family val="2"/>
        <scheme val="minor"/>
      </font>
      <alignment horizontal="center" vertical="center" textRotation="0" wrapText="0" indent="0" justifyLastLine="0" shrinkToFit="0" readingOrder="0"/>
    </dxf>
    <dxf>
      <font>
        <strike val="0"/>
        <outline val="0"/>
        <shadow val="0"/>
        <u val="none"/>
        <vertAlign val="baseline"/>
        <sz val="14"/>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medium">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thin">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border diagonalUp="0" diagonalDown="0">
        <left style="medium">
          <color auto="1"/>
        </left>
        <right style="thin">
          <color auto="1"/>
        </right>
        <top/>
        <bottom/>
        <vertical style="thin">
          <color auto="1"/>
        </vertical>
        <horizontal/>
      </border>
    </dxf>
    <dxf>
      <font>
        <strike val="0"/>
        <outline val="0"/>
        <shadow val="0"/>
        <u val="none"/>
        <vertAlign val="baseline"/>
        <sz val="12"/>
        <color theme="1"/>
        <name val="Calibri"/>
        <family val="2"/>
        <scheme val="minor"/>
      </font>
      <numFmt numFmtId="167" formatCode="#,##0.0"/>
      <alignment horizontal="center" vertical="center" textRotation="0" wrapText="0" indent="0" justifyLastLine="0" shrinkToFit="0" readingOrder="0"/>
    </dxf>
    <dxf>
      <font>
        <strike val="0"/>
        <outline val="0"/>
        <shadow val="0"/>
        <u val="none"/>
        <vertAlign val="baseline"/>
        <sz val="14"/>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medium">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thin">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border diagonalUp="0" diagonalDown="0">
        <left style="medium">
          <color auto="1"/>
        </left>
        <right style="thin">
          <color auto="1"/>
        </right>
        <top/>
        <bottom/>
      </border>
    </dxf>
    <dxf>
      <font>
        <strike val="0"/>
        <outline val="0"/>
        <shadow val="0"/>
        <u val="none"/>
        <vertAlign val="baseline"/>
        <sz val="12"/>
        <color theme="1"/>
        <name val="Calibri"/>
        <family val="2"/>
        <scheme val="minor"/>
      </font>
      <numFmt numFmtId="0" formatCode="General"/>
      <alignment horizontal="center" vertical="center" textRotation="0" wrapText="0" indent="0" justifyLastLine="0" shrinkToFit="0" readingOrder="0"/>
    </dxf>
    <dxf>
      <font>
        <strike val="0"/>
        <outline val="0"/>
        <shadow val="0"/>
        <u val="none"/>
        <vertAlign val="baseline"/>
        <sz val="14"/>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left" vertical="center" textRotation="0" wrapText="0" indent="1" justifyLastLine="0" shrinkToFit="0" readingOrder="0"/>
    </dxf>
    <dxf>
      <font>
        <strike val="0"/>
        <outline val="0"/>
        <shadow val="0"/>
        <u val="none"/>
        <vertAlign val="baseline"/>
        <sz val="12"/>
        <color theme="1"/>
        <name val="Calibri"/>
        <family val="2"/>
        <scheme val="minor"/>
      </font>
      <alignment horizontal="left" vertical="center" textRotation="0" wrapText="0" indent="1"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theme="1"/>
        <name val="Calibri"/>
        <family val="2"/>
        <scheme val="minor"/>
      </font>
      <alignment horizontal="left" vertical="center" textRotation="0" wrapText="0" indent="1" justifyLastLine="0" shrinkToFit="0" readingOrder="0"/>
    </dxf>
    <dxf>
      <font>
        <strike val="0"/>
        <outline val="0"/>
        <shadow val="0"/>
        <u val="none"/>
        <vertAlign val="baseline"/>
        <sz val="16"/>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
      <font>
        <strike val="0"/>
        <outline val="0"/>
        <shadow val="0"/>
        <u val="none"/>
        <vertAlign val="baseline"/>
        <sz val="12"/>
        <color theme="1"/>
        <name val="Calibri"/>
        <family val="2"/>
        <scheme val="minor"/>
      </font>
      <alignment horizontal="left" vertical="center" textRotation="0" wrapText="0" indent="1" justifyLastLine="0" shrinkToFit="0" readingOrder="0"/>
    </dxf>
    <dxf>
      <font>
        <strike val="0"/>
        <outline val="0"/>
        <shadow val="0"/>
        <u val="none"/>
        <vertAlign val="baseline"/>
        <sz val="12"/>
        <color theme="1"/>
        <name val="Calibri"/>
        <family val="2"/>
        <scheme val="minor"/>
      </font>
      <alignment horizontal="left" vertical="center" textRotation="0" wrapText="0" indent="1" justifyLastLine="0" shrinkToFit="0" readingOrder="0"/>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sz val="12"/>
        <color theme="1"/>
        <name val="Calibri"/>
        <family val="2"/>
        <scheme val="minor"/>
      </font>
      <alignment horizontal="left" vertical="center" textRotation="0" wrapText="0" indent="1" justifyLastLine="0" shrinkToFit="0" readingOrder="0"/>
    </dxf>
    <dxf>
      <font>
        <strike val="0"/>
        <outline val="0"/>
        <shadow val="0"/>
        <u val="none"/>
        <vertAlign val="baseline"/>
        <sz val="16"/>
        <color theme="1"/>
        <name val="Calibri"/>
        <family val="2"/>
        <scheme val="minor"/>
      </font>
      <fill>
        <patternFill patternType="solid">
          <fgColor indexed="64"/>
          <bgColor theme="1" tint="0.14999847407452621"/>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566FA1B-9D49-44FF-9DFF-08C63BF7F363}" name="WeaponBase" displayName="WeaponBase" ref="A3:B24" totalsRowShown="0" headerRowDxfId="422" dataDxfId="421" tableBorderDxfId="420">
  <autoFilter ref="A3:B24" xr:uid="{0566FA1B-9D49-44FF-9DFF-08C63BF7F363}">
    <filterColumn colId="0" hiddenButton="1"/>
    <filterColumn colId="1" hiddenButton="1"/>
  </autoFilter>
  <tableColumns count="2">
    <tableColumn id="1" xr3:uid="{45FDA9E0-E985-4890-BD94-6874E470ADC4}" name="Type" dataDxfId="419"/>
    <tableColumn id="2" xr3:uid="{DBF84E1F-E7DF-4CB2-9F53-0FB0F9811008}" name="Values" dataDxfId="418"/>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A90822B-393F-4049-A399-753E70DCCA96}" name="BaseValues" displayName="BaseValues" ref="A3:R4" headerRowDxfId="264" dataDxfId="263">
  <autoFilter ref="A3:R4" xr:uid="{3A90822B-393F-4049-A399-753E70DCCA96}"/>
  <tableColumns count="18">
    <tableColumn id="1" xr3:uid="{480EAED2-C7A5-4D36-9D6E-17AC741D81F6}" name="WEAPON" dataDxfId="261" totalsRowDxfId="262"/>
    <tableColumn id="2" xr3:uid="{0D944825-FE74-4F70-B006-3A17ADFDFF23}" name="QUANTA" dataDxfId="259" totalsRowDxfId="260">
      <calculatedColumnFormula>BaseValues[[#This Row],[TOTAL]]/16</calculatedColumnFormula>
    </tableColumn>
    <tableColumn id="3" xr3:uid="{CC66DE8B-0DBC-486A-900A-51E3C9793CEF}" name="IMPACT" dataDxfId="257" totalsRowDxfId="258">
      <calculatedColumnFormula array="1">_xlfn.LET(_xlpm.BWV,_xlfn.XLOOKUP(BaseValues[[#This Row],[WEAPON]],WeaponData[WEAPON],WeaponData[IMPACT],0),IF(ModValues[VALENCE]="IMPACT",_xlpm.BWV+BaseValues[[#This Row],[VALEN]],_xlpm.BWV))</calculatedColumnFormula>
    </tableColumn>
    <tableColumn id="4" xr3:uid="{3131F927-7E6B-4AE6-8ABB-5A7E1D1668F6}" name="PUNC" dataDxfId="255" totalsRowDxfId="256">
      <calculatedColumnFormula array="1">_xlfn.LET(_xlpm.BWV,_xlfn.XLOOKUP(BaseValues[[#This Row],[WEAPON]],WeaponData[WEAPON],WeaponData[PUNC],0),IF(ModValues[VALENCE]="PUNC",_xlpm.BWV+BaseValues[[#This Row],[VALEN]],_xlpm.BWV))</calculatedColumnFormula>
    </tableColumn>
    <tableColumn id="5" xr3:uid="{F2B5E26A-E038-49C0-958A-756017C34492}" name="SLASH" dataDxfId="253" totalsRowDxfId="254">
      <calculatedColumnFormula array="1">_xlfn.LET(_xlpm.BWV,_xlfn.XLOOKUP(BaseValues[[#This Row],[WEAPON]],WeaponData[WEAPON],WeaponData[SLASH],0),IF(ModValues[VALENCE]="SLASH",_xlpm.BWV+BaseValues[[#This Row],[VALEN]],_xlpm.BWV))</calculatedColumnFormula>
    </tableColumn>
    <tableColumn id="6" xr3:uid="{721C2421-5FAF-4E69-B0A3-5F078DD41796}" name="HEAT" dataDxfId="251" totalsRowDxfId="252">
      <calculatedColumnFormula array="1">_xlfn.LET(_xlpm.BWV,_xlfn.XLOOKUP(BaseValues[[#This Row],[WEAPON]],WeaponData[WEAPON],WeaponData[HEAT],0),IF(ModValues[VALENCE]="HEAT",_xlpm.BWV+BaseValues[[#This Row],[VALEN]],_xlpm.BWV))</calculatedColumnFormula>
    </tableColumn>
    <tableColumn id="7" xr3:uid="{75496494-478C-483A-8F62-7A3D5277E75F}" name="COLD" dataDxfId="249" totalsRowDxfId="250">
      <calculatedColumnFormula array="1">_xlfn.LET(_xlpm.BWV,_xlfn.XLOOKUP(BaseValues[[#This Row],[WEAPON]],WeaponData[WEAPON],WeaponData[COLD],0),IF(ModValues[VALENCE]="COLD",_xlpm.BWV+BaseValues[[#This Row],[VALEN]],_xlpm.BWV))</calculatedColumnFormula>
    </tableColumn>
    <tableColumn id="8" xr3:uid="{309D4709-0D36-4191-A5A5-6C8045D4F2B5}" name="ELEC" dataDxfId="247" totalsRowDxfId="248">
      <calculatedColumnFormula array="1">_xlfn.LET(_xlpm.BWV,_xlfn.XLOOKUP(BaseValues[[#This Row],[WEAPON]],WeaponData[WEAPON],WeaponData[ELEC],0),IF(ModValues[VALENCE]="ELEC",_xlpm.BWV+BaseValues[[#This Row],[VALEN]],_xlpm.BWV))</calculatedColumnFormula>
    </tableColumn>
    <tableColumn id="9" xr3:uid="{ED125659-FE3E-494D-AEE4-DEEBFA0C570C}" name="TOXIN" dataDxfId="245" totalsRowDxfId="246">
      <calculatedColumnFormula array="1">_xlfn.LET(_xlpm.BWV,_xlfn.XLOOKUP(BaseValues[[#This Row],[WEAPON]],WeaponData[WEAPON],WeaponData[TOXIN],0),IF(ModValues[VALENCE]="TOXIN",_xlpm.BWV+BaseValues[[#This Row],[VALEN]],_xlpm.BWV))</calculatedColumnFormula>
    </tableColumn>
    <tableColumn id="12" xr3:uid="{674EE424-CAEA-4644-8FEF-783CBB3DC6C7}" name="BLAST" dataDxfId="243" totalsRowDxfId="244">
      <calculatedColumnFormula array="1">_xlfn.LET(_xlpm.BWV,_xlfn.XLOOKUP(BaseValues[[#This Row],[WEAPON]],WeaponData[WEAPON],WeaponData[BLAST],0),IF(ModValues[VALENCE]="BLAST",_xlpm.BWV+BaseValues[[#This Row],[VALEN]],_xlpm.BWV))</calculatedColumnFormula>
    </tableColumn>
    <tableColumn id="16" xr3:uid="{DF70299C-5C96-4411-9C8C-99C3B18F5A8D}" name="RAD" dataDxfId="241" totalsRowDxfId="242">
      <calculatedColumnFormula array="1">_xlfn.LET(_xlpm.BWV,_xlfn.XLOOKUP(BaseValues[[#This Row],[WEAPON]],WeaponData[WEAPON],WeaponData[RAD],0),IF(ModValues[VALENCE]="RAD",_xlpm.BWV+BaseValues[[#This Row],[VALEN]],_xlpm.BWV))</calculatedColumnFormula>
    </tableColumn>
    <tableColumn id="14" xr3:uid="{46AE3FDE-0B2C-4C8E-9561-EA42FF8091B1}" name="GAS" dataDxfId="239" totalsRowDxfId="240">
      <calculatedColumnFormula array="1">_xlfn.LET(_xlpm.BWV,_xlfn.XLOOKUP(BaseValues[[#This Row],[WEAPON]],WeaponData[WEAPON],WeaponData[GAS],0),IF(ModValues[VALENCE]="GAS",_xlpm.BWV+BaseValues[[#This Row],[VALEN]],_xlpm.BWV))</calculatedColumnFormula>
    </tableColumn>
    <tableColumn id="15" xr3:uid="{56AA859D-AD50-41FC-B6D1-77B139205600}" name="MAG" dataDxfId="237" totalsRowDxfId="238">
      <calculatedColumnFormula array="1">_xlfn.LET(_xlpm.BWV,_xlfn.XLOOKUP(BaseValues[[#This Row],[WEAPON]],WeaponData[WEAPON],WeaponData[MAG],0),IF(ModValues[VALENCE]="MAG",_xlpm.BWV+BaseValues[[#This Row],[VALEN]],_xlpm.BWV))</calculatedColumnFormula>
    </tableColumn>
    <tableColumn id="17" xr3:uid="{6D015471-048E-424D-997E-E6D9B839B49A}" name="VIRAL" dataDxfId="235" totalsRowDxfId="236">
      <calculatedColumnFormula array="1">_xlfn.LET(_xlpm.BWV,_xlfn.XLOOKUP(BaseValues[[#This Row],[WEAPON]],WeaponData[WEAPON],WeaponData[VIRAL],0),IF(ModValues[VALENCE]="VIRAL",_xlpm.BWV+BaseValues[[#This Row],[VALEN]],_xlpm.BWV))</calculatedColumnFormula>
    </tableColumn>
    <tableColumn id="13" xr3:uid="{A7FF00A7-4D37-4253-8508-2AC03C464FE6}" name="CORR" dataDxfId="233" totalsRowDxfId="234">
      <calculatedColumnFormula array="1">_xlfn.LET(_xlpm.BWV,_xlfn.XLOOKUP(BaseValues[[#This Row],[WEAPON]],WeaponData[WEAPON],WeaponData[CORR],0),IF(ModValues[VALENCE]="CORR",_xlpm.BWV+BaseValues[[#This Row],[VALEN]],_xlpm.BWV))</calculatedColumnFormula>
    </tableColumn>
    <tableColumn id="10" xr3:uid="{CA7D12EF-1742-4627-8108-03659E5F3EEA}" name="VOID" dataDxfId="231" totalsRowDxfId="232">
      <calculatedColumnFormula array="1">_xlfn.LET(_xlpm.BWV,_xlfn.XLOOKUP(BaseValues[[#This Row],[WEAPON]],WeaponData[WEAPON],WeaponData[VOID],0),IF(ModValues[VALENCE]="VOID",_xlpm.BWV+BaseValues[[#This Row],[VALEN]],_xlpm.BWV))</calculatedColumnFormula>
    </tableColumn>
    <tableColumn id="18" xr3:uid="{7E1E9929-0FBC-4207-8B80-F3C8EAC2A92C}" name="TOTAL" dataDxfId="229" totalsRowDxfId="230">
      <calculatedColumnFormula>SUM(BaseValues[[#This Row],[IMPACT]:[VOID]])</calculatedColumnFormula>
    </tableColumn>
    <tableColumn id="11" xr3:uid="{F9AAC047-B8B4-4E8F-8F0F-348623281921}" name="VALEN" dataDxfId="227" totalsRowDxfId="228">
      <calculatedColumnFormula array="1">_xlfn.XLOOKUP(BaseValues[[#This Row],[WEAPON]],WeaponData[WEAPON],WeaponData[DMG],0)*ModValues[%]</calculatedColumnFormula>
    </tableColumn>
  </tableColumns>
  <tableStyleInfo name="TableStyleMedium16"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BD27117-B79D-4E40-9835-D353C0C6E1AA}" name="ModValues" displayName="ModValues" ref="A7:R8" headerRowDxfId="226" dataDxfId="225">
  <autoFilter ref="A7:R8" xr:uid="{DBD27117-B79D-4E40-9835-D353C0C6E1AA}"/>
  <tableColumns count="18">
    <tableColumn id="1" xr3:uid="{529A0FD5-F34F-40B0-B961-CBAD530BD7CB}" name="VALENCE" dataDxfId="223" totalsRowDxfId="224"/>
    <tableColumn id="2" xr3:uid="{A7692FE2-B64E-48A3-BC5C-17DA27FF06BA}" name="%" dataDxfId="221" totalsRowDxfId="222"/>
    <tableColumn id="3" xr3:uid="{C4A903CA-AAA8-4EF6-B25B-8C836F01631F}" name="IMPACT" dataDxfId="219" totalsRowDxfId="220"/>
    <tableColumn id="4" xr3:uid="{AAE8B413-770B-4E89-A313-EA350BD4A3E4}" name="PUNC" dataDxfId="217" totalsRowDxfId="218"/>
    <tableColumn id="5" xr3:uid="{11EABA99-2A29-4C7F-84D9-D9A2D96B55E1}" name="SLASH" dataDxfId="215" totalsRowDxfId="216"/>
    <tableColumn id="6" xr3:uid="{84D7162E-7FEF-404F-BF4A-3B7A4B7ED6DD}" name="HEAT" dataDxfId="213" totalsRowDxfId="214"/>
    <tableColumn id="7" xr3:uid="{052B6454-13AA-4C50-A9D8-0CC7E9CD641E}" name="COLD" dataDxfId="211" totalsRowDxfId="212"/>
    <tableColumn id="8" xr3:uid="{A2EA1F2A-9869-4DD7-8F7A-0825C933B7F7}" name="ELEC" dataDxfId="209" totalsRowDxfId="210"/>
    <tableColumn id="9" xr3:uid="{BA6CCDCD-09A3-4D8D-A2C4-8698AE5E4636}" name="TOXIN" dataDxfId="207" totalsRowDxfId="208"/>
    <tableColumn id="12" xr3:uid="{C95C9C6B-A60F-45F3-97F1-CEC8D900634C}" name="BLAST" dataDxfId="205" totalsRowDxfId="206"/>
    <tableColumn id="16" xr3:uid="{56722A68-1E3A-4DE8-ADC2-B71B4350E862}" name="RAD" dataDxfId="203" totalsRowDxfId="204"/>
    <tableColumn id="14" xr3:uid="{56F3584A-EA87-4E02-8FE8-B726026F29E5}" name="GAS" dataDxfId="201" totalsRowDxfId="202"/>
    <tableColumn id="15" xr3:uid="{5864FC43-9D2E-4019-B834-31907DC7D950}" name="MAG" dataDxfId="199" totalsRowDxfId="200">
      <calculatedColumnFormula>1.65+1.65</calculatedColumnFormula>
    </tableColumn>
    <tableColumn id="17" xr3:uid="{C9BCB6FF-C065-4BA8-ABDA-56DA218EABE8}" name="VIRAL" dataDxfId="197" totalsRowDxfId="198"/>
    <tableColumn id="13" xr3:uid="{D5D8398F-2F0D-4E27-8680-49FACEB5957A}" name="CORR" dataDxfId="195" totalsRowDxfId="196"/>
    <tableColumn id="10" xr3:uid="{975DFB64-F9FD-4099-95BF-E3092C6B22BB}" name="VOID" dataDxfId="193" totalsRowDxfId="194"/>
    <tableColumn id="18" xr3:uid="{32E28DB2-CDCB-4A77-94C9-342107F1DEE8}" name="TRUE" dataDxfId="191" totalsRowDxfId="192">
      <calculatedColumnFormula>1.65</calculatedColumnFormula>
    </tableColumn>
    <tableColumn id="11" xr3:uid="{B92A3A33-90F6-4A23-9B53-AC54E17113D9}" name="BANE" dataDxfId="189" totalsRowDxfId="190"/>
  </tableColumns>
  <tableStyleInfo name="TableStyleMedium16"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F560950-92C3-4D0A-A7F2-60F81B19C513}" name="ArmorMOD" displayName="ArmorMOD" ref="A15:R16" headerRowDxfId="188" dataDxfId="187">
  <autoFilter ref="A15:R16" xr:uid="{DF560950-92C3-4D0A-A7F2-60F81B19C513}"/>
  <tableColumns count="18">
    <tableColumn id="1" xr3:uid="{671E3145-786C-4F7D-A446-1EDB990019AE}" name="ARMOR" dataDxfId="185" totalsRowDxfId="186"/>
    <tableColumn id="2" xr3:uid="{B0B4F0B8-D874-4975-8E6E-B2F4BAFAE573}" name="QUANTA" dataDxfId="183" totalsRowDxfId="184">
      <calculatedColumnFormula array="1">BaseValues[QUANTA]</calculatedColumnFormula>
    </tableColumn>
    <tableColumn id="3" xr3:uid="{820B1EE7-44D5-454F-B882-E0CA6ADE5009}" name="IMPACT" dataDxfId="181" totalsRowDxfId="182">
      <calculatedColumnFormula array="1">0.9*SQRT(ArmorMOD[[ARMOR]:[ARMOR]]/2700)</calculatedColumnFormula>
    </tableColumn>
    <tableColumn id="4" xr3:uid="{7BD067DC-C3B7-4E7E-B644-08A3D1E308D8}" name="PUNC" dataDxfId="179" totalsRowDxfId="180">
      <calculatedColumnFormula array="1">0.9*SQRT(ArmorMOD[[ARMOR]:[ARMOR]]/2700)</calculatedColumnFormula>
    </tableColumn>
    <tableColumn id="5" xr3:uid="{D1B78B54-BD2D-402A-900E-A63E2679B302}" name="SLASH" dataDxfId="177" totalsRowDxfId="178">
      <calculatedColumnFormula array="1">0.9*SQRT(ArmorMOD[[ARMOR]:[ARMOR]]/2700)</calculatedColumnFormula>
    </tableColumn>
    <tableColumn id="6" xr3:uid="{A1A37641-5080-4BDA-865D-901B31960187}" name="HEAT" dataDxfId="175" totalsRowDxfId="176">
      <calculatedColumnFormula array="1">0.9*SQRT(ArmorMOD[[ARMOR]:[ARMOR]]/2700)</calculatedColumnFormula>
    </tableColumn>
    <tableColumn id="7" xr3:uid="{43D72337-DA51-4953-9636-5CB3F71E881E}" name="COLD" dataDxfId="173" totalsRowDxfId="174">
      <calculatedColumnFormula array="1">0.9*SQRT(ArmorMOD[[ARMOR]:[ARMOR]]/2700)</calculatedColumnFormula>
    </tableColumn>
    <tableColumn id="8" xr3:uid="{315EA1B2-555C-408D-9DAE-28062A286BD9}" name="ELEC" dataDxfId="171" totalsRowDxfId="172">
      <calculatedColumnFormula array="1">0.9*SQRT(ArmorMOD[[ARMOR]:[ARMOR]]/2700)</calculatedColumnFormula>
    </tableColumn>
    <tableColumn id="9" xr3:uid="{F32CBBBF-DB70-415F-A773-2E7974B6A1C5}" name="TOXIN" dataDxfId="169" totalsRowDxfId="170">
      <calculatedColumnFormula array="1">0.9*SQRT(ArmorMOD[[ARMOR]:[ARMOR]]/2700)</calculatedColumnFormula>
    </tableColumn>
    <tableColumn id="12" xr3:uid="{60428664-E2CD-4C78-834F-3B99EB30846E}" name="BLAST" dataDxfId="167" totalsRowDxfId="168">
      <calculatedColumnFormula array="1">0.9*SQRT(ArmorMOD[[ARMOR]:[ARMOR]]/2700)</calculatedColumnFormula>
    </tableColumn>
    <tableColumn id="16" xr3:uid="{D1837C78-78AD-4692-AD44-31C0B068B869}" name="RAD" dataDxfId="165" totalsRowDxfId="166">
      <calculatedColumnFormula array="1">0.9*SQRT(ArmorMOD[[ARMOR]:[ARMOR]]/2700)</calculatedColumnFormula>
    </tableColumn>
    <tableColumn id="14" xr3:uid="{7DFC35B2-4706-4AE3-A96B-F2996065D7AA}" name="GAS" dataDxfId="163" totalsRowDxfId="164">
      <calculatedColumnFormula array="1">0.9*SQRT(ArmorMOD[[ARMOR]:[ARMOR]]/2700)</calculatedColumnFormula>
    </tableColumn>
    <tableColumn id="15" xr3:uid="{EABEFAC6-21A0-4D0D-814B-53DDA09F13FC}" name="MAG" dataDxfId="161" totalsRowDxfId="162">
      <calculatedColumnFormula array="1">0.9*SQRT(ArmorMOD[[ARMOR]:[ARMOR]]/2700)</calculatedColumnFormula>
    </tableColumn>
    <tableColumn id="17" xr3:uid="{48811309-731B-4D3E-A293-AB918E5AAA84}" name="VIRAL" dataDxfId="159" totalsRowDxfId="160">
      <calculatedColumnFormula array="1">0.9*SQRT(ArmorMOD[[ARMOR]:[ARMOR]]/2700)</calculatedColumnFormula>
    </tableColumn>
    <tableColumn id="13" xr3:uid="{F998E0FF-9584-4053-837A-904C51049020}" name="CORR" dataDxfId="157" totalsRowDxfId="158">
      <calculatedColumnFormula array="1">0.9*SQRT(ArmorMOD[[ARMOR]:[ARMOR]]/2700)</calculatedColumnFormula>
    </tableColumn>
    <tableColumn id="10" xr3:uid="{CD2C3678-91F6-4E1B-8EF0-883C6054EF09}" name="VOID" dataDxfId="155" totalsRowDxfId="156">
      <calculatedColumnFormula array="1">0.9*SQRT(ArmorMOD[[ARMOR]:[ARMOR]]/2700)</calculatedColumnFormula>
    </tableColumn>
    <tableColumn id="18" xr3:uid="{7A74E9AA-727D-4FFF-9F30-8F0F56BC2768}" name="TRUE" dataDxfId="153" totalsRowDxfId="154">
      <calculatedColumnFormula array="1">0.9*SQRT(ArmorMOD[[ARMOR]:[ARMOR]]/2700)</calculatedColumnFormula>
    </tableColumn>
    <tableColumn id="11" xr3:uid="{5C60F2E0-0138-498F-A8DB-5617FA243647}" name="N/A" dataDxfId="151" totalsRowDxfId="152"/>
  </tableColumns>
  <tableStyleInfo name="TableStyleMedium16"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3439077-51FD-4559-8B14-6F06E30499DC}" name="FactionInfo" displayName="FactionInfo" ref="A11:R12" headerRowDxfId="150" dataDxfId="149">
  <autoFilter ref="A11:R12" xr:uid="{33439077-51FD-4559-8B14-6F06E30499DC}"/>
  <tableColumns count="18">
    <tableColumn id="1" xr3:uid="{50793B86-0EAA-4E83-9090-5DBB5B21F946}" name="FACTION" dataDxfId="147" totalsRowDxfId="148"/>
    <tableColumn id="19" xr3:uid="{E4CB4029-BA21-42B5-AE1D-02800EDC2F29}" name="QUANTA" dataDxfId="145" totalsRowDxfId="146">
      <calculatedColumnFormula array="1">BaseValues[QUANTA]</calculatedColumnFormula>
    </tableColumn>
    <tableColumn id="2" xr3:uid="{36C8BF1C-CC94-401F-B42D-2D3269163FFD}" name="IMPACT" dataDxfId="143" totalsRowDxfId="144">
      <calculatedColumnFormula array="1">_xlfn.XLOOKUP(FactionInfo[[#This Row],[FACTION]],FactionData[[FACTION]:[FACTION]],FactionData[IMPACT],0)</calculatedColumnFormula>
    </tableColumn>
    <tableColumn id="3" xr3:uid="{B3C27D35-2706-44F6-9555-61B0F6D4D443}" name="PUNC" dataDxfId="141" totalsRowDxfId="142">
      <calculatedColumnFormula array="1">_xlfn.XLOOKUP(FactionInfo[[#This Row],[FACTION]],FactionData[[FACTION]:[FACTION]],FactionData[PUNC],0)</calculatedColumnFormula>
    </tableColumn>
    <tableColumn id="4" xr3:uid="{F4D9A0A6-331D-4C9E-8559-E12ADA934C29}" name="SLASH" dataDxfId="139" totalsRowDxfId="140">
      <calculatedColumnFormula array="1">_xlfn.XLOOKUP(FactionInfo[[#This Row],[FACTION]],FactionData[[FACTION]:[FACTION]],FactionData[SLASH],0)</calculatedColumnFormula>
    </tableColumn>
    <tableColumn id="5" xr3:uid="{8D7976C5-E488-4AA2-ACD3-D6DDE095234E}" name="HEAT" dataDxfId="137" totalsRowDxfId="138">
      <calculatedColumnFormula array="1">_xlfn.XLOOKUP(FactionInfo[[#This Row],[FACTION]],FactionData[[FACTION]:[FACTION]],FactionData[HEAT],0)</calculatedColumnFormula>
    </tableColumn>
    <tableColumn id="6" xr3:uid="{43B2A855-43EA-4B5B-8C4C-094A90C18621}" name="COLD" dataDxfId="135" totalsRowDxfId="136">
      <calculatedColumnFormula array="1">_xlfn.XLOOKUP(FactionInfo[[#This Row],[FACTION]],FactionData[[FACTION]:[FACTION]],FactionData[COLD],0)</calculatedColumnFormula>
    </tableColumn>
    <tableColumn id="7" xr3:uid="{6AA8E83E-0886-4124-A605-69018B4F5CAF}" name="ELEC" dataDxfId="133" totalsRowDxfId="134">
      <calculatedColumnFormula array="1">_xlfn.XLOOKUP(FactionInfo[[#This Row],[FACTION]],FactionData[[FACTION]:[FACTION]],FactionData[ELEC],0)</calculatedColumnFormula>
    </tableColumn>
    <tableColumn id="8" xr3:uid="{F21013A1-0463-4784-8F50-C75F499DC529}" name="TOXIN" dataDxfId="131" totalsRowDxfId="132">
      <calculatedColumnFormula array="1">_xlfn.XLOOKUP(FactionInfo[[#This Row],[FACTION]],FactionData[[FACTION]:[FACTION]],FactionData[TOXIN],0)</calculatedColumnFormula>
    </tableColumn>
    <tableColumn id="9" xr3:uid="{7C0675A0-5B90-4CFB-8016-1689CEA25FBF}" name="BLAST" dataDxfId="129" totalsRowDxfId="130">
      <calculatedColumnFormula array="1">_xlfn.XLOOKUP(FactionInfo[[#This Row],[FACTION]],FactionData[[FACTION]:[FACTION]],FactionData[BLAST],0)</calculatedColumnFormula>
    </tableColumn>
    <tableColumn id="12" xr3:uid="{007D653B-B2A6-4041-8996-772F81DB6561}" name="RAD" dataDxfId="127" totalsRowDxfId="128">
      <calculatedColumnFormula array="1">_xlfn.XLOOKUP(FactionInfo[[#This Row],[FACTION]],FactionData[[FACTION]:[FACTION]],FactionData[RAD],0)</calculatedColumnFormula>
    </tableColumn>
    <tableColumn id="16" xr3:uid="{2A40495D-CF10-4CDD-8A1F-BAF58636960B}" name="GAS" dataDxfId="125" totalsRowDxfId="126">
      <calculatedColumnFormula array="1">_xlfn.XLOOKUP(FactionInfo[[#This Row],[FACTION]],FactionData[[FACTION]:[FACTION]],FactionData[GAS],0)</calculatedColumnFormula>
    </tableColumn>
    <tableColumn id="14" xr3:uid="{A077F0FA-0095-4F42-8CCD-4A6AFEE1497D}" name="MAG" dataDxfId="123" totalsRowDxfId="124">
      <calculatedColumnFormula array="1">_xlfn.XLOOKUP(FactionInfo[[#This Row],[FACTION]],FactionData[[FACTION]:[FACTION]],FactionData[MAG],0)</calculatedColumnFormula>
    </tableColumn>
    <tableColumn id="15" xr3:uid="{F197187F-7A72-4C14-9448-D512903A219C}" name="VIRAL" dataDxfId="121" totalsRowDxfId="122">
      <calculatedColumnFormula array="1">_xlfn.XLOOKUP(FactionInfo[[#This Row],[FACTION]],FactionData[[FACTION]:[FACTION]],FactionData[VIRAL],0)</calculatedColumnFormula>
    </tableColumn>
    <tableColumn id="17" xr3:uid="{533D1553-B264-4101-90A0-3D5A41D8823A}" name="CORR" dataDxfId="119" totalsRowDxfId="120">
      <calculatedColumnFormula array="1">_xlfn.XLOOKUP(FactionInfo[[#This Row],[FACTION]],FactionData[[FACTION]:[FACTION]],FactionData[CORR],0)</calculatedColumnFormula>
    </tableColumn>
    <tableColumn id="13" xr3:uid="{06B09C28-FDE1-46A2-A686-1C1EFFBF8378}" name="VOID" dataDxfId="117" totalsRowDxfId="118">
      <calculatedColumnFormula array="1">_xlfn.XLOOKUP(FactionInfo[[#This Row],[FACTION]],FactionData[[FACTION]:[FACTION]],FactionData[VOID],0)</calculatedColumnFormula>
    </tableColumn>
    <tableColumn id="10" xr3:uid="{41483E7F-0438-4FC7-9E0B-B716FB082799}" name="TRUE" dataDxfId="115" totalsRowDxfId="116">
      <calculatedColumnFormula array="1">_xlfn.XLOOKUP(FactionInfo[[#This Row],[FACTION]],FactionData[[FACTION]:[FACTION]],FactionData[TRUE],0)</calculatedColumnFormula>
    </tableColumn>
    <tableColumn id="18" xr3:uid="{D8377947-8CEF-420C-8745-309F9FB90C5D}" name="N/A" dataDxfId="114"/>
  </tableColumns>
  <tableStyleInfo name="TableStyleMedium16"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F1B14C7-2ACB-4B3E-AA21-8F8E1E7CF94C}" name="FinalDMG" displayName="FinalDMG" ref="A27:R28" headerRowDxfId="113" dataDxfId="112">
  <autoFilter ref="A27:R28" xr:uid="{DF1B14C7-2ACB-4B3E-AA21-8F8E1E7CF94C}"/>
  <tableColumns count="18">
    <tableColumn id="1" xr3:uid="{7661EA6C-BC60-4D05-9C1F-15981BA8A98B}" name="WEAPON" dataDxfId="110" totalsRowDxfId="111">
      <calculatedColumnFormula array="1">BaseValues[WEAPON]</calculatedColumnFormula>
    </tableColumn>
    <tableColumn id="2" xr3:uid="{678F054E-0F50-40A3-AC06-8A6A5EC603EB}" name="QUANTA" dataDxfId="108" totalsRowDxfId="109">
      <calculatedColumnFormula array="1">BaseValues[QUANTA]</calculatedColumnFormula>
    </tableColumn>
    <tableColumn id="3" xr3:uid="{57208F39-B1F7-439C-B127-5E5FCED00286}" name="IMPACT" dataDxfId="106" totalsRowDxfId="107">
      <calculatedColumnFormula array="1">ROUND(ROUND(BaseValues[IMPACT]*(1+ModValues[IMPACT])/BaseValues[[QUANTA]:[QUANTA]],0)*BaseValues[[QUANTA]:[QUANTA]],3)*((1-ArmorMOD[IMPACT])*(FactionInfo[IMPACT]))</calculatedColumnFormula>
    </tableColumn>
    <tableColumn id="4" xr3:uid="{5C8E0E9A-C0F9-48A8-BB2C-B3939E7DAC14}" name="PUNC" dataDxfId="104" totalsRowDxfId="105">
      <calculatedColumnFormula array="1">ROUND(ROUND(BaseValues[PUNC]*(1+ModValues[PUNC])/BaseValues[[QUANTA]:[QUANTA]],0)*BaseValues[[QUANTA]:[QUANTA]],3)*((1-ArmorMOD[PUNC])*(FactionInfo[PUNC]))</calculatedColumnFormula>
    </tableColumn>
    <tableColumn id="5" xr3:uid="{8857454B-4E73-4A30-AD30-CF8C77B4C644}" name="SLASH" dataDxfId="102" totalsRowDxfId="103">
      <calculatedColumnFormula array="1">ROUND(ROUND(BaseValues[SLASH]*(1+ModValues[SLASH])/BaseValues[[QUANTA]:[QUANTA]],0)*BaseValues[[QUANTA]:[QUANTA]],3)*((1-ArmorMOD[SLASH])*(FactionInfo[SLASH]))</calculatedColumnFormula>
    </tableColumn>
    <tableColumn id="6" xr3:uid="{09C93641-4128-4F11-A6A6-1C62452DF00F}" name="HEAT" dataDxfId="100" totalsRowDxfId="101">
      <calculatedColumnFormula array="1">ROUND(ROUND((BaseValues[HEAT]+BaseValues[[TOTAL]:[TOTAL]]*ModValues[HEAT])/BaseValues[[QUANTA]:[QUANTA]],0)*BaseValues[[QUANTA]:[QUANTA]],3)*((1-ArmorMOD[HEAT])*(FactionInfo[HEAT]))</calculatedColumnFormula>
    </tableColumn>
    <tableColumn id="7" xr3:uid="{285B3804-A770-4B5E-A634-4B4FD9EAE90B}" name="COLD" dataDxfId="98" totalsRowDxfId="99">
      <calculatedColumnFormula array="1">ROUND(ROUND((BaseValues[COLD]+BaseValues[[TOTAL]:[TOTAL]]*ModValues[COLD])/BaseValues[[QUANTA]:[QUANTA]],0)*BaseValues[[QUANTA]:[QUANTA]],3)*((1-ArmorMOD[COLD])*(FactionInfo[COLD]))</calculatedColumnFormula>
    </tableColumn>
    <tableColumn id="8" xr3:uid="{EF763390-E62E-4A25-B22E-A5850C58C4D4}" name="ELEC" dataDxfId="96" totalsRowDxfId="97">
      <calculatedColumnFormula array="1">ROUND(ROUND((BaseValues[ELEC]+BaseValues[[TOTAL]:[TOTAL]]*ModValues[ELEC])/BaseValues[[QUANTA]:[QUANTA]],0)*BaseValues[[QUANTA]:[QUANTA]],3)*((1-ArmorMOD[ELEC])*(FactionInfo[ELEC]))</calculatedColumnFormula>
    </tableColumn>
    <tableColumn id="9" xr3:uid="{88076855-6F1B-47FE-AF08-4FEC800A17A7}" name="TOXIN" dataDxfId="94" totalsRowDxfId="95">
      <calculatedColumnFormula array="1">ROUND(ROUND((BaseValues[TOXIN]+BaseValues[[TOTAL]:[TOTAL]]*ModValues[TOXIN])/BaseValues[[QUANTA]:[QUANTA]],0)*BaseValues[[QUANTA]:[QUANTA]],3)*((1-ArmorMOD[TOXIN])*(FactionInfo[TOXIN]))</calculatedColumnFormula>
    </tableColumn>
    <tableColumn id="12" xr3:uid="{D50DD866-96F1-4C2E-94CC-138B835BADC8}" name="BLAST" dataDxfId="92" totalsRowDxfId="93">
      <calculatedColumnFormula array="1">ROUND(ROUND((BaseValues[BLAST]+BaseValues[[TOTAL]:[TOTAL]]*ModValues[BLAST])/BaseValues[[QUANTA]:[QUANTA]],0)*BaseValues[[QUANTA]:[QUANTA]],3)*((1-ArmorMOD[BLAST])*(FactionInfo[BLAST]))</calculatedColumnFormula>
    </tableColumn>
    <tableColumn id="16" xr3:uid="{745D2ED4-ED52-4AC3-AF62-D1260AA39A78}" name="RAD" dataDxfId="90" totalsRowDxfId="91">
      <calculatedColumnFormula array="1">ROUND(ROUND((BaseValues[RAD]+BaseValues[[TOTAL]:[TOTAL]]*ModValues[RAD])/BaseValues[[QUANTA]:[QUANTA]],0)*BaseValues[[QUANTA]:[QUANTA]],3)*((1-ArmorMOD[RAD])*(FactionInfo[RAD]))</calculatedColumnFormula>
    </tableColumn>
    <tableColumn id="14" xr3:uid="{70BD75B5-3A2C-4E95-BA4E-441C939A49AE}" name="GAS" dataDxfId="88" totalsRowDxfId="89">
      <calculatedColumnFormula array="1">ROUND(ROUND((BaseValues[GAS]+BaseValues[[TOTAL]:[TOTAL]]*ModValues[GAS])/BaseValues[[QUANTA]:[QUANTA]],0)*BaseValues[[QUANTA]:[QUANTA]],3)*((1-ArmorMOD[GAS])*(FactionInfo[GAS]))</calculatedColumnFormula>
    </tableColumn>
    <tableColumn id="15" xr3:uid="{2BC6EFD8-1FA7-4DFC-9305-E6DA2A6AB50B}" name="MAG" dataDxfId="86" totalsRowDxfId="87">
      <calculatedColumnFormula array="1">ROUND(ROUND((BaseValues[MAG]+BaseValues[[TOTAL]:[TOTAL]]*ModValues[MAG])/BaseValues[[QUANTA]:[QUANTA]],0)*BaseValues[[QUANTA]:[QUANTA]],3)*((1-ArmorMOD[MAG])*(FactionInfo[MAG]))</calculatedColumnFormula>
    </tableColumn>
    <tableColumn id="17" xr3:uid="{846053BC-CC2C-4FE4-8B8E-9D075EB59E32}" name="VIRAL" dataDxfId="84" totalsRowDxfId="85">
      <calculatedColumnFormula array="1">ROUND(ROUND((BaseValues[VIRAL]+BaseValues[[TOTAL]:[TOTAL]]*ModValues[VIRAL])/BaseValues[[QUANTA]:[QUANTA]],0)*BaseValues[[QUANTA]:[QUANTA]],3)*((1-ArmorMOD[VIRAL])*(FactionInfo[VIRAL]))</calculatedColumnFormula>
    </tableColumn>
    <tableColumn id="13" xr3:uid="{B3FD166E-66D4-46E8-8C03-C5350D2F00DB}" name="CORR" dataDxfId="82" totalsRowDxfId="83">
      <calculatedColumnFormula array="1">ROUND(ROUND((BaseValues[CORR]+BaseValues[[TOTAL]:[TOTAL]]*ModValues[CORR])/BaseValues[[QUANTA]:[QUANTA]],0)*BaseValues[[QUANTA]:[QUANTA]],3)*((1-ArmorMOD[CORR])*(FactionInfo[CORR]))</calculatedColumnFormula>
    </tableColumn>
    <tableColumn id="10" xr3:uid="{993447F6-C938-413E-A7C1-70A7CD6ECBA5}" name="VOID" dataDxfId="80" totalsRowDxfId="81">
      <calculatedColumnFormula array="1">ROUND(ROUND((BaseValues[VOID]+BaseValues[[TOTAL]:[TOTAL]]*ModValues[VOID])/BaseValues[[QUANTA]:[QUANTA]],0)*BaseValues[[QUANTA]:[QUANTA]],3)*((1-ArmorMOD[VOID])*(FactionInfo[VOID]))</calculatedColumnFormula>
    </tableColumn>
    <tableColumn id="18" xr3:uid="{1577D10B-4C35-4698-A0F7-7516FB8702F7}" name="DMG" dataDxfId="78" totalsRowDxfId="79">
      <calculatedColumnFormula array="1">ROUND(SUM(FinalDMG[[#This Row],[IMPACT]:[VOID]])+SUM(FinalDMG[[#This Row],[IMPACT]:[VOID]])*ModValues[TRUE],0)</calculatedColumnFormula>
    </tableColumn>
    <tableColumn id="11" xr3:uid="{14B4E930-A1F0-4AAC-A155-F143B3BDA990}" name="BANE" dataDxfId="76" totalsRowDxfId="77">
      <calculatedColumnFormula array="1">ROUND((SUM(FinalDMG[[#This Row],[IMPACT]:[VOID]])+SUM(FinalDMG[[#This Row],[IMPACT]:[VOID]])*ModValues[TRUE])*ModValues[BANE],0)</calculatedColumnFormula>
    </tableColumn>
  </tableColumns>
  <tableStyleInfo name="TableStyleMedium16"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D63442A6-FD9A-4ADA-B423-F5568C0540D3}" name="HudValues" displayName="HudValues" ref="A19:R20" headerRowDxfId="75" dataDxfId="74">
  <autoFilter ref="A19:R20" xr:uid="{D63442A6-FD9A-4ADA-B423-F5568C0540D3}"/>
  <tableColumns count="18">
    <tableColumn id="1" xr3:uid="{48C2C412-755E-4B48-8D79-A92CE03BEF47}" name="WEAPON" dataDxfId="72" totalsRowDxfId="73">
      <calculatedColumnFormula array="1">BaseValues[WEAPON]</calculatedColumnFormula>
    </tableColumn>
    <tableColumn id="2" xr3:uid="{13BDA6D7-CCE2-4A09-84AA-C61611B82738}" name="QUANTA" dataDxfId="70" totalsRowDxfId="71">
      <calculatedColumnFormula array="1">BaseValues[QUANTA]</calculatedColumnFormula>
    </tableColumn>
    <tableColumn id="3" xr3:uid="{F797E56E-4352-41A8-B039-E540BE9E2C70}" name="IMPACT" dataDxfId="68" totalsRowDxfId="69">
      <calculatedColumnFormula array="1">_xlfn.LET(_xlpm.VBB,ROUND((BaseValues[IMPACT]*(1+ModValues[IMPACT])/BaseValues[[QUANTA]:[QUANTA]]),4)*BaseValues[[QUANTA]:[QUANTA]],_xlpm.VBB+(_xlpm.VBB*ModValues[[TRUE]:[TRUE]]))</calculatedColumnFormula>
    </tableColumn>
    <tableColumn id="4" xr3:uid="{8DCDD833-6877-4ADC-B9A5-4109BEDFE0A9}" name="PUNC" dataDxfId="66" totalsRowDxfId="67">
      <calculatedColumnFormula array="1">_xlfn.LET(_xlpm.VBB,ROUND((BaseValues[PUNC]*(1+ModValues[PUNC])/BaseValues[[QUANTA]:[QUANTA]]),4)*BaseValues[[QUANTA]:[QUANTA]],_xlpm.VBB+(_xlpm.VBB*ModValues[[TRUE]:[TRUE]]))</calculatedColumnFormula>
    </tableColumn>
    <tableColumn id="5" xr3:uid="{EEDA3E32-2267-43B4-AD8F-36A88DBBD702}" name="SLASH" dataDxfId="64" totalsRowDxfId="65">
      <calculatedColumnFormula array="1">_xlfn.LET(_xlpm.VBB,ROUND((BaseValues[SLASH]*(1+ModValues[SLASH])/BaseValues[[QUANTA]:[QUANTA]]),4)*BaseValues[[QUANTA]:[QUANTA]],_xlpm.VBB+(_xlpm.VBB*ModValues[[TRUE]:[TRUE]]))</calculatedColumnFormula>
    </tableColumn>
    <tableColumn id="6" xr3:uid="{77A0F5DE-EBFF-471B-AC8E-9736FF1E3BB7}" name="HEAT" dataDxfId="62" totalsRowDxfId="63">
      <calculatedColumnFormula array="1">_xlfn.LET(_xlpm.VBB,ROUND(((BaseValues[HEAT]+BaseValues[[TOTAL]:[TOTAL]]*ModValues[HEAT])/BaseValues[[QUANTA]:[QUANTA]]),4)*BaseValues[[QUANTA]:[QUANTA]],_xlpm.VBB+(_xlpm.VBB*ModValues[[TRUE]:[TRUE]]))</calculatedColumnFormula>
    </tableColumn>
    <tableColumn id="7" xr3:uid="{FC719B03-FA4D-4BEA-9F08-7212BB2EC413}" name="COLD" dataDxfId="60" totalsRowDxfId="61">
      <calculatedColumnFormula array="1">_xlfn.LET(_xlpm.VBB,ROUND(((BaseValues[COLD]+BaseValues[[TOTAL]:[TOTAL]]*ModValues[COLD])/BaseValues[[QUANTA]:[QUANTA]]),4)*BaseValues[[QUANTA]:[QUANTA]],_xlpm.VBB+(_xlpm.VBB*ModValues[[TRUE]:[TRUE]]))</calculatedColumnFormula>
    </tableColumn>
    <tableColumn id="8" xr3:uid="{4431E76C-C45F-4658-B676-7AFC238A9BE4}" name="ELEC" dataDxfId="58" totalsRowDxfId="59">
      <calculatedColumnFormula array="1">_xlfn.LET(_xlpm.VBB,ROUND(((BaseValues[ELEC]+BaseValues[[TOTAL]:[TOTAL]]*ModValues[ELEC])/BaseValues[[QUANTA]:[QUANTA]]),4)*BaseValues[[QUANTA]:[QUANTA]],_xlpm.VBB+(_xlpm.VBB*ModValues[[TRUE]:[TRUE]]))</calculatedColumnFormula>
    </tableColumn>
    <tableColumn id="9" xr3:uid="{95D16F2E-5307-4B7C-95AA-5B2A4320FBCC}" name="TOXIN" dataDxfId="56" totalsRowDxfId="57">
      <calculatedColumnFormula array="1">_xlfn.LET(_xlpm.VBB,ROUND(((BaseValues[TOXIN]+BaseValues[[TOTAL]:[TOTAL]]*ModValues[TOXIN])/BaseValues[[QUANTA]:[QUANTA]]),4)*BaseValues[[QUANTA]:[QUANTA]],_xlpm.VBB+(_xlpm.VBB*ModValues[[TRUE]:[TRUE]]))</calculatedColumnFormula>
    </tableColumn>
    <tableColumn id="12" xr3:uid="{874D7A28-8C83-437D-AC2F-E5087EFB2EC3}" name="BLAST" dataDxfId="54" totalsRowDxfId="55">
      <calculatedColumnFormula array="1">_xlfn.LET(_xlpm.VBB,ROUND(((BaseValues[BLAST]+BaseValues[[TOTAL]:[TOTAL]]*ModValues[BLAST])/BaseValues[[QUANTA]:[QUANTA]]),4)*BaseValues[[QUANTA]:[QUANTA]],_xlpm.VBB+(_xlpm.VBB*ModValues[[TRUE]:[TRUE]]))</calculatedColumnFormula>
    </tableColumn>
    <tableColumn id="16" xr3:uid="{5DF62D78-C438-4782-8069-4DD90CACBDDE}" name="RAD" dataDxfId="52" totalsRowDxfId="53">
      <calculatedColumnFormula array="1">_xlfn.LET(_xlpm.VBB,ROUND(((BaseValues[RAD]+BaseValues[[TOTAL]:[TOTAL]]*ModValues[RAD])/BaseValues[[QUANTA]:[QUANTA]]),4)*BaseValues[[QUANTA]:[QUANTA]],_xlpm.VBB+(_xlpm.VBB*ModValues[[TRUE]:[TRUE]]))</calculatedColumnFormula>
    </tableColumn>
    <tableColumn id="14" xr3:uid="{2216DFFB-D19C-41C1-BCA6-48BF978CD9BC}" name="GAS" dataDxfId="50" totalsRowDxfId="51">
      <calculatedColumnFormula array="1">_xlfn.LET(_xlpm.VBB,ROUND(((BaseValues[GAS]+BaseValues[[TOTAL]:[TOTAL]]*ModValues[GAS])/BaseValues[[QUANTA]:[QUANTA]]),4)*BaseValues[[QUANTA]:[QUANTA]],_xlpm.VBB+(_xlpm.VBB*ModValues[[TRUE]:[TRUE]]))</calculatedColumnFormula>
    </tableColumn>
    <tableColumn id="15" xr3:uid="{E0D34BA7-BF0D-45D1-BB93-C02F12EC27A5}" name="MAG" dataDxfId="48" totalsRowDxfId="49">
      <calculatedColumnFormula array="1">_xlfn.LET(_xlpm.VBB,ROUND(((BaseValues[MAG]+BaseValues[[TOTAL]:[TOTAL]]*ModValues[MAG])/BaseValues[[QUANTA]:[QUANTA]]),4)*BaseValues[[QUANTA]:[QUANTA]],_xlpm.VBB+(_xlpm.VBB*ModValues[[TRUE]:[TRUE]]))</calculatedColumnFormula>
    </tableColumn>
    <tableColumn id="17" xr3:uid="{18FE5F7A-FC18-42EA-AA43-0B8D704B79DF}" name="VIRAL" dataDxfId="46" totalsRowDxfId="47">
      <calculatedColumnFormula array="1">_xlfn.LET(_xlpm.VBB,ROUND(((BaseValues[VIRAL]+BaseValues[[TOTAL]:[TOTAL]]*ModValues[VIRAL])/BaseValues[[QUANTA]:[QUANTA]]),4)*BaseValues[[QUANTA]:[QUANTA]],_xlpm.VBB+(_xlpm.VBB*ModValues[[TRUE]:[TRUE]]))</calculatedColumnFormula>
    </tableColumn>
    <tableColumn id="13" xr3:uid="{EED70621-BCDE-4476-8BDA-3DC7C7C7E4F0}" name="CORR" dataDxfId="44" totalsRowDxfId="45">
      <calculatedColumnFormula array="1">_xlfn.LET(_xlpm.VBB,ROUND(((BaseValues[CORR]+BaseValues[[TOTAL]:[TOTAL]]*ModValues[CORR])/BaseValues[[QUANTA]:[QUANTA]]),4)*BaseValues[[QUANTA]:[QUANTA]],_xlpm.VBB+(_xlpm.VBB*ModValues[[TRUE]:[TRUE]]))</calculatedColumnFormula>
    </tableColumn>
    <tableColumn id="10" xr3:uid="{F360CFAB-4C43-4516-A016-A55AB26FFF89}" name="VOID" dataDxfId="42" totalsRowDxfId="43">
      <calculatedColumnFormula array="1">_xlfn.LET(_xlpm.VBB,ROUND(((BaseValues[VOID]+BaseValues[[TOTAL]:[TOTAL]]*ModValues[VOID])/BaseValues[[QUANTA]:[QUANTA]]),4)*BaseValues[[QUANTA]:[QUANTA]],_xlpm.VBB+(_xlpm.VBB*ModValues[[TRUE]:[TRUE]]))</calculatedColumnFormula>
    </tableColumn>
    <tableColumn id="18" xr3:uid="{1E3D39AA-04D1-4E32-A1C0-5847055BEFA3}" name="DMG" dataDxfId="40" totalsRowDxfId="41">
      <calculatedColumnFormula>ROUND(SUM(HudValues[[#This Row],[IMPACT]:[VOID]]),1)</calculatedColumnFormula>
    </tableColumn>
    <tableColumn id="11" xr3:uid="{34D1DDC5-9CC2-4E79-9ED6-D909E92B9CC8}" name="BANE" dataDxfId="38" totalsRowDxfId="39">
      <calculatedColumnFormula array="1">HudValues[[#This Row],[DMG]]*ModValues[BANE]</calculatedColumnFormula>
    </tableColumn>
  </tableColumns>
  <tableStyleInfo name="TableStyleMedium16"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973DAB8-4AFD-4D43-8F38-5C78CC5C68A4}" name="GameValues" displayName="GameValues" ref="A23:R24" headerRowDxfId="37" dataDxfId="36">
  <autoFilter ref="A23:R24" xr:uid="{0973DAB8-4AFD-4D43-8F38-5C78CC5C68A4}"/>
  <tableColumns count="18">
    <tableColumn id="1" xr3:uid="{B798B903-BCA2-4420-A5F5-8377E6C49741}" name="WEAPON" dataDxfId="34" totalsRowDxfId="35">
      <calculatedColumnFormula array="1">BaseValues[WEAPON]</calculatedColumnFormula>
    </tableColumn>
    <tableColumn id="2" xr3:uid="{49FFA8BD-4D0C-4B40-B938-3D713CDC69F7}" name="QUANTA" dataDxfId="32" totalsRowDxfId="33">
      <calculatedColumnFormula array="1">BaseValues[QUANTA]</calculatedColumnFormula>
    </tableColumn>
    <tableColumn id="3" xr3:uid="{5D092C06-5763-414F-9C51-EC9805AA4C75}" name="IMPACT" dataDxfId="30" totalsRowDxfId="31">
      <calculatedColumnFormula array="1">ROUND(ROUND(BaseValues[IMPACT]*(1+ModValues[IMPACT])/BaseValues[[QUANTA]:[QUANTA]],0)*BaseValues[[QUANTA]:[QUANTA]],3)*FactionInfo[IMPACT]</calculatedColumnFormula>
    </tableColumn>
    <tableColumn id="4" xr3:uid="{5B520403-5056-43FB-9F70-66AE8EB50841}" name="PUNC" dataDxfId="28" totalsRowDxfId="29">
      <calculatedColumnFormula array="1">ROUND(ROUND(BaseValues[PUNC]*(1+ModValues[PUNC])/BaseValues[[QUANTA]:[QUANTA]],0)*BaseValues[[QUANTA]:[QUANTA]],3)*FactionInfo[PUNC]</calculatedColumnFormula>
    </tableColumn>
    <tableColumn id="5" xr3:uid="{C55AEFDC-3CCC-42BB-AB4B-D632EE542605}" name="SLASH" dataDxfId="26" totalsRowDxfId="27">
      <calculatedColumnFormula array="1">ROUND(ROUND(BaseValues[SLASH]*(1+ModValues[SLASH])/BaseValues[[QUANTA]:[QUANTA]],0)*BaseValues[[QUANTA]:[QUANTA]],3)*FactionInfo[SLASH]</calculatedColumnFormula>
    </tableColumn>
    <tableColumn id="6" xr3:uid="{7174A6FA-516B-4AD2-931D-38C27EB1BC0F}" name="HEAT" dataDxfId="24" totalsRowDxfId="25">
      <calculatedColumnFormula array="1">ROUND(ROUND((BaseValues[HEAT]+BaseValues[[TOTAL]:[TOTAL]]*ModValues[HEAT])/BaseValues[[QUANTA]:[QUANTA]],0)*BaseValues[[QUANTA]:[QUANTA]],3)*FactionInfo[HEAT]</calculatedColumnFormula>
    </tableColumn>
    <tableColumn id="7" xr3:uid="{9BEC2A05-4891-4F99-A096-03E1624FE095}" name="COLD" dataDxfId="22" totalsRowDxfId="23">
      <calculatedColumnFormula array="1">ROUND(ROUND((BaseValues[COLD]+BaseValues[[TOTAL]:[TOTAL]]*ModValues[COLD])/BaseValues[[QUANTA]:[QUANTA]],0)*BaseValues[[QUANTA]:[QUANTA]],3)*FactionInfo[COLD]</calculatedColumnFormula>
    </tableColumn>
    <tableColumn id="8" xr3:uid="{3ED51991-15C8-4CA1-BB0A-50FBB3DEF003}" name="ELEC" dataDxfId="20" totalsRowDxfId="21">
      <calculatedColumnFormula array="1">ROUND(ROUND((BaseValues[ELEC]+BaseValues[[TOTAL]:[TOTAL]]*ModValues[ELEC])/BaseValues[[QUANTA]:[QUANTA]],0)*BaseValues[[QUANTA]:[QUANTA]],3)*FactionInfo[ELEC]</calculatedColumnFormula>
    </tableColumn>
    <tableColumn id="9" xr3:uid="{F1FC9C06-ADB4-45CB-84D0-13E44F7919F3}" name="TOXIN" dataDxfId="18" totalsRowDxfId="19">
      <calculatedColumnFormula array="1">ROUND(ROUND((BaseValues[TOXIN]+BaseValues[[TOTAL]:[TOTAL]]*ModValues[TOXIN])/BaseValues[[QUANTA]:[QUANTA]],0)*BaseValues[[QUANTA]:[QUANTA]],3)*FactionInfo[TOXIN]</calculatedColumnFormula>
    </tableColumn>
    <tableColumn id="12" xr3:uid="{54BAFC50-5435-4BC2-9940-12ABD5C506B7}" name="BLAST" dataDxfId="16" totalsRowDxfId="17">
      <calculatedColumnFormula array="1">ROUND(ROUND((BaseValues[BLAST]+BaseValues[[TOTAL]:[TOTAL]]*ModValues[BLAST])/BaseValues[[QUANTA]:[QUANTA]],0)*BaseValues[[QUANTA]:[QUANTA]],3)*FactionInfo[BLAST]</calculatedColumnFormula>
    </tableColumn>
    <tableColumn id="16" xr3:uid="{4C379D1C-0905-47EC-B14D-77B6B3C03CE1}" name="RAD" dataDxfId="14" totalsRowDxfId="15">
      <calculatedColumnFormula array="1">ROUND(ROUND((BaseValues[RAD]+BaseValues[[TOTAL]:[TOTAL]]*ModValues[RAD])/BaseValues[[QUANTA]:[QUANTA]],0)*BaseValues[[QUANTA]:[QUANTA]],3)*FactionInfo[RAD]</calculatedColumnFormula>
    </tableColumn>
    <tableColumn id="14" xr3:uid="{8D15F3F8-FBDD-44BE-AD4C-E4A4B4510F90}" name="GAS" dataDxfId="12" totalsRowDxfId="13">
      <calculatedColumnFormula array="1">ROUND(ROUND((BaseValues[GAS]+BaseValues[[TOTAL]:[TOTAL]]*ModValues[GAS])/BaseValues[[QUANTA]:[QUANTA]],0)*BaseValues[[QUANTA]:[QUANTA]],3)*FactionInfo[GAS]</calculatedColumnFormula>
    </tableColumn>
    <tableColumn id="15" xr3:uid="{4F8C5E55-EA0E-4C95-BCC9-E19FCF6DCA8A}" name="MAG" dataDxfId="10" totalsRowDxfId="11">
      <calculatedColumnFormula array="1">ROUND(ROUND((BaseValues[MAG]+BaseValues[[TOTAL]:[TOTAL]]*ModValues[MAG])/BaseValues[[QUANTA]:[QUANTA]],0)*BaseValues[[QUANTA]:[QUANTA]],3)*FactionInfo[MAG]</calculatedColumnFormula>
    </tableColumn>
    <tableColumn id="17" xr3:uid="{F88009A5-B1DE-4BD4-9047-C650C09D2D3E}" name="VIRAL" dataDxfId="8" totalsRowDxfId="9">
      <calculatedColumnFormula array="1">ROUND(ROUND((BaseValues[VIRAL]+BaseValues[[TOTAL]:[TOTAL]]*ModValues[VIRAL])/BaseValues[[QUANTA]:[QUANTA]],0)*BaseValues[[QUANTA]:[QUANTA]],3)*FactionInfo[VIRAL]</calculatedColumnFormula>
    </tableColumn>
    <tableColumn id="13" xr3:uid="{18371472-346F-4D5B-9E1B-15E251CAB919}" name="CORR" dataDxfId="6" totalsRowDxfId="7">
      <calculatedColumnFormula array="1">ROUND(ROUND((BaseValues[CORR]+BaseValues[[TOTAL]:[TOTAL]]*ModValues[CORR])/BaseValues[[QUANTA]:[QUANTA]],0)*BaseValues[[QUANTA]:[QUANTA]],3)*FactionInfo[CORR]</calculatedColumnFormula>
    </tableColumn>
    <tableColumn id="10" xr3:uid="{48D55CE6-2A88-4FEC-A32F-6958E469874C}" name="VOID" dataDxfId="4" totalsRowDxfId="5">
      <calculatedColumnFormula array="1">ROUND(ROUND((BaseValues[VOID]+BaseValues[[TOTAL]:[TOTAL]]*ModValues[VOID])/BaseValues[[QUANTA]:[QUANTA]],0)*BaseValues[[QUANTA]:[QUANTA]],3)*FactionInfo[VOID]</calculatedColumnFormula>
    </tableColumn>
    <tableColumn id="18" xr3:uid="{00208949-2227-4833-9F1E-3B70E77979B7}" name="DMG" dataDxfId="2" totalsRowDxfId="3">
      <calculatedColumnFormula array="1">ROUND(SUM(GameValues[[#This Row],[IMPACT]:[VOID]])+SUM(GameValues[[#This Row],[IMPACT]:[VOID]])*ModValues[TRUE],0)</calculatedColumnFormula>
    </tableColumn>
    <tableColumn id="11" xr3:uid="{897019C6-7647-4E2E-AC84-9743258DFB05}" name="BANE" dataDxfId="0" totalsRowDxfId="1">
      <calculatedColumnFormula array="1">ROUND((SUM(GameValues[[#This Row],[IMPACT]:[VOID]])+SUM(GameValues[[#This Row],[IMPACT]:[VOID]])*ModValues[TRUE])*ModValues[BANE],0)</calculatedColumnFormula>
    </tableColumn>
  </tableColumns>
  <tableStyleInfo name="TableStyleMedium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D812E56-08C4-4F2B-8331-ABD14D3A28A3}" name="InGameFinal" displayName="InGameFinal" ref="S3:T24" totalsRowShown="0" headerRowDxfId="417" dataDxfId="416" tableBorderDxfId="415">
  <autoFilter ref="S3:T24" xr:uid="{ED812E56-08C4-4F2B-8331-ABD14D3A28A3}">
    <filterColumn colId="0" hiddenButton="1"/>
    <filterColumn colId="1" hiddenButton="1"/>
  </autoFilter>
  <tableColumns count="2">
    <tableColumn id="1" xr3:uid="{D949BFFD-11B8-49C7-A5AA-2C247AB3668F}" name="Type" dataDxfId="414"/>
    <tableColumn id="2" xr3:uid="{48B0D7BE-2A94-42C6-93B3-8AFFC38B412B}" name="Values" dataDxfId="413"/>
  </tableColumns>
  <tableStyleInfo name="TableStyleMedium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71B3F5B-F926-4578-A161-895557258F45}" name="ModData" displayName="ModData" ref="C7:R8" totalsRowShown="0" headerRowDxfId="412" dataDxfId="411">
  <autoFilter ref="C7:R8" xr:uid="{E71B3F5B-F926-4578-A161-895557258F45}">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5443675C-D2CD-4F25-98EB-383548E4BC5C}" name="IMPACT" dataDxfId="410"/>
    <tableColumn id="2" xr3:uid="{299BDE07-E716-4A47-9913-BB39C6E6148F}" name="PUNC" dataDxfId="409"/>
    <tableColumn id="3" xr3:uid="{B8334F28-413E-4991-AE71-8E7DE96426BC}" name="SLASH" dataDxfId="408"/>
    <tableColumn id="4" xr3:uid="{AF169F65-48A9-45FF-AACE-4C154A764BD9}" name="HEAT" dataDxfId="407"/>
    <tableColumn id="5" xr3:uid="{F33C0533-07D5-476E-92A6-2666ED6B6D03}" name="COLD" dataDxfId="406"/>
    <tableColumn id="6" xr3:uid="{9902EF5F-5E7A-4967-AE60-6D13B16A5B6F}" name="ELEC" dataDxfId="405"/>
    <tableColumn id="7" xr3:uid="{C220E051-3E2C-4F9B-AABC-0884EEDB5094}" name="TOXIN" dataDxfId="404"/>
    <tableColumn id="8" xr3:uid="{FF6F8F2B-070A-4047-A749-8011F93AE932}" name="BLAST" dataDxfId="403"/>
    <tableColumn id="9" xr3:uid="{4E426423-35C7-4FAF-AE53-CA83874F2278}" name="RAD" dataDxfId="402"/>
    <tableColumn id="10" xr3:uid="{A2257B7F-D61C-492B-808D-D5EA5C91028A}" name="GAS" dataDxfId="401"/>
    <tableColumn id="11" xr3:uid="{02120445-9202-483A-B374-B75C1FE7466E}" name="MAG" dataDxfId="400">
      <calculatedColumnFormula>1.65+1.65</calculatedColumnFormula>
    </tableColumn>
    <tableColumn id="12" xr3:uid="{1A2780DD-B831-4B54-9B00-92ACFDCD6206}" name="VIRAL" dataDxfId="399"/>
    <tableColumn id="13" xr3:uid="{0C2E40F5-578C-4B16-9BB3-2FDB3CFBE4D9}" name="CORR" dataDxfId="398"/>
    <tableColumn id="14" xr3:uid="{4723B8EB-CD82-4A15-AADE-C0A6A3BEF05E}" name="VOID" dataDxfId="397"/>
    <tableColumn id="15" xr3:uid="{F265E438-003A-4D1E-A88A-B1D79DAF7826}" name="TRUE" dataDxfId="396">
      <calculatedColumnFormula>1.65</calculatedColumnFormula>
    </tableColumn>
    <tableColumn id="16" xr3:uid="{AFF61AA4-F313-4A8C-8D59-EBC0E839DAEC}" name="BANE" dataDxfId="395"/>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62D61F7-BEE1-4B71-8DC5-F0412EB3FD72}" name="HUDFinal" displayName="HUDFinal" ref="C23:R24" totalsRowShown="0" headerRowDxfId="394" dataDxfId="393">
  <autoFilter ref="C23:R24" xr:uid="{962D61F7-BEE1-4B71-8DC5-F0412EB3FD7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012A090B-215E-414E-8758-76BD792763DB}" name="IMPACT" dataDxfId="392">
      <calculatedColumnFormula array="1">_xlfn.LET(_xlpm.BPM,ROUND((B11+LichData[IMPACT])*(1+ModData[IMPACT])/B4,4)*B4,_xlpm.BPM+(_xlpm.BPM*ModData[TRUE]))</calculatedColumnFormula>
    </tableColumn>
    <tableColumn id="2" xr3:uid="{710314F7-9FD1-488E-9ECB-BDC2069DED2C}" name="PUNC" dataDxfId="391">
      <calculatedColumnFormula array="1">_xlfn.LET(_xlpm.BPM,ROUND((B12+LichData[PUNC])*(1+ModData[PUNC])/B4,4)*B4,_xlpm.BPM+(_xlpm.BPM*ModData[TRUE]))</calculatedColumnFormula>
    </tableColumn>
    <tableColumn id="3" xr3:uid="{4322EF67-EA1D-4CA6-85EA-9EF8509DE194}" name="SLASH" dataDxfId="390">
      <calculatedColumnFormula array="1">_xlfn.LET(_xlpm.BPM,ROUND((B13+LichData[SLASH])*(1+ModData[SLASH])/B4,4)*B4,_xlpm.BPM+(_xlpm.BPM*ModData[TRUE]))</calculatedColumnFormula>
    </tableColumn>
    <tableColumn id="4" xr3:uid="{CCB5FD6F-213B-4B09-85BB-996A5326E218}" name="HEAT" dataDxfId="389">
      <calculatedColumnFormula array="1">_xlfn.LET(_xlpm.DMG,ROUND((B14+LichData[HEAT]+($B$5*ModData[HEAT]))/$B$4,4)*$B$4,_xlpm.DMG+(_xlpm.DMG*ModData[TRUE]))</calculatedColumnFormula>
    </tableColumn>
    <tableColumn id="5" xr3:uid="{1821DE70-4168-4314-9E8C-99E42BDEF5CC}" name="COLD" dataDxfId="388">
      <calculatedColumnFormula array="1">_xlfn.LET(_xlpm.DMG,ROUND((B15+LichData[COLD]+($B$5*ModData[COLD]))/$B$4,4)*$B$4,_xlpm.DMG+(_xlpm.DMG*ModData[TRUE]))</calculatedColumnFormula>
    </tableColumn>
    <tableColumn id="6" xr3:uid="{A251A9E6-7E67-4688-B5CE-ECCCCB8B43D6}" name="ELEC" dataDxfId="387">
      <calculatedColumnFormula array="1">_xlfn.LET(_xlpm.DMG,ROUND((B16+LichData[ELEC]+($B$5*ModData[ELEC]))/$B$4,4)*$B$4,_xlpm.DMG+(_xlpm.DMG*ModData[TRUE]))</calculatedColumnFormula>
    </tableColumn>
    <tableColumn id="7" xr3:uid="{BFA20791-EDDB-41FC-A32B-722E742B5F00}" name="TOXIN" dataDxfId="386">
      <calculatedColumnFormula array="1">_xlfn.LET(_xlpm.DMG,ROUND((B17+LichData[TOXIN]+($B$5*ModData[TOXIN]))/$B$4,4)*$B$4,_xlpm.DMG+(_xlpm.DMG*ModData[TRUE]))</calculatedColumnFormula>
    </tableColumn>
    <tableColumn id="8" xr3:uid="{430D67F1-013E-46D8-A871-0A71E324C051}" name="BLAST" dataDxfId="385">
      <calculatedColumnFormula array="1">_xlfn.LET(_xlpm.DMG,ROUND((B18+LichData[BLAST]+($B$5*ModData[BLAST]))/$B$4,4)*$B$4,_xlpm.DMG+(_xlpm.DMG*ModData[TRUE]))</calculatedColumnFormula>
    </tableColumn>
    <tableColumn id="9" xr3:uid="{82F3057D-1F38-4E30-A754-D49A724777AF}" name="RAD" dataDxfId="384">
      <calculatedColumnFormula array="1">_xlfn.LET(_xlpm.DMG,ROUND((B19+LichData[RAD]+($B$5*ModData[RAD]))/$B$4,4)*$B$4,_xlpm.DMG+(_xlpm.DMG*ModData[TRUE]))</calculatedColumnFormula>
    </tableColumn>
    <tableColumn id="10" xr3:uid="{C493B8B0-5900-48F2-839E-9E8A32D86D2F}" name="GAS" dataDxfId="383">
      <calculatedColumnFormula array="1">_xlfn.LET(_xlpm.DMG,ROUND((B20+LichData[GAS]+($B$5*ModData[GAS]))/$B$4,4)*$B$4,_xlpm.DMG+(_xlpm.DMG*ModData[TRUE]))</calculatedColumnFormula>
    </tableColumn>
    <tableColumn id="11" xr3:uid="{6A685EF7-2D89-4AB8-A6E5-58F2A7717381}" name="MAG" dataDxfId="382">
      <calculatedColumnFormula array="1">_xlfn.LET(_xlpm.DMG,ROUND((B21+LichData[MAG]+($B$5*ModData[MAG]))/$B$4,3)*$B$4,_xlpm.DMG+(_xlpm.DMG*ModData[TRUE]))</calculatedColumnFormula>
    </tableColumn>
    <tableColumn id="12" xr3:uid="{4DC00179-4F84-4BC8-9F7E-A454CB170E97}" name="VIRAL" dataDxfId="381">
      <calculatedColumnFormula array="1">_xlfn.LET(_xlpm.DMG,ROUND((B22+LichData[VIRAL]+($B$5*ModData[VIRAL]))/$B$4,4)*$B$4,_xlpm.DMG+(_xlpm.DMG*ModData[TRUE]))</calculatedColumnFormula>
    </tableColumn>
    <tableColumn id="13" xr3:uid="{9942F6B5-8308-4C22-8F35-37635F869CCC}" name="CORR" dataDxfId="380">
      <calculatedColumnFormula array="1">_xlfn.LET(_xlpm.DMG,ROUND((B23+LichData[CORR]+($B$5*ModData[CORR]))/$B$4,4)*$B$4,_xlpm.DMG+(_xlpm.DMG*ModData[TRUE]))</calculatedColumnFormula>
    </tableColumn>
    <tableColumn id="14" xr3:uid="{598796ED-AD47-4AF3-9FA4-4296F81B2A80}" name="VOID" dataDxfId="379">
      <calculatedColumnFormula array="1">_xlfn.LET(_xlpm.DMG,ROUND((B24+LichData[VOID]+($B$5*ModData[VOID]))/$B$4,4)*$B$4,_xlpm.DMG+(_xlpm.DMG*ModData[TRUE]))</calculatedColumnFormula>
    </tableColumn>
    <tableColumn id="15" xr3:uid="{1DF83D14-9B31-47A1-B1A1-572167302582}" name="DMG" dataDxfId="378">
      <calculatedColumnFormula>SUM(HUDFinal[[#This Row],[IMPACT]:[VOID]])*B7</calculatedColumnFormula>
    </tableColumn>
    <tableColumn id="16" xr3:uid="{5FD8D868-FE92-42AB-8BC6-BC359993D763}" name="BANE" dataDxfId="377">
      <calculatedColumnFormula array="1">IF(ModData[BANE]&gt;0,HUDFinal[[#This Row],[DMG]]*ModData[BANE],HUDFinal[[#This Row],[DMG]])</calculatedColumnFormula>
    </tableColumn>
  </tableColumns>
  <tableStyleInfo name="TableStyleMedium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98AF1030-9238-4DA0-BE16-607CC5339DBE}" name="EnemyData" displayName="EnemyData" ref="D15:Q16" totalsRowShown="0" headerRowDxfId="376" dataDxfId="375">
  <autoFilter ref="D15:Q16" xr:uid="{98AF1030-9238-4DA0-BE16-607CC5339D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B3A9F25-24E1-43F6-8D01-9C9C61CC328A}" name="IMPACT" dataDxfId="374">
      <calculatedColumnFormula array="1">_xlfn.XLOOKUP(K4,FactionData[[FACTION]:[FACTION]],FactionData[IMPACT],1)</calculatedColumnFormula>
    </tableColumn>
    <tableColumn id="2" xr3:uid="{7760AF75-70B9-4724-8697-65535EC25299}" name="PUNC" dataDxfId="373">
      <calculatedColumnFormula array="1">_xlfn.XLOOKUP(K4,FactionData[[FACTION]:[FACTION]],FactionData[PUNC],1)</calculatedColumnFormula>
    </tableColumn>
    <tableColumn id="3" xr3:uid="{446B0199-982F-4BC9-8A81-6BDCCC83699B}" name="SLASH" dataDxfId="372">
      <calculatedColumnFormula array="1">_xlfn.XLOOKUP(K4,FactionData[[FACTION]:[FACTION]],FactionData[SLASH],1)</calculatedColumnFormula>
    </tableColumn>
    <tableColumn id="4" xr3:uid="{51DD27BE-DAE2-48AE-A8ED-548F62214185}" name="HEAT" dataDxfId="371">
      <calculatedColumnFormula array="1">_xlfn.XLOOKUP(K4,FactionData[[FACTION]:[FACTION]],FactionData[HEAT],1)</calculatedColumnFormula>
    </tableColumn>
    <tableColumn id="5" xr3:uid="{138C7209-3EC9-4ED8-85B2-929B54DE4F00}" name="COLD" dataDxfId="370">
      <calculatedColumnFormula array="1">_xlfn.XLOOKUP(K4,FactionData[[FACTION]:[FACTION]],FactionData[COLD],1)</calculatedColumnFormula>
    </tableColumn>
    <tableColumn id="6" xr3:uid="{41819EC6-8DA2-4C29-B233-0ED34DB72A5F}" name="ELEC" dataDxfId="369">
      <calculatedColumnFormula array="1">_xlfn.XLOOKUP(K4,FactionData[[FACTION]:[FACTION]],FactionData[ELEC],1)</calculatedColumnFormula>
    </tableColumn>
    <tableColumn id="7" xr3:uid="{2607AF3B-8201-4BA3-B6B9-0342140AC9C6}" name="TOXIN" dataDxfId="368">
      <calculatedColumnFormula array="1">_xlfn.XLOOKUP(K4,FactionData[[FACTION]:[FACTION]],FactionData[TOXIN],1)</calculatedColumnFormula>
    </tableColumn>
    <tableColumn id="8" xr3:uid="{6B95234C-F64B-4469-9EC7-4641B7EEF8D0}" name="BLAST" dataDxfId="367">
      <calculatedColumnFormula array="1">_xlfn.XLOOKUP(K4,FactionData[[FACTION]:[FACTION]],FactionData[BLAST],1)</calculatedColumnFormula>
    </tableColumn>
    <tableColumn id="9" xr3:uid="{319E2FFC-3E9B-42C1-B143-3CDA21B472CF}" name="RAD" dataDxfId="366">
      <calculatedColumnFormula array="1">_xlfn.XLOOKUP(K4,FactionData[[FACTION]:[FACTION]],FactionData[RAD],1)</calculatedColumnFormula>
    </tableColumn>
    <tableColumn id="10" xr3:uid="{8B7D7234-9AB3-4FEC-8A7D-CDF195D61877}" name="GAS" dataDxfId="365">
      <calculatedColumnFormula array="1">_xlfn.XLOOKUP(K4,FactionData[[FACTION]:[FACTION]],FactionData[GAS],1)</calculatedColumnFormula>
    </tableColumn>
    <tableColumn id="11" xr3:uid="{568B1E78-A22F-48D2-BB73-EB64F2F2ADE7}" name="MAG" dataDxfId="364">
      <calculatedColumnFormula array="1">_xlfn.XLOOKUP(K4,FactionData[[FACTION]:[FACTION]],FactionData[MAG],1)</calculatedColumnFormula>
    </tableColumn>
    <tableColumn id="12" xr3:uid="{0D627B4A-B320-4E7D-AA85-60054475AA24}" name="VIRAL" dataDxfId="363">
      <calculatedColumnFormula array="1">_xlfn.XLOOKUP(K4,FactionData[[FACTION]:[FACTION]],FactionData[VIRAL],1)</calculatedColumnFormula>
    </tableColumn>
    <tableColumn id="13" xr3:uid="{DB15A786-4D6C-4499-A565-265CACB7842A}" name="CORR" dataDxfId="362">
      <calculatedColumnFormula array="1">_xlfn.XLOOKUP(K4,FactionData[[FACTION]:[FACTION]],FactionData[CORR],1)</calculatedColumnFormula>
    </tableColumn>
    <tableColumn id="14" xr3:uid="{BE2B0451-9A02-482C-A367-0816F746B476}" name="VOID" dataDxfId="361">
      <calculatedColumnFormula array="1">_xlfn.XLOOKUP(K4,FactionData[[FACTION]:[FACTION]],FactionData[VOID],1)</calculatedColumnFormula>
    </tableColumn>
  </tableColumns>
  <tableStyleInfo name="TableStyleMedium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F1D6E94-A0F5-4E34-A7EA-BAF843B868C3}" name="ArmorData" displayName="ArmorData" ref="D19:Q20" totalsRowShown="0" headerRowDxfId="360" dataDxfId="359">
  <autoFilter ref="D19:Q20" xr:uid="{AF1D6E94-A0F5-4E34-A7EA-BAF843B868C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77010DDC-AE92-4DC8-A6BD-3D653A82D914}" name="IMPACT" dataDxfId="358">
      <calculatedColumnFormula array="1">(1-0.9*SQRT($M$4/2700))*(EnemyData[IMPACT])</calculatedColumnFormula>
    </tableColumn>
    <tableColumn id="2" xr3:uid="{AF33279F-7055-4129-9CFE-9AAD694BFAEA}" name="PUNC" dataDxfId="357">
      <calculatedColumnFormula array="1">(1-0.9*SQRT($M$4/2700))*(EnemyData[PUNC])</calculatedColumnFormula>
    </tableColumn>
    <tableColumn id="3" xr3:uid="{5863EBB8-52D2-4409-9B93-D3C1A2FA0757}" name="SLASH" dataDxfId="356">
      <calculatedColumnFormula array="1">(1-0.9*SQRT($M$4/2700))*(EnemyData[SLASH])</calculatedColumnFormula>
    </tableColumn>
    <tableColumn id="4" xr3:uid="{D0823C9F-AB00-4582-ABE0-852C4703826D}" name="HEAT" dataDxfId="355">
      <calculatedColumnFormula array="1">(1-0.9*SQRT($M$4/2700))*(EnemyData[HEAT])</calculatedColumnFormula>
    </tableColumn>
    <tableColumn id="5" xr3:uid="{B30CB8A8-23EB-4EB1-B208-0CEC6F7BA1B6}" name="COLD" dataDxfId="354">
      <calculatedColumnFormula array="1">(1-0.9*SQRT($M$4/2700))*(EnemyData[COLD])</calculatedColumnFormula>
    </tableColumn>
    <tableColumn id="6" xr3:uid="{1AF0957E-3A0B-42CC-BABA-C5865ABFF701}" name="ELEC" dataDxfId="353">
      <calculatedColumnFormula array="1">(1-0.9*SQRT($M$4/2700))*(EnemyData[ELEC])</calculatedColumnFormula>
    </tableColumn>
    <tableColumn id="7" xr3:uid="{262CE2BF-F004-4A74-9F46-A5C09F398967}" name="TOXIN" dataDxfId="352">
      <calculatedColumnFormula array="1">(1-0.9*SQRT($M$4/2700))*(EnemyData[TOXIN])</calculatedColumnFormula>
    </tableColumn>
    <tableColumn id="8" xr3:uid="{83293F11-24C8-4604-B95C-F537C1489909}" name="BLAST" dataDxfId="351">
      <calculatedColumnFormula array="1">(1-0.9*SQRT($M$4/2700))*(EnemyData[BLAST])</calculatedColumnFormula>
    </tableColumn>
    <tableColumn id="9" xr3:uid="{54672B26-B49E-491B-9382-B6C905B6E6EF}" name="RAD" dataDxfId="350">
      <calculatedColumnFormula array="1">(1-0.9*SQRT($M$4/2700))*(EnemyData[RAD])</calculatedColumnFormula>
    </tableColumn>
    <tableColumn id="10" xr3:uid="{95DD9F7F-CDDD-4DB3-AA4F-B653A6C1EF95}" name="GAS" dataDxfId="349">
      <calculatedColumnFormula array="1">(1-0.9*SQRT($M$4/2700))*(EnemyData[GAS])</calculatedColumnFormula>
    </tableColumn>
    <tableColumn id="11" xr3:uid="{074D3756-4CF7-40FD-A554-A976D3785A8A}" name="MAG" dataDxfId="348">
      <calculatedColumnFormula array="1">(1-0.9*SQRT($M$4/2700))*(EnemyData[MAG])</calculatedColumnFormula>
    </tableColumn>
    <tableColumn id="12" xr3:uid="{A6819D3A-FF9C-4DFF-9657-28FB49EE5CC3}" name="VIRAL" dataDxfId="347">
      <calculatedColumnFormula array="1">(1-0.9*SQRT($M$4/2700))*(EnemyData[VIRAL])</calculatedColumnFormula>
    </tableColumn>
    <tableColumn id="13" xr3:uid="{77571FC9-0894-41E1-A675-F22FD2C77DC9}" name="CORR" dataDxfId="346">
      <calculatedColumnFormula array="1">(1-0.9*SQRT($M$4/2700))*(EnemyData[CORR])</calculatedColumnFormula>
    </tableColumn>
    <tableColumn id="14" xr3:uid="{2E2CE054-81E1-4035-AB0C-92722B5193B3}" name="VOID" dataDxfId="345">
      <calculatedColumnFormula array="1">(1-0.9*SQRT($M$4/2700))*(EnemyData[VOID])</calculatedColumnFormula>
    </tableColumn>
  </tableColumns>
  <tableStyleInfo name="TableStyleMedium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A19F837-8640-49D4-A07C-EE28ABC1D773}" name="LichData" displayName="LichData" ref="D11:Q12" totalsRowShown="0" headerRowDxfId="344" dataDxfId="343">
  <autoFilter ref="D11:Q12" xr:uid="{DA19F837-8640-49D4-A07C-EE28ABC1D77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AEA0A57C-B5C5-47C1-BB99-C9419525A864}" name="IMPACT" dataDxfId="342">
      <calculatedColumnFormula>_xlfn.LET(_xlpm.BWD,_xlfn.XLOOKUP($C$4,WeaponData[WEAPON],WeaponData[DMG],0),IF(ISBLANK($G$4),0,IF($G$4="IMPACT",$T$1*_xlpm.BWD,0)))</calculatedColumnFormula>
    </tableColumn>
    <tableColumn id="2" xr3:uid="{DEFB2EEB-2BFA-46B4-8178-D1B152297631}" name="PUNC" dataDxfId="341">
      <calculatedColumnFormula>_xlfn.LET(_xlpm.BWD,_xlfn.XLOOKUP($C$4,WeaponData[WEAPON],WeaponData[DMG],0),IF(ISBLANK($G$4),0,IF($G$4="PUNC",_xlpm.BWD*$T$1,0)))</calculatedColumnFormula>
    </tableColumn>
    <tableColumn id="3" xr3:uid="{1DFA4BF2-0992-46ED-8ECF-DDDC5A324A6F}" name="SLASH" dataDxfId="340">
      <calculatedColumnFormula>_xlfn.LET(_xlpm.BWD,_xlfn.XLOOKUP($C$4,WeaponData[WEAPON],WeaponData[DMG],0),IF(ISBLANK($G$4),0,IF($G$4="SLASH",_xlpm.BWD*$T$1,0)))</calculatedColumnFormula>
    </tableColumn>
    <tableColumn id="4" xr3:uid="{53B6FA29-F80E-4AB5-AFA9-FF5D94194902}" name="HEAT" dataDxfId="339">
      <calculatedColumnFormula array="1">_xlfn.LET(_xlpm.BWD,_xlfn.XLOOKUP($C$4,WeaponData[WEAPON],WeaponData[DMG],0),IF($G$4="HEAT",IF(OR(B18&gt;0,B19&gt;0,B20&gt;0,AND(ModData[HEAT]&gt;0,ModData[COLD]&gt;0),AND(ModData[HEAT]&gt;0,ModData[TOXIN]&gt;0),AND(ModData[HEAT]&gt;0,ModData[ELEC]&gt;0),LichData[[#This Row],[BLAST]]&gt;0,LichData[[#This Row],[RAD]]&gt;0,LichData[[#This Row],[GAS]]&gt;0),0,_xlpm.BWD*$T$1),0))</calculatedColumnFormula>
    </tableColumn>
    <tableColumn id="5" xr3:uid="{53142BE7-026F-4B7D-A05E-AA78F662D393}" name="COLD" dataDxfId="338">
      <calculatedColumnFormula array="1">_xlfn.LET(_xlpm.BWD,_xlfn.XLOOKUP($C$4,WeaponData[WEAPON],WeaponData[DMG],0),IF($G$4="COLD",IF(OR(B18&gt;0,B21&gt;0,B22&gt;0,AND(ModData[HEAT]&gt;0,ModData[COLD]&gt;0),AND(ModData[COLD]&gt;0,ModData[ELEC]&gt;0),AND(ModData[COLD]&gt;0,ModData[TOXIN]&gt;0),ModData[BLAST]&gt;0,ModData[MAG]&gt;0,ModData[VIRAL]&gt;0),0,_xlpm.BWD*$T$1),0))</calculatedColumnFormula>
    </tableColumn>
    <tableColumn id="6" xr3:uid="{4CD668FC-E269-4316-B829-51D31C9C3843}" name="ELEC" dataDxfId="337">
      <calculatedColumnFormula array="1">_xlfn.LET(_xlpm.BWD,_xlfn.XLOOKUP($C$4,WeaponData[WEAPON],WeaponData[DMG],0),IF($G$4="ELEC",IF(OR(B19&gt;0,B21&gt;0,B23&gt;0,AND(ModData[HEAT]&gt;0,ModData[ELEC]&gt;0),AND(ModData[COLD]&gt;0,ModData[ELEC]&gt;0),AND(ModData[ELEC]&gt;0,ModData[TOXIN]&gt;0),ModData[RAD]&gt;0,ModData[MAG]&gt;0,ModData[CORR]&gt;0),0,_xlpm.BWD*$T$1),0))</calculatedColumnFormula>
    </tableColumn>
    <tableColumn id="7" xr3:uid="{DDFBA333-E30A-4380-952A-48385AB139B0}" name="TOXIN" dataDxfId="336">
      <calculatedColumnFormula array="1">_xlfn.LET(_xlpm.BWD,_xlfn.XLOOKUP($C$4,WeaponData[WEAPON],WeaponData[DMG],0),IF($G$4="TOXIN",IF(OR(B20&gt;0,B22&gt;0,B23&gt;0,AND(ModData[HEAT]&gt;0,ModData[TOXIN]&gt;0),AND(ModData[COLD]&gt;0,ModData[TOXIN]&gt;0),AND(ModData[ELEC]&gt;0,ModData[TOXIN]&gt;0),ModData[GAS]&gt;0,ModData[VIRAL]&gt;0,ModData[CORR]&gt;0),0,_xlpm.BWD*$T$1),0))</calculatedColumnFormula>
    </tableColumn>
    <tableColumn id="8" xr3:uid="{5487EFA4-962C-42AC-B644-15650CD477C1}" name="BLAST" dataDxfId="335">
      <calculatedColumnFormula array="1">_xlfn.LET(_xlpm.BWD,_xlfn.XLOOKUP($C$4,WeaponData[WEAPON],WeaponData[DMG],0),IF($G$4="BLAST",_xlpm.BWD*$T$1,IF(OR($G$4="HEAT",$G$4="COLD"),IF(OR(B18&gt;0,AND(ModData[HEAT]&gt;0,ModData[COLD]&gt;0),ModData[BLAST]&gt;0),_xlpm.BWD*$T$1,0),0)))</calculatedColumnFormula>
    </tableColumn>
    <tableColumn id="9" xr3:uid="{FA522177-6E86-4478-9CF1-FCFCC5CB770A}" name="RAD" dataDxfId="334">
      <calculatedColumnFormula array="1">_xlfn.LET(_xlpm.BWD,_xlfn.XLOOKUP($C$4,WeaponData[WEAPON],WeaponData[DMG],0),IF($G$4="RAD",_xlpm.BWD*$T$1,IF(OR($G$4="HEAT",$G$4="ELEC"),IF(OR(B19&gt;0,AND(ModData[HEAT]&gt;0,ModData[ELEC]&gt;0),ModData[RAD]&gt;0),_xlpm.BWD*$T$1,0),0)))</calculatedColumnFormula>
    </tableColumn>
    <tableColumn id="10" xr3:uid="{79F991B0-5D9E-4358-A2E2-299726994EBD}" name="GAS" dataDxfId="333">
      <calculatedColumnFormula array="1">_xlfn.LET(_xlpm.BWD,_xlfn.XLOOKUP($C$4,WeaponData[WEAPON],WeaponData[DMG],0),IF($G$4="GAS",_xlpm.BWD*$T$1,IF(OR($G$4="HEAT",$G$4="TOXIN"),IF(OR(B20&gt;0,AND(ModData[HEAT]&gt;0,ModData[TOXIN]&gt;0),ModData[GAS]&gt;0),_xlpm.BWD*$T$1,0),0)))</calculatedColumnFormula>
    </tableColumn>
    <tableColumn id="11" xr3:uid="{6A8405A1-BACC-4B81-80A2-8B4B7F9FA67B}" name="MAG" dataDxfId="332">
      <calculatedColumnFormula array="1">_xlfn.LET(_xlpm.BWD,_xlfn.XLOOKUP($C$4,WeaponData[WEAPON],WeaponData[DMG],0),IF($G$4="MAG",_xlpm.BWD*$T$1,IF(OR($G$4="COLD",$G$4="ELEC"),IF(OR(B21&gt;0,AND(ModData[COLD]&gt;0,ModData[ELEC]&gt;0),ModData[MAG]&gt;0),_xlpm.BWD*$T$1,0),0)))</calculatedColumnFormula>
    </tableColumn>
    <tableColumn id="12" xr3:uid="{D723A956-4177-4476-AA7D-7C60B0CEE445}" name="VIRAL" dataDxfId="331">
      <calculatedColumnFormula array="1">_xlfn.LET(_xlpm.BWD,_xlfn.XLOOKUP($C$4,WeaponData[WEAPON],WeaponData[DMG],0),IF($G$4="VIRAL",_xlpm.BWD*$T$1,IF(OR($G$4="COLD",$G$4="TOXIN"),IF(OR(B22&gt;0,AND(ModData[COLD]&gt;0,ModData[TOXIN]&gt;0),ModData[VIRAL]&gt;0),_xlpm.BWD*$T$1,0),0)))</calculatedColumnFormula>
    </tableColumn>
    <tableColumn id="13" xr3:uid="{2E62319C-7C3F-4CF6-9F97-AE9C1AA676C8}" name="CORR" dataDxfId="330">
      <calculatedColumnFormula array="1">_xlfn.LET(_xlpm.BWD,_xlfn.XLOOKUP($C$4,WeaponData[WEAPON],WeaponData[DMG],0),IF($G$4="CORR",_xlpm.BWD*$T$1,IF(OR(G4="ELEC",$G$4="TOXIN"),IF(OR(B23&gt;0,AND(ModData[ELEC]&gt;0,ModData[TOXIN]&gt;0),ModData[CORR]&gt;0),_xlpm.BWD*$T$1,0),0)))</calculatedColumnFormula>
    </tableColumn>
    <tableColumn id="14" xr3:uid="{139DCBE2-3C15-4A8E-9D00-E80000925632}" name="VOID" dataDxfId="329">
      <calculatedColumnFormula>0</calculatedColumnFormula>
    </tableColumn>
  </tableColumns>
  <tableStyleInfo name="TableStyleMedium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D5997DE-3B7F-4BC8-8136-89E7B95EA52A}" name="WeaponData" displayName="WeaponData" ref="A2:U777" totalsRowCount="1" headerRowDxfId="328" dataDxfId="327" headerRowBorderDxfId="326" totalsRowBorderDxfId="325">
  <autoFilter ref="A2:U776" xr:uid="{1D5997DE-3B7F-4BC8-8136-89E7B95EA52A}"/>
  <tableColumns count="21">
    <tableColumn id="1" xr3:uid="{6E572A45-8AA2-4458-95DC-E32FAA785A6E}" name="WEAPON" totalsRowLabel="Total Weapons" dataDxfId="323" totalsRowDxfId="324"/>
    <tableColumn id="2" xr3:uid="{4AB7A4BF-BADA-4BD7-896E-9A1700DE00B0}" name="DMG" dataDxfId="321" totalsRowDxfId="322"/>
    <tableColumn id="3" xr3:uid="{A146A45B-3C63-40AB-B5B5-6531E9566734}" name="IMPACT" dataDxfId="319" totalsRowDxfId="320"/>
    <tableColumn id="5" xr3:uid="{D493C048-3BC4-48FB-BB7B-5F36474E5E77}" name="PUNC" dataDxfId="317" totalsRowDxfId="318"/>
    <tableColumn id="7" xr3:uid="{B45708B0-68EB-4DA8-80BB-342952107D55}" name="SLASH" dataDxfId="315" totalsRowDxfId="316"/>
    <tableColumn id="9" xr3:uid="{52A67703-2033-4F83-AAF7-E15FB3CF358C}" name="HEAT" dataDxfId="313" totalsRowDxfId="314"/>
    <tableColumn id="11" xr3:uid="{F045FEDC-4807-4C4B-965E-12270627A32E}" name="COLD" dataDxfId="311" totalsRowDxfId="312"/>
    <tableColumn id="13" xr3:uid="{CE69B63B-171A-45AF-9FC5-CD86A531DD24}" name="ELEC" dataDxfId="309" totalsRowDxfId="310"/>
    <tableColumn id="15" xr3:uid="{67D0D333-A3D7-40F4-B486-7959AFBD3A27}" name="TOXIN" dataDxfId="307" totalsRowDxfId="308"/>
    <tableColumn id="21" xr3:uid="{15541712-7D95-4DCD-BEC8-EE46387707FB}" name="BLAST" dataDxfId="305" totalsRowDxfId="306"/>
    <tableColumn id="29" xr3:uid="{36EF4DB4-DD37-4278-AFC3-68073E88DD8D}" name="RAD" dataDxfId="303" totalsRowDxfId="304"/>
    <tableColumn id="25" xr3:uid="{59C6482A-6B99-484D-B2AB-37DB200CE2CF}" name="GAS" dataDxfId="301" totalsRowDxfId="302"/>
    <tableColumn id="27" xr3:uid="{6A99EECD-FA7E-45D6-85DF-73144068C74F}" name="MAG" dataDxfId="299" totalsRowDxfId="300"/>
    <tableColumn id="31" xr3:uid="{62F387D0-B075-4603-A8D1-34A8352D85F4}" name="VIRAL" dataDxfId="297" totalsRowDxfId="298"/>
    <tableColumn id="23" xr3:uid="{5936C42E-078A-414D-AD77-23F6D0CAD415}" name="CORR" dataDxfId="295" totalsRowDxfId="296"/>
    <tableColumn id="17" xr3:uid="{3C50BA42-5768-47A1-A3D1-AE176C25E406}" name="VOID" dataDxfId="293" totalsRowDxfId="294"/>
    <tableColumn id="33" xr3:uid="{8A5AD898-65B0-4EFD-BDF6-F38D34418F1D}" name="CRITCHAN" dataDxfId="291" totalsRowDxfId="292"/>
    <tableColumn id="34" xr3:uid="{6B33F586-A377-4289-852A-AA8427F6582E}" name="CRITMULT" dataDxfId="289" totalsRowDxfId="290"/>
    <tableColumn id="37" xr3:uid="{E24F4E5D-BBCB-49E3-880E-6949267789EA}" name="STATCHAN" dataDxfId="287" totalsRowDxfId="288"/>
    <tableColumn id="35" xr3:uid="{FAEC12C3-E007-4016-AB86-318E6A3EA857}" name="FIRERATE" dataDxfId="285" totalsRowDxfId="286"/>
    <tableColumn id="36" xr3:uid="{82FC1AC8-7C0F-4B5B-91B1-7B76FF9DA8E6}" name="MULTI" totalsRowFunction="count" dataDxfId="283" totalsRowDxfId="284"/>
  </tableColumns>
  <tableStyleInfo name="TableStyleMedium16"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3C113C8-452C-4DEA-8F9A-781C23107A99}" name="FactionData" displayName="FactionData" ref="A2:P13" totalsRowShown="0" headerRowDxfId="282" dataDxfId="281">
  <autoFilter ref="A2:P13" xr:uid="{1D5997DE-3B7F-4BC8-8136-89E7B95EA52A}"/>
  <sortState xmlns:xlrd2="http://schemas.microsoft.com/office/spreadsheetml/2017/richdata2" ref="A3:P3">
    <sortCondition ref="A2:A3"/>
  </sortState>
  <tableColumns count="16">
    <tableColumn id="1" xr3:uid="{35A3619D-5AD7-4DE1-8E32-60145934C907}" name="FACTION" dataDxfId="280"/>
    <tableColumn id="2" xr3:uid="{BD9C0D82-D946-4EFA-992A-0DB019A96366}" name="IMPACT" dataDxfId="279"/>
    <tableColumn id="3" xr3:uid="{D058F778-1482-4AF1-BA2D-9DFAE21C841D}" name="PUNC" dataDxfId="278"/>
    <tableColumn id="5" xr3:uid="{E37129ED-76D3-4096-A4E7-7B820B8EEED3}" name="SLASH" dataDxfId="277"/>
    <tableColumn id="7" xr3:uid="{A7A0A4A8-C45D-4F7B-AC54-2777CA0339D6}" name="HEAT" dataDxfId="276"/>
    <tableColumn id="9" xr3:uid="{EA5EEEA5-7180-444D-9CFE-84D8EE0B151A}" name="COLD" dataDxfId="275"/>
    <tableColumn id="11" xr3:uid="{17B29219-66E1-4C1F-8155-7A145E3F2990}" name="ELEC" dataDxfId="274"/>
    <tableColumn id="13" xr3:uid="{BC14516B-6FE2-4FA0-ABC1-76883A429D80}" name="TOXIN" dataDxfId="273"/>
    <tableColumn id="15" xr3:uid="{E7843E46-6996-49FA-88A9-AE7CBFBE1A11}" name="BLAST" dataDxfId="272"/>
    <tableColumn id="21" xr3:uid="{F1F99C44-A949-4341-A0A6-B6683EB16415}" name="RAD" dataDxfId="271"/>
    <tableColumn id="29" xr3:uid="{5DB1AB39-8E0A-44C2-ACDA-64B8A045410D}" name="GAS" dataDxfId="270"/>
    <tableColumn id="25" xr3:uid="{70A69EDA-3D0F-45DA-B0E4-9EEDBC7AB806}" name="MAG" dataDxfId="269"/>
    <tableColumn id="27" xr3:uid="{71FB4ACE-DC9C-4DEC-98E9-75CC299FE611}" name="VIRAL" dataDxfId="268"/>
    <tableColumn id="31" xr3:uid="{A65089F8-8943-413D-BF2F-7854E32B56CF}" name="CORR" dataDxfId="267"/>
    <tableColumn id="23" xr3:uid="{F96C3197-1EFD-4055-9A8A-4723273EB523}" name="VOID" dataDxfId="266"/>
    <tableColumn id="17" xr3:uid="{AD1A12A7-231D-4888-82CB-A5931B0073DF}" name="TRUE" dataDxfId="265"/>
  </tableColumns>
  <tableStyleInfo name="TableStyleMedium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1.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table" Target="../tables/table9.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2.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2B55A-7810-472D-9F1C-2025DC619BC1}">
  <dimension ref="A1:T269"/>
  <sheetViews>
    <sheetView tabSelected="1" topLeftCell="A2" workbookViewId="0">
      <selection activeCell="R16" sqref="R16"/>
    </sheetView>
  </sheetViews>
  <sheetFormatPr defaultColWidth="8.85546875" defaultRowHeight="14.45"/>
  <cols>
    <col min="1" max="1" width="22.28515625" style="3" customWidth="1"/>
    <col min="2" max="2" width="14.42578125" style="3" customWidth="1"/>
    <col min="3" max="18" width="12.7109375" style="3" customWidth="1"/>
    <col min="19" max="19" width="22.28515625" style="3" customWidth="1"/>
    <col min="20" max="20" width="14.42578125" style="3" customWidth="1"/>
    <col min="21" max="16384" width="8.85546875" style="3"/>
  </cols>
  <sheetData>
    <row r="1" spans="1:20" ht="54" customHeight="1" thickTop="1" thickBot="1">
      <c r="A1" s="118" t="s">
        <v>0</v>
      </c>
      <c r="B1" s="119"/>
      <c r="C1" s="119"/>
      <c r="D1" s="119"/>
      <c r="E1" s="119"/>
      <c r="F1" s="119"/>
      <c r="G1" s="119"/>
      <c r="H1" s="119"/>
      <c r="I1" s="119"/>
      <c r="J1" s="119"/>
      <c r="K1" s="119"/>
      <c r="L1" s="119"/>
      <c r="M1" s="119"/>
      <c r="N1" s="119"/>
      <c r="O1" s="119"/>
      <c r="P1" s="119"/>
      <c r="Q1" s="119"/>
      <c r="R1" s="119"/>
      <c r="S1" s="120"/>
      <c r="T1" s="83">
        <f>I4/(_xlfn.XLOOKUP($C$4,WeaponData[WEAPON],WeaponData[DMG],0))</f>
        <v>0.55565789473684213</v>
      </c>
    </row>
    <row r="2" spans="1:20" ht="33" customHeight="1" thickBot="1">
      <c r="A2" s="98" t="s">
        <v>1</v>
      </c>
      <c r="B2" s="92"/>
      <c r="C2" s="91" t="s">
        <v>2</v>
      </c>
      <c r="D2" s="92"/>
      <c r="E2" s="92"/>
      <c r="F2" s="92"/>
      <c r="G2" s="92"/>
      <c r="H2" s="92"/>
      <c r="I2" s="92"/>
      <c r="J2" s="93"/>
      <c r="K2" s="91" t="s">
        <v>3</v>
      </c>
      <c r="L2" s="92"/>
      <c r="M2" s="92"/>
      <c r="N2" s="92"/>
      <c r="O2" s="92"/>
      <c r="P2" s="92"/>
      <c r="Q2" s="92"/>
      <c r="R2" s="92"/>
      <c r="S2" s="94" t="s">
        <v>4</v>
      </c>
      <c r="T2" s="95"/>
    </row>
    <row r="3" spans="1:20" ht="27" customHeight="1" thickBot="1">
      <c r="A3" s="40" t="s">
        <v>5</v>
      </c>
      <c r="B3" s="23" t="s">
        <v>6</v>
      </c>
      <c r="C3" s="137" t="s">
        <v>7</v>
      </c>
      <c r="D3" s="110"/>
      <c r="E3" s="110"/>
      <c r="F3" s="110"/>
      <c r="G3" s="110" t="s">
        <v>8</v>
      </c>
      <c r="H3" s="110"/>
      <c r="I3" s="110" t="s">
        <v>9</v>
      </c>
      <c r="J3" s="112"/>
      <c r="K3" s="137" t="s">
        <v>10</v>
      </c>
      <c r="L3" s="110"/>
      <c r="M3" s="110" t="s">
        <v>11</v>
      </c>
      <c r="N3" s="110"/>
      <c r="O3" s="110" t="s">
        <v>12</v>
      </c>
      <c r="P3" s="110"/>
      <c r="Q3" s="110" t="s">
        <v>13</v>
      </c>
      <c r="R3" s="138"/>
      <c r="S3" s="67" t="s">
        <v>5</v>
      </c>
      <c r="T3" s="68" t="s">
        <v>6</v>
      </c>
    </row>
    <row r="4" spans="1:20" ht="24" customHeight="1" thickBot="1">
      <c r="A4" s="41" t="s">
        <v>14</v>
      </c>
      <c r="B4" s="64">
        <f>B5/16</f>
        <v>73.893749999999997</v>
      </c>
      <c r="C4" s="102" t="s">
        <v>15</v>
      </c>
      <c r="D4" s="103"/>
      <c r="E4" s="103"/>
      <c r="F4" s="103"/>
      <c r="G4" s="103" t="s">
        <v>16</v>
      </c>
      <c r="H4" s="103"/>
      <c r="I4" s="103">
        <v>422.3</v>
      </c>
      <c r="J4" s="113"/>
      <c r="K4" s="102" t="s">
        <v>17</v>
      </c>
      <c r="L4" s="103"/>
      <c r="M4" s="111">
        <v>2700</v>
      </c>
      <c r="N4" s="111"/>
      <c r="O4" s="111">
        <v>220</v>
      </c>
      <c r="P4" s="111"/>
      <c r="Q4" s="111">
        <v>2500</v>
      </c>
      <c r="R4" s="139"/>
      <c r="S4" s="69" t="s">
        <v>18</v>
      </c>
      <c r="T4" s="70">
        <f>ROUND(SUM(T11:T24),0)</f>
        <v>1351</v>
      </c>
    </row>
    <row r="5" spans="1:20" ht="24" customHeight="1" thickBot="1">
      <c r="A5" s="42" t="s">
        <v>18</v>
      </c>
      <c r="B5" s="65">
        <f>_xlfn.XLOOKUP($C$4,WeaponData[WEAPON],WeaponData[DMG],0)+(_xlfn.XLOOKUP($C$4,WeaponData[WEAPON],WeaponData[DMG])*T1)</f>
        <v>1182.3</v>
      </c>
      <c r="C5" s="86"/>
      <c r="D5" s="87"/>
      <c r="E5" s="87"/>
      <c r="F5" s="87"/>
      <c r="G5" s="87"/>
      <c r="H5" s="87"/>
      <c r="I5" s="87"/>
      <c r="J5" s="87"/>
      <c r="K5" s="87"/>
      <c r="L5" s="87"/>
      <c r="M5" s="87"/>
      <c r="N5" s="87"/>
      <c r="O5" s="87"/>
      <c r="P5" s="87"/>
      <c r="Q5" s="87"/>
      <c r="R5" s="87"/>
      <c r="S5" s="71" t="s">
        <v>19</v>
      </c>
      <c r="T5" s="72" cm="1">
        <f t="array" ref="T5">IF(ModData[BANE]&gt;0,ROUND(T4*ModData[BANE],0),T4)</f>
        <v>1351</v>
      </c>
    </row>
    <row r="6" spans="1:20" ht="24" customHeight="1" thickBot="1">
      <c r="A6" s="41" t="s">
        <v>20</v>
      </c>
      <c r="B6" s="64">
        <f>_xlfn.XLOOKUP($C$4,WeaponData[WEAPON],WeaponData[FIRERATE],0)</f>
        <v>1</v>
      </c>
      <c r="C6" s="96" t="s">
        <v>21</v>
      </c>
      <c r="D6" s="97"/>
      <c r="E6" s="97"/>
      <c r="F6" s="97"/>
      <c r="G6" s="97"/>
      <c r="H6" s="97"/>
      <c r="I6" s="97"/>
      <c r="J6" s="97"/>
      <c r="K6" s="97"/>
      <c r="L6" s="97"/>
      <c r="M6" s="97"/>
      <c r="N6" s="97"/>
      <c r="O6" s="97"/>
      <c r="P6" s="97"/>
      <c r="Q6" s="97"/>
      <c r="R6" s="97"/>
      <c r="S6" s="69" t="s">
        <v>20</v>
      </c>
      <c r="T6" s="73">
        <f>WeaponBase[[#This Row],[Values]]</f>
        <v>1</v>
      </c>
    </row>
    <row r="7" spans="1:20" ht="24" customHeight="1" thickBot="1">
      <c r="A7" s="43" t="s">
        <v>22</v>
      </c>
      <c r="B7" s="22">
        <f>_xlfn.XLOOKUP($C$4,WeaponData[WEAPON],WeaponData[MULTI],0)</f>
        <v>1</v>
      </c>
      <c r="C7" s="24" t="s">
        <v>23</v>
      </c>
      <c r="D7" s="25" t="s">
        <v>24</v>
      </c>
      <c r="E7" s="25" t="s">
        <v>25</v>
      </c>
      <c r="F7" s="25" t="s">
        <v>26</v>
      </c>
      <c r="G7" s="25" t="s">
        <v>27</v>
      </c>
      <c r="H7" s="25" t="s">
        <v>28</v>
      </c>
      <c r="I7" s="25" t="s">
        <v>29</v>
      </c>
      <c r="J7" s="25" t="s">
        <v>30</v>
      </c>
      <c r="K7" s="25" t="s">
        <v>31</v>
      </c>
      <c r="L7" s="25" t="s">
        <v>32</v>
      </c>
      <c r="M7" s="25" t="s">
        <v>16</v>
      </c>
      <c r="N7" s="25" t="s">
        <v>33</v>
      </c>
      <c r="O7" s="25" t="s">
        <v>34</v>
      </c>
      <c r="P7" s="25" t="s">
        <v>35</v>
      </c>
      <c r="Q7" s="25" t="s">
        <v>36</v>
      </c>
      <c r="R7" s="25" t="s">
        <v>37</v>
      </c>
      <c r="S7" s="74" t="s">
        <v>22</v>
      </c>
      <c r="T7" s="75">
        <f>WeaponBase[[#This Row],[Values]]</f>
        <v>1</v>
      </c>
    </row>
    <row r="8" spans="1:20" ht="24" customHeight="1" thickBot="1">
      <c r="A8" s="43" t="s">
        <v>38</v>
      </c>
      <c r="B8" s="27">
        <f>_xlfn.XLOOKUP($C$4,WeaponData[WEAPON],WeaponData[CRITCHAN],0)</f>
        <v>0.22</v>
      </c>
      <c r="C8" s="30">
        <v>0</v>
      </c>
      <c r="D8" s="31">
        <v>0</v>
      </c>
      <c r="E8" s="31">
        <v>0</v>
      </c>
      <c r="F8" s="31">
        <v>0</v>
      </c>
      <c r="G8" s="31">
        <v>0</v>
      </c>
      <c r="H8" s="31">
        <v>0</v>
      </c>
      <c r="I8" s="31">
        <v>0</v>
      </c>
      <c r="J8" s="31">
        <v>0</v>
      </c>
      <c r="K8" s="31">
        <v>0</v>
      </c>
      <c r="L8" s="31">
        <v>0</v>
      </c>
      <c r="M8" s="31">
        <f>1.65+1.65</f>
        <v>3.3</v>
      </c>
      <c r="N8" s="31">
        <v>0</v>
      </c>
      <c r="O8" s="31">
        <v>0</v>
      </c>
      <c r="P8" s="31">
        <v>0</v>
      </c>
      <c r="Q8" s="31">
        <f>1.65</f>
        <v>1.65</v>
      </c>
      <c r="R8" s="81">
        <v>0</v>
      </c>
      <c r="S8" s="74" t="s">
        <v>38</v>
      </c>
      <c r="T8" s="76">
        <f>WeaponBase[[#This Row],[Values]]</f>
        <v>0.22</v>
      </c>
    </row>
    <row r="9" spans="1:20" ht="24" customHeight="1" thickBot="1">
      <c r="A9" s="43" t="s">
        <v>39</v>
      </c>
      <c r="B9" s="22">
        <f>_xlfn.XLOOKUP($C$4,WeaponData[WEAPON],WeaponData[CRITMULT],0)</f>
        <v>2</v>
      </c>
      <c r="C9" s="84"/>
      <c r="D9" s="85"/>
      <c r="E9" s="85"/>
      <c r="F9" s="85"/>
      <c r="G9" s="85"/>
      <c r="H9" s="85"/>
      <c r="I9" s="85"/>
      <c r="J9" s="85"/>
      <c r="K9" s="85"/>
      <c r="L9" s="85"/>
      <c r="M9" s="85"/>
      <c r="N9" s="85"/>
      <c r="O9" s="85"/>
      <c r="P9" s="85"/>
      <c r="Q9" s="85"/>
      <c r="R9" s="85"/>
      <c r="S9" s="74" t="s">
        <v>39</v>
      </c>
      <c r="T9" s="75">
        <f>WeaponBase[[#This Row],[Values]]</f>
        <v>2</v>
      </c>
    </row>
    <row r="10" spans="1:20" ht="24" customHeight="1" thickBot="1">
      <c r="A10" s="42" t="s">
        <v>40</v>
      </c>
      <c r="B10" s="66">
        <f>_xlfn.XLOOKUP($C$4,WeaponData[WEAPON],WeaponData[STATCHAN],0)</f>
        <v>0.34000003000000001</v>
      </c>
      <c r="C10" s="33"/>
      <c r="D10" s="96" t="s">
        <v>41</v>
      </c>
      <c r="E10" s="97"/>
      <c r="F10" s="97"/>
      <c r="G10" s="97"/>
      <c r="H10" s="97"/>
      <c r="I10" s="97"/>
      <c r="J10" s="97"/>
      <c r="K10" s="97"/>
      <c r="L10" s="97"/>
      <c r="M10" s="97"/>
      <c r="N10" s="97"/>
      <c r="O10" s="97"/>
      <c r="P10" s="97"/>
      <c r="Q10" s="114"/>
      <c r="S10" s="71" t="s">
        <v>40</v>
      </c>
      <c r="T10" s="77">
        <f>WeaponBase[[#This Row],[Values]]</f>
        <v>0.34000003000000001</v>
      </c>
    </row>
    <row r="11" spans="1:20" ht="24" customHeight="1" thickBot="1">
      <c r="A11" s="41" t="s">
        <v>42</v>
      </c>
      <c r="B11" s="64">
        <f>_xlfn.XLOOKUP($C$4,WeaponData[WEAPON],WeaponData[IMPACT],0)</f>
        <v>0</v>
      </c>
      <c r="C11" s="33"/>
      <c r="D11" s="24" t="s">
        <v>23</v>
      </c>
      <c r="E11" s="25" t="s">
        <v>24</v>
      </c>
      <c r="F11" s="25" t="s">
        <v>25</v>
      </c>
      <c r="G11" s="25" t="s">
        <v>26</v>
      </c>
      <c r="H11" s="25" t="s">
        <v>27</v>
      </c>
      <c r="I11" s="25" t="s">
        <v>28</v>
      </c>
      <c r="J11" s="25" t="s">
        <v>29</v>
      </c>
      <c r="K11" s="25" t="s">
        <v>30</v>
      </c>
      <c r="L11" s="25" t="s">
        <v>31</v>
      </c>
      <c r="M11" s="25" t="s">
        <v>32</v>
      </c>
      <c r="N11" s="25" t="s">
        <v>16</v>
      </c>
      <c r="O11" s="25" t="s">
        <v>33</v>
      </c>
      <c r="P11" s="25" t="s">
        <v>34</v>
      </c>
      <c r="Q11" s="26" t="s">
        <v>35</v>
      </c>
      <c r="S11" s="69" t="s">
        <v>42</v>
      </c>
      <c r="T11" s="70" cm="1">
        <f t="array" ref="T11">_xlfn.LET(_xlpm.BPM,ROUND(ROUND((B11+LichData[IMPACT])*(1+ModData[IMPACT])/$B$4,0)*$B$4,3)*ArmorData[IMPACT],_xlpm.BPM+(_xlpm.BPM*ModData[TRUE]))</f>
        <v>0</v>
      </c>
    </row>
    <row r="12" spans="1:20" ht="24" customHeight="1" thickBot="1">
      <c r="A12" s="43" t="s">
        <v>43</v>
      </c>
      <c r="B12" s="22">
        <f>_xlfn.XLOOKUP($C$4,WeaponData[WEAPON],WeaponData[PUNC],0)</f>
        <v>0</v>
      </c>
      <c r="C12" s="33"/>
      <c r="D12" s="37">
        <f>_xlfn.LET(_xlpm.BWD,_xlfn.XLOOKUP($C$4,WeaponData[WEAPON],WeaponData[DMG],0),IF(ISBLANK($G$4),0,IF($G$4="IMPACT",$T$1*_xlpm.BWD,0)))</f>
        <v>0</v>
      </c>
      <c r="E12" s="38">
        <f>_xlfn.LET(_xlpm.BWD,_xlfn.XLOOKUP($C$4,WeaponData[WEAPON],WeaponData[DMG],0),IF(ISBLANK($G$4),0,IF($G$4="PUNC",_xlpm.BWD*$T$1,0)))</f>
        <v>0</v>
      </c>
      <c r="F12" s="38">
        <f>_xlfn.LET(_xlpm.BWD,_xlfn.XLOOKUP($C$4,WeaponData[WEAPON],WeaponData[DMG],0),IF(ISBLANK($G$4),0,IF($G$4="SLASH",_xlpm.BWD*$T$1,0)))</f>
        <v>0</v>
      </c>
      <c r="G12" s="38" cm="1">
        <f t="array" ref="G12">_xlfn.LET(_xlpm.BWD,_xlfn.XLOOKUP($C$4,WeaponData[WEAPON],WeaponData[DMG],0),IF($G$4="HEAT",IF(OR(B18&gt;0,B19&gt;0,B20&gt;0,AND(ModData[HEAT]&gt;0,ModData[COLD]&gt;0),AND(ModData[HEAT]&gt;0,ModData[TOXIN]&gt;0),AND(ModData[HEAT]&gt;0,ModData[ELEC]&gt;0),LichData[[#This Row],[BLAST]]&gt;0,LichData[[#This Row],[RAD]]&gt;0,LichData[[#This Row],[GAS]]&gt;0),0,_xlpm.BWD*$T$1),0))</f>
        <v>0</v>
      </c>
      <c r="H12" s="38" cm="1">
        <f t="array" ref="H12">_xlfn.LET(_xlpm.BWD,_xlfn.XLOOKUP($C$4,WeaponData[WEAPON],WeaponData[DMG],0),IF($G$4="COLD",IF(OR(B18&gt;0,B21&gt;0,B22&gt;0,AND(ModData[HEAT]&gt;0,ModData[COLD]&gt;0),AND(ModData[COLD]&gt;0,ModData[ELEC]&gt;0),AND(ModData[COLD]&gt;0,ModData[TOXIN]&gt;0),ModData[BLAST]&gt;0,ModData[MAG]&gt;0,ModData[VIRAL]&gt;0),0,_xlpm.BWD*$T$1),0))</f>
        <v>0</v>
      </c>
      <c r="I12" s="38" cm="1">
        <f t="array" ref="I12">_xlfn.LET(_xlpm.BWD,_xlfn.XLOOKUP($C$4,WeaponData[WEAPON],WeaponData[DMG],0),IF($G$4="ELEC",IF(OR(B19&gt;0,B21&gt;0,B23&gt;0,AND(ModData[HEAT]&gt;0,ModData[ELEC]&gt;0),AND(ModData[COLD]&gt;0,ModData[ELEC]&gt;0),AND(ModData[ELEC]&gt;0,ModData[TOXIN]&gt;0),ModData[RAD]&gt;0,ModData[MAG]&gt;0,ModData[CORR]&gt;0),0,_xlpm.BWD*$T$1),0))</f>
        <v>0</v>
      </c>
      <c r="J12" s="38" cm="1">
        <f t="array" ref="J12">_xlfn.LET(_xlpm.BWD,_xlfn.XLOOKUP($C$4,WeaponData[WEAPON],WeaponData[DMG],0),IF($G$4="TOXIN",IF(OR(B20&gt;0,B22&gt;0,B23&gt;0,AND(ModData[HEAT]&gt;0,ModData[TOXIN]&gt;0),AND(ModData[COLD]&gt;0,ModData[TOXIN]&gt;0),AND(ModData[ELEC]&gt;0,ModData[TOXIN]&gt;0),ModData[GAS]&gt;0,ModData[VIRAL]&gt;0,ModData[CORR]&gt;0),0,_xlpm.BWD*$T$1),0))</f>
        <v>0</v>
      </c>
      <c r="K12" s="38" cm="1">
        <f t="array" ref="K12">_xlfn.LET(_xlpm.BWD,_xlfn.XLOOKUP($C$4,WeaponData[WEAPON],WeaponData[DMG],0),IF($G$4="BLAST",_xlpm.BWD*$T$1,IF(OR($G$4="HEAT",$G$4="COLD"),IF(OR(B18&gt;0,AND(ModData[HEAT]&gt;0,ModData[COLD]&gt;0),ModData[BLAST]&gt;0),_xlpm.BWD*$T$1,0),0)))</f>
        <v>0</v>
      </c>
      <c r="L12" s="38" cm="1">
        <f t="array" ref="L12">_xlfn.LET(_xlpm.BWD,_xlfn.XLOOKUP($C$4,WeaponData[WEAPON],WeaponData[DMG],0),IF($G$4="RAD",_xlpm.BWD*$T$1,IF(OR($G$4="HEAT",$G$4="ELEC"),IF(OR(B19&gt;0,AND(ModData[HEAT]&gt;0,ModData[ELEC]&gt;0),ModData[RAD]&gt;0),_xlpm.BWD*$T$1,0),0)))</f>
        <v>0</v>
      </c>
      <c r="M12" s="38" cm="1">
        <f t="array" ref="M12">_xlfn.LET(_xlpm.BWD,_xlfn.XLOOKUP($C$4,WeaponData[WEAPON],WeaponData[DMG],0),IF($G$4="GAS",_xlpm.BWD*$T$1,IF(OR($G$4="HEAT",$G$4="TOXIN"),IF(OR(B20&gt;0,AND(ModData[HEAT]&gt;0,ModData[TOXIN]&gt;0),ModData[GAS]&gt;0),_xlpm.BWD*$T$1,0),0)))</f>
        <v>0</v>
      </c>
      <c r="N12" s="38" cm="1">
        <f t="array" ref="N12">_xlfn.LET(_xlpm.BWD,_xlfn.XLOOKUP($C$4,WeaponData[WEAPON],WeaponData[DMG],0),IF($G$4="MAG",_xlpm.BWD*$T$1,IF(OR($G$4="COLD",$G$4="ELEC"),IF(OR(B21&gt;0,AND(ModData[COLD]&gt;0,ModData[ELEC]&gt;0),ModData[MAG]&gt;0),_xlpm.BWD*$T$1,0),0)))</f>
        <v>422.3</v>
      </c>
      <c r="O12" s="38" cm="1">
        <f t="array" ref="O12">_xlfn.LET(_xlpm.BWD,_xlfn.XLOOKUP($C$4,WeaponData[WEAPON],WeaponData[DMG],0),IF($G$4="VIRAL",_xlpm.BWD*$T$1,IF(OR($G$4="COLD",$G$4="TOXIN"),IF(OR(B22&gt;0,AND(ModData[COLD]&gt;0,ModData[TOXIN]&gt;0),ModData[VIRAL]&gt;0),_xlpm.BWD*$T$1,0),0)))</f>
        <v>0</v>
      </c>
      <c r="P12" s="38" cm="1">
        <f t="array" ref="P12">_xlfn.LET(_xlpm.BWD,_xlfn.XLOOKUP($C$4,WeaponData[WEAPON],WeaponData[DMG],0),IF($G$4="CORR",_xlpm.BWD*$T$1,IF(OR(G4="ELEC",$G$4="TOXIN"),IF(OR(B23&gt;0,AND(ModData[ELEC]&gt;0,ModData[TOXIN]&gt;0),ModData[CORR]&gt;0),_xlpm.BWD*$T$1,0),0)))</f>
        <v>0</v>
      </c>
      <c r="Q12" s="39">
        <f>0</f>
        <v>0</v>
      </c>
      <c r="S12" s="74" t="s">
        <v>43</v>
      </c>
      <c r="T12" s="78" cm="1">
        <f t="array" ref="T12">_xlfn.LET(_xlpm.BPM,ROUND(ROUND((B12+LichData[PUNC])*(1+ModData[PUNC])/$B$4,0)*$B$4,3)*ArmorData[PUNC],_xlpm.BPM+(_xlpm.BPM*ModData[TRUE]))</f>
        <v>0</v>
      </c>
    </row>
    <row r="13" spans="1:20" ht="24" customHeight="1" thickBot="1">
      <c r="A13" s="42" t="s">
        <v>44</v>
      </c>
      <c r="B13" s="65">
        <f>_xlfn.XLOOKUP($C$4,WeaponData[WEAPON],WeaponData[SLASH],0)</f>
        <v>0</v>
      </c>
      <c r="C13" s="33"/>
      <c r="S13" s="71" t="s">
        <v>44</v>
      </c>
      <c r="T13" s="72" cm="1">
        <f t="array" ref="T13">_xlfn.LET(_xlpm.BPM,ROUND(ROUND((B13+LichData[SLASH])*(1+ModData[SLASH])/$B$4,0)*$B$4,3)*ArmorData[SLASH],_xlpm.BPM+(_xlpm.BPM*ModData[TRUE]))</f>
        <v>0</v>
      </c>
    </row>
    <row r="14" spans="1:20" ht="24" customHeight="1" thickBot="1">
      <c r="A14" s="43" t="s">
        <v>45</v>
      </c>
      <c r="B14" s="22">
        <f>_xlfn.XLOOKUP($C$4,WeaponData[WEAPON],WeaponData[HEAT],0)</f>
        <v>0</v>
      </c>
      <c r="C14" s="33"/>
      <c r="D14" s="96" t="s">
        <v>46</v>
      </c>
      <c r="E14" s="97"/>
      <c r="F14" s="97"/>
      <c r="G14" s="97"/>
      <c r="H14" s="97"/>
      <c r="I14" s="97"/>
      <c r="J14" s="97"/>
      <c r="K14" s="97"/>
      <c r="L14" s="97"/>
      <c r="M14" s="97"/>
      <c r="N14" s="97"/>
      <c r="O14" s="97"/>
      <c r="P14" s="97"/>
      <c r="Q14" s="114"/>
      <c r="S14" s="69" t="s">
        <v>45</v>
      </c>
      <c r="T14" s="70" cm="1">
        <f t="array" ref="T14">_xlfn.LET(_xlpm.BPM,ROUND(ROUND((B14+LichData[HEAT]+($B$5*ModData[HEAT]))/$B$4,0)*$B$4,3)*ArmorData[HEAT],_xlpm.BPM+(_xlpm.BPM*ModData[TRUE]))</f>
        <v>0</v>
      </c>
    </row>
    <row r="15" spans="1:20" ht="24" customHeight="1" thickBot="1">
      <c r="A15" s="43" t="s">
        <v>47</v>
      </c>
      <c r="B15" s="22">
        <f>_xlfn.XLOOKUP($C$4,WeaponData[WEAPON],WeaponData[COLD],0)</f>
        <v>0</v>
      </c>
      <c r="C15" s="33"/>
      <c r="D15" s="24" t="s">
        <v>23</v>
      </c>
      <c r="E15" s="25" t="s">
        <v>24</v>
      </c>
      <c r="F15" s="25" t="s">
        <v>25</v>
      </c>
      <c r="G15" s="25" t="s">
        <v>26</v>
      </c>
      <c r="H15" s="25" t="s">
        <v>27</v>
      </c>
      <c r="I15" s="25" t="s">
        <v>28</v>
      </c>
      <c r="J15" s="25" t="s">
        <v>29</v>
      </c>
      <c r="K15" s="25" t="s">
        <v>30</v>
      </c>
      <c r="L15" s="25" t="s">
        <v>31</v>
      </c>
      <c r="M15" s="25" t="s">
        <v>32</v>
      </c>
      <c r="N15" s="25" t="s">
        <v>16</v>
      </c>
      <c r="O15" s="25" t="s">
        <v>33</v>
      </c>
      <c r="P15" s="25" t="s">
        <v>34</v>
      </c>
      <c r="Q15" s="26" t="s">
        <v>35</v>
      </c>
      <c r="S15" s="74" t="s">
        <v>47</v>
      </c>
      <c r="T15" s="78" cm="1">
        <f t="array" ref="T15">_xlfn.LET(_xlpm.BPM,ROUND(ROUND((B15+LichData[COLD]+($B$5*ModData[COLD]))/$B$4,0)*$B$4,3)*ArmorData[COLD],_xlpm.BPM+(_xlpm.BPM*ModData[TRUE]))</f>
        <v>0</v>
      </c>
    </row>
    <row r="16" spans="1:20" ht="24" customHeight="1" thickBot="1">
      <c r="A16" s="43" t="s">
        <v>48</v>
      </c>
      <c r="B16" s="22">
        <f>_xlfn.XLOOKUP($C$4,WeaponData[WEAPON],WeaponData[ELEC],0)</f>
        <v>0</v>
      </c>
      <c r="C16" s="33"/>
      <c r="D16" s="30" cm="1">
        <f t="array" ref="D16">_xlfn.XLOOKUP(K4,FactionData[[FACTION]:[FACTION]],FactionData[IMPACT],1)</f>
        <v>1.5</v>
      </c>
      <c r="E16" s="31" cm="1">
        <f t="array" ref="E16">_xlfn.XLOOKUP(K4,FactionData[[FACTION]:[FACTION]],FactionData[PUNC],1)</f>
        <v>1</v>
      </c>
      <c r="F16" s="31" cm="1">
        <f t="array" ref="F16">_xlfn.XLOOKUP(K4,FactionData[[FACTION]:[FACTION]],FactionData[SLASH],1)</f>
        <v>1</v>
      </c>
      <c r="G16" s="31" cm="1">
        <f t="array" ref="G16">_xlfn.XLOOKUP(K4,FactionData[[FACTION]:[FACTION]],FactionData[HEAT],1)</f>
        <v>1</v>
      </c>
      <c r="H16" s="31" cm="1">
        <f t="array" ref="H16">_xlfn.XLOOKUP(K4,FactionData[[FACTION]:[FACTION]],FactionData[COLD],1)</f>
        <v>1</v>
      </c>
      <c r="I16" s="31" cm="1">
        <f t="array" ref="I16">_xlfn.XLOOKUP(K4,FactionData[[FACTION]:[FACTION]],FactionData[ELEC],1)</f>
        <v>1</v>
      </c>
      <c r="J16" s="31" cm="1">
        <f t="array" ref="J16">_xlfn.XLOOKUP(K4,FactionData[[FACTION]:[FACTION]],FactionData[TOXIN],1)</f>
        <v>1</v>
      </c>
      <c r="K16" s="31" cm="1">
        <f t="array" ref="K16">_xlfn.XLOOKUP(K4,FactionData[[FACTION]:[FACTION]],FactionData[BLAST],1)</f>
        <v>1</v>
      </c>
      <c r="L16" s="31" cm="1">
        <f t="array" ref="L16">_xlfn.XLOOKUP(K4,FactionData[[FACTION]:[FACTION]],FactionData[RAD],1)</f>
        <v>1</v>
      </c>
      <c r="M16" s="31" cm="1">
        <f t="array" ref="M16">_xlfn.XLOOKUP(K4,FactionData[[FACTION]:[FACTION]],FactionData[GAS],1)</f>
        <v>1</v>
      </c>
      <c r="N16" s="31" cm="1">
        <f t="array" ref="N16">_xlfn.XLOOKUP(K4,FactionData[[FACTION]:[FACTION]],FactionData[MAG],1)</f>
        <v>1</v>
      </c>
      <c r="O16" s="31" cm="1">
        <f t="array" ref="O16">_xlfn.XLOOKUP(K4,FactionData[[FACTION]:[FACTION]],FactionData[VIRAL],1)</f>
        <v>1</v>
      </c>
      <c r="P16" s="31" cm="1">
        <f t="array" ref="P16">_xlfn.XLOOKUP(K4,FactionData[[FACTION]:[FACTION]],FactionData[CORR],1)</f>
        <v>1.5</v>
      </c>
      <c r="Q16" s="32" cm="1">
        <f t="array" ref="Q16">_xlfn.XLOOKUP(K4,FactionData[[FACTION]:[FACTION]],FactionData[VOID],1)</f>
        <v>1</v>
      </c>
      <c r="S16" s="74" t="s">
        <v>48</v>
      </c>
      <c r="T16" s="78" cm="1">
        <f t="array" ref="T16">_xlfn.LET(_xlpm.BPM,ROUND(ROUND((B16+LichData[ELEC]+($B$5*ModData[ELEC]))/$B$4,0)*$B$4,3)*ArmorData[ELEC],_xlpm.BPM+(_xlpm.BPM*ModData[TRUE]))</f>
        <v>0</v>
      </c>
    </row>
    <row r="17" spans="1:20" ht="24" customHeight="1" thickBot="1">
      <c r="A17" s="43" t="s">
        <v>49</v>
      </c>
      <c r="B17" s="22">
        <f>_xlfn.XLOOKUP($C$4,WeaponData[WEAPON],WeaponData[TOXIN],0)</f>
        <v>0</v>
      </c>
      <c r="C17" s="33"/>
      <c r="S17" s="74" t="s">
        <v>49</v>
      </c>
      <c r="T17" s="78" cm="1">
        <f t="array" ref="T17">_xlfn.LET(_xlpm.BPM,ROUND(ROUND((B17+LichData[TOXIN]+($B$5*ModData[TOXIN]))/$B$4,0)*$B$4,3)*ArmorData[TOXIN],_xlpm.BPM+(_xlpm.BPM*ModData[TRUE]))</f>
        <v>0</v>
      </c>
    </row>
    <row r="18" spans="1:20" ht="24" customHeight="1" thickBot="1">
      <c r="A18" s="43" t="s">
        <v>50</v>
      </c>
      <c r="B18" s="22">
        <f>_xlfn.XLOOKUP($C$4,WeaponData[WEAPON],WeaponData[BLAST],0)</f>
        <v>0</v>
      </c>
      <c r="C18" s="33"/>
      <c r="D18" s="96" t="s">
        <v>51</v>
      </c>
      <c r="E18" s="97"/>
      <c r="F18" s="97"/>
      <c r="G18" s="97"/>
      <c r="H18" s="97"/>
      <c r="I18" s="97"/>
      <c r="J18" s="97"/>
      <c r="K18" s="97"/>
      <c r="L18" s="97"/>
      <c r="M18" s="97"/>
      <c r="N18" s="97"/>
      <c r="O18" s="97"/>
      <c r="P18" s="97"/>
      <c r="Q18" s="114"/>
      <c r="S18" s="74" t="s">
        <v>50</v>
      </c>
      <c r="T18" s="78" cm="1">
        <f t="array" ref="T18">_xlfn.LET(_xlpm.BPM,ROUND(ROUND((B18+LichData[BLAST]+($B$5*ModData[BLAST]))/$B$4,0)*$B$4,3)*ArmorData[BLAST],_xlpm.BPM+(_xlpm.BPM*ModData[TRUE]))</f>
        <v>0</v>
      </c>
    </row>
    <row r="19" spans="1:20" ht="24" customHeight="1" thickBot="1">
      <c r="A19" s="43" t="s">
        <v>52</v>
      </c>
      <c r="B19" s="22">
        <f>_xlfn.XLOOKUP($C$4,WeaponData[WEAPON],WeaponData[RAD],0)</f>
        <v>760</v>
      </c>
      <c r="C19" s="33"/>
      <c r="D19" s="24" t="s">
        <v>23</v>
      </c>
      <c r="E19" s="25" t="s">
        <v>24</v>
      </c>
      <c r="F19" s="25" t="s">
        <v>25</v>
      </c>
      <c r="G19" s="25" t="s">
        <v>26</v>
      </c>
      <c r="H19" s="25" t="s">
        <v>27</v>
      </c>
      <c r="I19" s="25" t="s">
        <v>28</v>
      </c>
      <c r="J19" s="25" t="s">
        <v>29</v>
      </c>
      <c r="K19" s="25" t="s">
        <v>30</v>
      </c>
      <c r="L19" s="25" t="s">
        <v>31</v>
      </c>
      <c r="M19" s="25" t="s">
        <v>32</v>
      </c>
      <c r="N19" s="25" t="s">
        <v>16</v>
      </c>
      <c r="O19" s="25" t="s">
        <v>33</v>
      </c>
      <c r="P19" s="25" t="s">
        <v>34</v>
      </c>
      <c r="Q19" s="26" t="s">
        <v>35</v>
      </c>
      <c r="S19" s="74" t="s">
        <v>52</v>
      </c>
      <c r="T19" s="78" cm="1">
        <f t="array" ref="T19">_xlfn.LET(_xlpm.BPM,ROUND(ROUND((B19+LichData[RAD]+($B$5*ModData[RAD]))/$B$4,0)*$B$4,3)*ArmorData[RAD],_xlpm.BPM+(_xlpm.BPM*ModData[TRUE]))</f>
        <v>195.81856999999997</v>
      </c>
    </row>
    <row r="20" spans="1:20" ht="24" customHeight="1" thickBot="1">
      <c r="A20" s="43" t="s">
        <v>53</v>
      </c>
      <c r="B20" s="22">
        <f>_xlfn.XLOOKUP($C$4,WeaponData[WEAPON],WeaponData[GAS],0)</f>
        <v>0</v>
      </c>
      <c r="C20" s="33"/>
      <c r="D20" s="34" cm="1">
        <f t="array" ref="D20">(1-0.9*SQRT($M$4/2700))*(EnemyData[IMPACT])</f>
        <v>0.14999999999999997</v>
      </c>
      <c r="E20" s="35" cm="1">
        <f t="array" ref="E20">(1-0.9*SQRT($M$4/2700))*(EnemyData[PUNC])</f>
        <v>9.9999999999999978E-2</v>
      </c>
      <c r="F20" s="35" cm="1">
        <f t="array" ref="F20">(1-0.9*SQRT($M$4/2700))*(EnemyData[SLASH])</f>
        <v>9.9999999999999978E-2</v>
      </c>
      <c r="G20" s="35" cm="1">
        <f t="array" ref="G20">(1-0.9*SQRT($M$4/2700))*(EnemyData[HEAT])</f>
        <v>9.9999999999999978E-2</v>
      </c>
      <c r="H20" s="35" cm="1">
        <f t="array" ref="H20">(1-0.9*SQRT($M$4/2700))*(EnemyData[COLD])</f>
        <v>9.9999999999999978E-2</v>
      </c>
      <c r="I20" s="35" cm="1">
        <f t="array" ref="I20">(1-0.9*SQRT($M$4/2700))*(EnemyData[ELEC])</f>
        <v>9.9999999999999978E-2</v>
      </c>
      <c r="J20" s="35" cm="1">
        <f t="array" ref="J20">(1-0.9*SQRT($M$4/2700))*(EnemyData[TOXIN])</f>
        <v>9.9999999999999978E-2</v>
      </c>
      <c r="K20" s="35" cm="1">
        <f t="array" ref="K20">(1-0.9*SQRT($M$4/2700))*(EnemyData[BLAST])</f>
        <v>9.9999999999999978E-2</v>
      </c>
      <c r="L20" s="35" cm="1">
        <f t="array" ref="L20">(1-0.9*SQRT($M$4/2700))*(EnemyData[RAD])</f>
        <v>9.9999999999999978E-2</v>
      </c>
      <c r="M20" s="35" cm="1">
        <f t="array" ref="M20">(1-0.9*SQRT($M$4/2700))*(EnemyData[GAS])</f>
        <v>9.9999999999999978E-2</v>
      </c>
      <c r="N20" s="35" cm="1">
        <f t="array" ref="N20">(1-0.9*SQRT($M$4/2700))*(EnemyData[MAG])</f>
        <v>9.9999999999999978E-2</v>
      </c>
      <c r="O20" s="35" cm="1">
        <f t="array" ref="O20">(1-0.9*SQRT($M$4/2700))*(EnemyData[VIRAL])</f>
        <v>9.9999999999999978E-2</v>
      </c>
      <c r="P20" s="35" cm="1">
        <f t="array" ref="P20">(1-0.9*SQRT($M$4/2700))*(EnemyData[CORR])</f>
        <v>0.14999999999999997</v>
      </c>
      <c r="Q20" s="36" cm="1">
        <f t="array" ref="Q20">(1-0.9*SQRT($M$4/2700))*(EnemyData[VOID])</f>
        <v>9.9999999999999978E-2</v>
      </c>
      <c r="S20" s="74" t="s">
        <v>53</v>
      </c>
      <c r="T20" s="78" cm="1">
        <f t="array" ref="T20">_xlfn.LET(_xlpm.BPM,ROUND(ROUND((B20+LichData[GAS]+($B$5*ModData[GAS]))/$B$4,0)*$B$4,3)*ArmorData[GAS],_xlpm.BPM+(_xlpm.BPM*ModData[TRUE]))</f>
        <v>0</v>
      </c>
    </row>
    <row r="21" spans="1:20" ht="24" customHeight="1" thickBot="1">
      <c r="A21" s="43" t="s">
        <v>54</v>
      </c>
      <c r="B21" s="22">
        <f>_xlfn.XLOOKUP($C$4,WeaponData[WEAPON],WeaponData[MAG],0)</f>
        <v>0</v>
      </c>
      <c r="C21" s="88"/>
      <c r="D21" s="89"/>
      <c r="E21" s="89"/>
      <c r="F21" s="89"/>
      <c r="G21" s="89"/>
      <c r="H21" s="89"/>
      <c r="I21" s="89"/>
      <c r="J21" s="89"/>
      <c r="K21" s="89"/>
      <c r="L21" s="89"/>
      <c r="M21" s="89"/>
      <c r="N21" s="89"/>
      <c r="O21" s="89"/>
      <c r="P21" s="89"/>
      <c r="R21" s="90"/>
      <c r="S21" s="74" t="s">
        <v>54</v>
      </c>
      <c r="T21" s="78" cm="1">
        <f t="array" ref="T21">_xlfn.LET(_xlpm.BPM,ROUND(ROUND((B21+LichData[MAG]+($B$5*ModData[MAG]))/$B$4,0)*$B$4,3)*ArmorData[MAG],_xlpm.BPM+(_xlpm.BPM*ModData[TRUE]))</f>
        <v>1155.3287149999996</v>
      </c>
    </row>
    <row r="22" spans="1:20" ht="24" customHeight="1" thickBot="1">
      <c r="A22" s="43" t="s">
        <v>55</v>
      </c>
      <c r="B22" s="22">
        <f>_xlfn.XLOOKUP($C$4,WeaponData[WEAPON],WeaponData[VIRAL],0)</f>
        <v>0</v>
      </c>
      <c r="C22" s="96" t="s">
        <v>56</v>
      </c>
      <c r="D22" s="97"/>
      <c r="E22" s="97"/>
      <c r="F22" s="97"/>
      <c r="G22" s="97"/>
      <c r="H22" s="97"/>
      <c r="I22" s="97"/>
      <c r="J22" s="97"/>
      <c r="K22" s="97"/>
      <c r="L22" s="97"/>
      <c r="M22" s="97"/>
      <c r="N22" s="97"/>
      <c r="O22" s="97"/>
      <c r="P22" s="97"/>
      <c r="Q22" s="97"/>
      <c r="R22" s="97"/>
      <c r="S22" s="74" t="s">
        <v>55</v>
      </c>
      <c r="T22" s="78" cm="1">
        <f t="array" ref="T22">_xlfn.LET(_xlpm.BPM,ROUND(ROUND((B22+LichData[VIRAL]+($B$5*ModData[VIRAL]))/$B$4,0)*$B$4,3)*ArmorData[VIRAL],_xlpm.BPM+(_xlpm.BPM*ModData[TRUE]))</f>
        <v>0</v>
      </c>
    </row>
    <row r="23" spans="1:20" ht="24" customHeight="1" thickBot="1">
      <c r="A23" s="43" t="s">
        <v>57</v>
      </c>
      <c r="B23" s="22">
        <f>_xlfn.XLOOKUP($C$4,WeaponData[WEAPON],WeaponData[CORR],0)</f>
        <v>0</v>
      </c>
      <c r="C23" s="24" t="s">
        <v>23</v>
      </c>
      <c r="D23" s="25" t="s">
        <v>24</v>
      </c>
      <c r="E23" s="25" t="s">
        <v>25</v>
      </c>
      <c r="F23" s="25" t="s">
        <v>26</v>
      </c>
      <c r="G23" s="25" t="s">
        <v>27</v>
      </c>
      <c r="H23" s="25" t="s">
        <v>28</v>
      </c>
      <c r="I23" s="25" t="s">
        <v>29</v>
      </c>
      <c r="J23" s="25" t="s">
        <v>30</v>
      </c>
      <c r="K23" s="25" t="s">
        <v>31</v>
      </c>
      <c r="L23" s="25" t="s">
        <v>32</v>
      </c>
      <c r="M23" s="25" t="s">
        <v>16</v>
      </c>
      <c r="N23" s="25" t="s">
        <v>33</v>
      </c>
      <c r="O23" s="25" t="s">
        <v>34</v>
      </c>
      <c r="P23" s="25" t="s">
        <v>35</v>
      </c>
      <c r="Q23" s="25" t="s">
        <v>58</v>
      </c>
      <c r="R23" s="25" t="s">
        <v>37</v>
      </c>
      <c r="S23" s="74" t="s">
        <v>57</v>
      </c>
      <c r="T23" s="78" cm="1">
        <f t="array" ref="T23">_xlfn.LET(_xlpm.BPM,ROUND(ROUND((B23+LichData[CORR]+($B$5*ModData[CORR]))/$B$4,0)*$B$4,3)*ArmorData[CORR],_xlpm.BPM+(_xlpm.BPM*ModData[TRUE]))</f>
        <v>0</v>
      </c>
    </row>
    <row r="24" spans="1:20" ht="24" customHeight="1" thickBot="1">
      <c r="A24" s="43" t="s">
        <v>59</v>
      </c>
      <c r="B24" s="22">
        <f>_xlfn.XLOOKUP($C$4,WeaponData[WEAPON],WeaponData[VOID],0)</f>
        <v>0</v>
      </c>
      <c r="C24" s="37" cm="1">
        <f t="array" ref="C24">_xlfn.LET(_xlpm.BPM,ROUND((B11+LichData[IMPACT])*(1+ModData[IMPACT])/B4,4)*B4,_xlpm.BPM+(_xlpm.BPM*ModData[TRUE]))</f>
        <v>0</v>
      </c>
      <c r="D24" s="38" cm="1">
        <f t="array" ref="D24">_xlfn.LET(_xlpm.BPM,ROUND((B12+LichData[PUNC])*(1+ModData[PUNC])/B4,4)*B4,_xlpm.BPM+(_xlpm.BPM*ModData[TRUE]))</f>
        <v>0</v>
      </c>
      <c r="E24" s="38" cm="1">
        <f t="array" ref="E24">_xlfn.LET(_xlpm.BPM,ROUND((B13+LichData[SLASH])*(1+ModData[SLASH])/B4,4)*B4,_xlpm.BPM+(_xlpm.BPM*ModData[TRUE]))</f>
        <v>0</v>
      </c>
      <c r="F24" s="38" cm="1">
        <f t="array" ref="F24">_xlfn.LET(_xlpm.DMG,ROUND((B14+LichData[HEAT]+($B$5*ModData[HEAT]))/$B$4,4)*$B$4,_xlpm.DMG+(_xlpm.DMG*ModData[TRUE]))</f>
        <v>0</v>
      </c>
      <c r="G24" s="38" cm="1">
        <f t="array" ref="G24">_xlfn.LET(_xlpm.DMG,ROUND((B15+LichData[COLD]+($B$5*ModData[COLD]))/$B$4,4)*$B$4,_xlpm.DMG+(_xlpm.DMG*ModData[TRUE]))</f>
        <v>0</v>
      </c>
      <c r="H24" s="38" cm="1">
        <f t="array" ref="H24">_xlfn.LET(_xlpm.DMG,ROUND((B16+LichData[ELEC]+($B$5*ModData[ELEC]))/$B$4,4)*$B$4,_xlpm.DMG+(_xlpm.DMG*ModData[TRUE]))</f>
        <v>0</v>
      </c>
      <c r="I24" s="38" cm="1">
        <f t="array" ref="I24">_xlfn.LET(_xlpm.DMG,ROUND((B17+LichData[TOXIN]+($B$5*ModData[TOXIN]))/$B$4,4)*$B$4,_xlpm.DMG+(_xlpm.DMG*ModData[TRUE]))</f>
        <v>0</v>
      </c>
      <c r="J24" s="38" cm="1">
        <f t="array" ref="J24">_xlfn.LET(_xlpm.DMG,ROUND((B18+LichData[BLAST]+($B$5*ModData[BLAST]))/$B$4,4)*$B$4,_xlpm.DMG+(_xlpm.DMG*ModData[TRUE]))</f>
        <v>0</v>
      </c>
      <c r="K24" s="38" cm="1">
        <f t="array" ref="K24">_xlfn.LET(_xlpm.DMG,ROUND((B19+LichData[RAD]+($B$5*ModData[RAD]))/$B$4,4)*$B$4,_xlpm.DMG+(_xlpm.DMG*ModData[TRUE]))</f>
        <v>2013.9926296874999</v>
      </c>
      <c r="L24" s="38" cm="1">
        <f t="array" ref="L24">_xlfn.LET(_xlpm.DMG,ROUND((B20+LichData[GAS]+($B$5*ModData[GAS]))/$B$4,4)*$B$4,_xlpm.DMG+(_xlpm.DMG*ModData[TRUE]))</f>
        <v>0</v>
      </c>
      <c r="M24" s="38" cm="1">
        <f t="array" ref="M24">_xlfn.LET(_xlpm.DMG,ROUND((B21+LichData[MAG]+($B$5*ModData[MAG]))/$B$4,3)*$B$4,_xlpm.DMG+(_xlpm.DMG*ModData[TRUE]))</f>
        <v>11458.315870312499</v>
      </c>
      <c r="N24" s="38" cm="1">
        <f t="array" ref="N24">_xlfn.LET(_xlpm.DMG,ROUND((B22+LichData[VIRAL]+($B$5*ModData[VIRAL]))/$B$4,4)*$B$4,_xlpm.DMG+(_xlpm.DMG*ModData[TRUE]))</f>
        <v>0</v>
      </c>
      <c r="O24" s="38" cm="1">
        <f t="array" ref="O24">_xlfn.LET(_xlpm.DMG,ROUND((B23+LichData[CORR]+($B$5*ModData[CORR]))/$B$4,4)*$B$4,_xlpm.DMG+(_xlpm.DMG*ModData[TRUE]))</f>
        <v>0</v>
      </c>
      <c r="P24" s="38" cm="1">
        <f t="array" ref="P24">_xlfn.LET(_xlpm.DMG,ROUND((B24+LichData[VOID]+($B$5*ModData[VOID]))/$B$4,4)*$B$4,_xlpm.DMG+(_xlpm.DMG*ModData[TRUE]))</f>
        <v>0</v>
      </c>
      <c r="Q24" s="38">
        <f>SUM(HUDFinal[[#This Row],[IMPACT]:[VOID]])*B7</f>
        <v>13472.308499999999</v>
      </c>
      <c r="R24" s="82" cm="1">
        <f t="array" ref="R24">IF(ModData[BANE]&gt;0,HUDFinal[[#This Row],[DMG]]*ModData[BANE],HUDFinal[[#This Row],[DMG]])</f>
        <v>13472.308499999999</v>
      </c>
      <c r="S24" s="79" t="s">
        <v>59</v>
      </c>
      <c r="T24" s="80" cm="1">
        <f t="array" ref="T24">_xlfn.LET(_xlpm.BPM,ROUND(ROUND((B24+LichData[VOID]+($B$5*ModData[VOID]))/$B$4,0)*$B$4,3)*ArmorData[VOID],_xlpm.BPM+(_xlpm.BPM*ModData[TRUE]))</f>
        <v>0</v>
      </c>
    </row>
    <row r="25" spans="1:20" ht="52.9" customHeight="1" thickBot="1">
      <c r="A25" s="133" t="s">
        <v>60</v>
      </c>
      <c r="B25" s="134"/>
      <c r="C25" s="134"/>
      <c r="D25" s="134"/>
      <c r="E25" s="134"/>
      <c r="F25" s="134"/>
      <c r="G25" s="134"/>
      <c r="H25" s="134"/>
      <c r="I25" s="134"/>
      <c r="J25" s="134"/>
      <c r="K25" s="134"/>
      <c r="L25" s="134"/>
      <c r="M25" s="134"/>
      <c r="N25" s="134"/>
      <c r="O25" s="134"/>
      <c r="P25" s="134"/>
      <c r="Q25" s="134"/>
      <c r="R25" s="134"/>
      <c r="S25" s="135"/>
      <c r="T25" s="136"/>
    </row>
    <row r="26" spans="1:20" ht="19.149999999999999" customHeight="1">
      <c r="A26" s="123" t="s">
        <v>61</v>
      </c>
      <c r="B26" s="124"/>
      <c r="C26" s="124"/>
      <c r="D26" s="124"/>
      <c r="E26" s="124"/>
      <c r="F26" s="124"/>
      <c r="G26" s="124"/>
      <c r="H26" s="124"/>
      <c r="I26" s="124"/>
      <c r="J26" s="124"/>
      <c r="K26" s="124"/>
      <c r="L26" s="124"/>
      <c r="M26" s="124"/>
      <c r="N26" s="124"/>
      <c r="O26" s="124"/>
      <c r="P26" s="124"/>
      <c r="Q26" s="124"/>
      <c r="R26" s="124"/>
      <c r="S26" s="124"/>
      <c r="T26" s="125"/>
    </row>
    <row r="27" spans="1:20" ht="19.149999999999999" customHeight="1">
      <c r="A27" s="126"/>
      <c r="B27" s="127"/>
      <c r="C27" s="127"/>
      <c r="D27" s="127"/>
      <c r="E27" s="127"/>
      <c r="F27" s="127"/>
      <c r="G27" s="127"/>
      <c r="H27" s="127"/>
      <c r="I27" s="127"/>
      <c r="J27" s="127"/>
      <c r="K27" s="127"/>
      <c r="L27" s="127"/>
      <c r="M27" s="127"/>
      <c r="N27" s="127"/>
      <c r="O27" s="127"/>
      <c r="P27" s="127"/>
      <c r="Q27" s="127"/>
      <c r="R27" s="127"/>
      <c r="S27" s="127"/>
      <c r="T27" s="128"/>
    </row>
    <row r="28" spans="1:20" ht="19.149999999999999" customHeight="1">
      <c r="A28" s="126"/>
      <c r="B28" s="127"/>
      <c r="C28" s="127"/>
      <c r="D28" s="127"/>
      <c r="E28" s="127"/>
      <c r="F28" s="127"/>
      <c r="G28" s="127"/>
      <c r="H28" s="127"/>
      <c r="I28" s="127"/>
      <c r="J28" s="127"/>
      <c r="K28" s="127"/>
      <c r="L28" s="127"/>
      <c r="M28" s="127"/>
      <c r="N28" s="127"/>
      <c r="O28" s="127"/>
      <c r="P28" s="127"/>
      <c r="Q28" s="127"/>
      <c r="R28" s="127"/>
      <c r="S28" s="127"/>
      <c r="T28" s="128"/>
    </row>
    <row r="29" spans="1:20" ht="24" customHeight="1" thickBot="1">
      <c r="A29" s="129" t="s">
        <v>62</v>
      </c>
      <c r="B29" s="130"/>
      <c r="C29" s="130"/>
      <c r="D29" s="130"/>
      <c r="E29" s="130"/>
      <c r="F29" s="130"/>
      <c r="G29" s="130"/>
      <c r="H29" s="130"/>
      <c r="I29" s="130"/>
      <c r="J29" s="130"/>
      <c r="K29" s="130"/>
      <c r="L29" s="130"/>
      <c r="M29" s="130"/>
      <c r="N29" s="130"/>
      <c r="O29" s="130"/>
      <c r="P29" s="130"/>
      <c r="Q29" s="130"/>
      <c r="R29" s="130"/>
      <c r="S29" s="130"/>
      <c r="T29" s="131"/>
    </row>
    <row r="30" spans="1:20" ht="45" customHeight="1" thickBot="1">
      <c r="A30" s="98" t="s">
        <v>63</v>
      </c>
      <c r="B30" s="92"/>
      <c r="C30" s="92"/>
      <c r="D30" s="92"/>
      <c r="E30" s="92"/>
      <c r="F30" s="92"/>
      <c r="G30" s="92"/>
      <c r="H30" s="92"/>
      <c r="I30" s="92"/>
      <c r="J30" s="93"/>
      <c r="K30" s="91" t="s">
        <v>64</v>
      </c>
      <c r="L30" s="92"/>
      <c r="M30" s="92"/>
      <c r="N30" s="92"/>
      <c r="O30" s="92"/>
      <c r="P30" s="92"/>
      <c r="Q30" s="92"/>
      <c r="R30" s="92"/>
      <c r="S30" s="92"/>
      <c r="T30" s="132"/>
    </row>
    <row r="31" spans="1:20" ht="42" customHeight="1" thickBot="1">
      <c r="A31" s="44" t="s">
        <v>7</v>
      </c>
      <c r="B31" s="152" t="s">
        <v>65</v>
      </c>
      <c r="C31" s="152"/>
      <c r="D31" s="152"/>
      <c r="E31" s="152"/>
      <c r="F31" s="152"/>
      <c r="G31" s="152"/>
      <c r="H31" s="152"/>
      <c r="I31" s="152"/>
      <c r="J31" s="153"/>
      <c r="K31" s="99" t="s">
        <v>66</v>
      </c>
      <c r="L31" s="100"/>
      <c r="M31" s="100"/>
      <c r="N31" s="100"/>
      <c r="O31" s="100"/>
      <c r="P31" s="100"/>
      <c r="Q31" s="100"/>
      <c r="R31" s="100"/>
      <c r="S31" s="100"/>
      <c r="T31" s="101"/>
    </row>
    <row r="32" spans="1:20" ht="42" customHeight="1">
      <c r="A32" s="45" t="s">
        <v>8</v>
      </c>
      <c r="B32" s="140" t="s">
        <v>67</v>
      </c>
      <c r="C32" s="140"/>
      <c r="D32" s="140"/>
      <c r="E32" s="140"/>
      <c r="F32" s="140"/>
      <c r="G32" s="140"/>
      <c r="H32" s="140"/>
      <c r="I32" s="140"/>
      <c r="J32" s="141"/>
      <c r="K32" s="104" t="s">
        <v>68</v>
      </c>
      <c r="L32" s="105"/>
      <c r="M32" s="105"/>
      <c r="N32" s="105"/>
      <c r="O32" s="105"/>
      <c r="P32" s="105"/>
      <c r="Q32" s="105"/>
      <c r="R32" s="105"/>
      <c r="S32" s="105"/>
      <c r="T32" s="106"/>
    </row>
    <row r="33" spans="1:20" ht="42" customHeight="1" thickBot="1">
      <c r="A33" s="46" t="s">
        <v>9</v>
      </c>
      <c r="B33" s="142" t="s">
        <v>69</v>
      </c>
      <c r="C33" s="142"/>
      <c r="D33" s="142"/>
      <c r="E33" s="142"/>
      <c r="F33" s="142"/>
      <c r="G33" s="142"/>
      <c r="H33" s="142"/>
      <c r="I33" s="142"/>
      <c r="J33" s="143"/>
      <c r="K33" s="107"/>
      <c r="L33" s="108"/>
      <c r="M33" s="108"/>
      <c r="N33" s="108"/>
      <c r="O33" s="108"/>
      <c r="P33" s="108"/>
      <c r="Q33" s="108"/>
      <c r="R33" s="108"/>
      <c r="S33" s="108"/>
      <c r="T33" s="109"/>
    </row>
    <row r="34" spans="1:20" ht="42" customHeight="1" thickBot="1">
      <c r="A34" s="45" t="s">
        <v>10</v>
      </c>
      <c r="B34" s="140" t="s">
        <v>70</v>
      </c>
      <c r="C34" s="140"/>
      <c r="D34" s="140"/>
      <c r="E34" s="140"/>
      <c r="F34" s="140"/>
      <c r="G34" s="140"/>
      <c r="H34" s="140"/>
      <c r="I34" s="140"/>
      <c r="J34" s="141"/>
      <c r="K34" s="99" t="s">
        <v>71</v>
      </c>
      <c r="L34" s="100"/>
      <c r="M34" s="100"/>
      <c r="N34" s="100"/>
      <c r="O34" s="100"/>
      <c r="P34" s="100"/>
      <c r="Q34" s="100"/>
      <c r="R34" s="100"/>
      <c r="S34" s="100"/>
      <c r="T34" s="101"/>
    </row>
    <row r="35" spans="1:20" ht="42" customHeight="1">
      <c r="A35" s="46" t="s">
        <v>12</v>
      </c>
      <c r="B35" s="142" t="s">
        <v>72</v>
      </c>
      <c r="C35" s="142"/>
      <c r="D35" s="142"/>
      <c r="E35" s="142"/>
      <c r="F35" s="142"/>
      <c r="G35" s="142"/>
      <c r="H35" s="142"/>
      <c r="I35" s="142"/>
      <c r="J35" s="143"/>
      <c r="K35" s="104" t="s">
        <v>73</v>
      </c>
      <c r="L35" s="105"/>
      <c r="M35" s="105"/>
      <c r="N35" s="105"/>
      <c r="O35" s="105"/>
      <c r="P35" s="105"/>
      <c r="Q35" s="105"/>
      <c r="R35" s="105"/>
      <c r="S35" s="105"/>
      <c r="T35" s="106"/>
    </row>
    <row r="36" spans="1:20" ht="42" customHeight="1" thickBot="1">
      <c r="A36" s="45" t="s">
        <v>74</v>
      </c>
      <c r="B36" s="140" t="s">
        <v>75</v>
      </c>
      <c r="C36" s="140"/>
      <c r="D36" s="140"/>
      <c r="E36" s="140"/>
      <c r="F36" s="140"/>
      <c r="G36" s="140"/>
      <c r="H36" s="140"/>
      <c r="I36" s="140"/>
      <c r="J36" s="141"/>
      <c r="K36" s="107"/>
      <c r="L36" s="108"/>
      <c r="M36" s="108"/>
      <c r="N36" s="108"/>
      <c r="O36" s="108"/>
      <c r="P36" s="108"/>
      <c r="Q36" s="108"/>
      <c r="R36" s="108"/>
      <c r="S36" s="108"/>
      <c r="T36" s="109"/>
    </row>
    <row r="37" spans="1:20" ht="42" customHeight="1" thickBot="1">
      <c r="A37" s="46" t="s">
        <v>76</v>
      </c>
      <c r="B37" s="142" t="s">
        <v>77</v>
      </c>
      <c r="C37" s="142"/>
      <c r="D37" s="142"/>
      <c r="E37" s="142"/>
      <c r="F37" s="142"/>
      <c r="G37" s="142"/>
      <c r="H37" s="142"/>
      <c r="I37" s="142"/>
      <c r="J37" s="143"/>
      <c r="K37" s="99" t="s">
        <v>78</v>
      </c>
      <c r="L37" s="100"/>
      <c r="M37" s="100"/>
      <c r="N37" s="100"/>
      <c r="O37" s="100"/>
      <c r="P37" s="100"/>
      <c r="Q37" s="100"/>
      <c r="R37" s="100"/>
      <c r="S37" s="100"/>
      <c r="T37" s="101"/>
    </row>
    <row r="38" spans="1:20" ht="42" customHeight="1">
      <c r="A38" s="45" t="s">
        <v>79</v>
      </c>
      <c r="B38" s="140" t="s">
        <v>80</v>
      </c>
      <c r="C38" s="140"/>
      <c r="D38" s="140"/>
      <c r="E38" s="140"/>
      <c r="F38" s="140"/>
      <c r="G38" s="140"/>
      <c r="H38" s="140"/>
      <c r="I38" s="140"/>
      <c r="J38" s="141"/>
      <c r="K38" s="104" t="s">
        <v>81</v>
      </c>
      <c r="L38" s="105"/>
      <c r="M38" s="105"/>
      <c r="N38" s="105"/>
      <c r="O38" s="105"/>
      <c r="P38" s="105"/>
      <c r="Q38" s="105"/>
      <c r="R38" s="105"/>
      <c r="S38" s="105"/>
      <c r="T38" s="106"/>
    </row>
    <row r="39" spans="1:20" ht="42" customHeight="1" thickBot="1">
      <c r="A39" s="47" t="s">
        <v>82</v>
      </c>
      <c r="B39" s="121" t="s">
        <v>83</v>
      </c>
      <c r="C39" s="121"/>
      <c r="D39" s="121"/>
      <c r="E39" s="121"/>
      <c r="F39" s="121"/>
      <c r="G39" s="121"/>
      <c r="H39" s="121"/>
      <c r="I39" s="121"/>
      <c r="J39" s="122"/>
      <c r="K39" s="107"/>
      <c r="L39" s="108"/>
      <c r="M39" s="108"/>
      <c r="N39" s="108"/>
      <c r="O39" s="108"/>
      <c r="P39" s="108"/>
      <c r="Q39" s="108"/>
      <c r="R39" s="108"/>
      <c r="S39" s="108"/>
      <c r="T39" s="109"/>
    </row>
    <row r="40" spans="1:20" ht="42" customHeight="1" thickBot="1">
      <c r="A40" s="144" t="s">
        <v>84</v>
      </c>
      <c r="B40" s="100"/>
      <c r="C40" s="100"/>
      <c r="D40" s="100"/>
      <c r="E40" s="100"/>
      <c r="F40" s="100"/>
      <c r="G40" s="100"/>
      <c r="H40" s="100"/>
      <c r="I40" s="100"/>
      <c r="J40" s="145"/>
      <c r="K40" s="99" t="s">
        <v>71</v>
      </c>
      <c r="L40" s="100"/>
      <c r="M40" s="100"/>
      <c r="N40" s="100"/>
      <c r="O40" s="100"/>
      <c r="P40" s="100"/>
      <c r="Q40" s="100"/>
      <c r="R40" s="100"/>
      <c r="S40" s="100"/>
      <c r="T40" s="101"/>
    </row>
    <row r="41" spans="1:20" ht="42" customHeight="1">
      <c r="A41" s="146" t="s">
        <v>85</v>
      </c>
      <c r="B41" s="105"/>
      <c r="C41" s="105"/>
      <c r="D41" s="105"/>
      <c r="E41" s="105"/>
      <c r="F41" s="105"/>
      <c r="G41" s="105"/>
      <c r="H41" s="105"/>
      <c r="I41" s="105"/>
      <c r="J41" s="147"/>
      <c r="K41" s="104" t="s">
        <v>86</v>
      </c>
      <c r="L41" s="105"/>
      <c r="M41" s="105"/>
      <c r="N41" s="105"/>
      <c r="O41" s="105"/>
      <c r="P41" s="105"/>
      <c r="Q41" s="105"/>
      <c r="R41" s="105"/>
      <c r="S41" s="105"/>
      <c r="T41" s="106"/>
    </row>
    <row r="42" spans="1:20" ht="42" customHeight="1">
      <c r="A42" s="148"/>
      <c r="B42" s="108"/>
      <c r="C42" s="108"/>
      <c r="D42" s="108"/>
      <c r="E42" s="108"/>
      <c r="F42" s="108"/>
      <c r="G42" s="108"/>
      <c r="H42" s="108"/>
      <c r="I42" s="108"/>
      <c r="J42" s="149"/>
      <c r="K42" s="107"/>
      <c r="L42" s="108"/>
      <c r="M42" s="108"/>
      <c r="N42" s="108"/>
      <c r="O42" s="108"/>
      <c r="P42" s="108"/>
      <c r="Q42" s="108"/>
      <c r="R42" s="108"/>
      <c r="S42" s="108"/>
      <c r="T42" s="109"/>
    </row>
    <row r="43" spans="1:20" ht="42" customHeight="1" thickBot="1">
      <c r="A43" s="150"/>
      <c r="B43" s="116"/>
      <c r="C43" s="116"/>
      <c r="D43" s="116"/>
      <c r="E43" s="116"/>
      <c r="F43" s="116"/>
      <c r="G43" s="116"/>
      <c r="H43" s="116"/>
      <c r="I43" s="116"/>
      <c r="J43" s="151"/>
      <c r="K43" s="115"/>
      <c r="L43" s="116"/>
      <c r="M43" s="116"/>
      <c r="N43" s="116"/>
      <c r="O43" s="116"/>
      <c r="P43" s="116"/>
      <c r="Q43" s="116"/>
      <c r="R43" s="116"/>
      <c r="S43" s="116"/>
      <c r="T43" s="117"/>
    </row>
    <row r="44" spans="1:20" ht="39" customHeight="1" thickTop="1"/>
    <row r="45" spans="1:20" ht="39" customHeight="1"/>
    <row r="46" spans="1:20" ht="39" customHeight="1"/>
    <row r="47" spans="1:20" ht="39" customHeight="1"/>
    <row r="48" spans="1:20" ht="39"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row r="134" ht="24" customHeight="1"/>
    <row r="135" ht="24" customHeight="1"/>
    <row r="136" ht="24" customHeight="1"/>
    <row r="137" ht="24" customHeight="1"/>
    <row r="138" ht="24" customHeight="1"/>
    <row r="139" ht="24" customHeight="1"/>
    <row r="140" ht="24" customHeight="1"/>
    <row r="141" ht="24" customHeight="1"/>
    <row r="142" ht="24" customHeight="1"/>
    <row r="143" ht="24" customHeight="1"/>
    <row r="144" ht="24" customHeight="1"/>
    <row r="145" ht="24" customHeight="1"/>
    <row r="146" ht="24" customHeight="1"/>
    <row r="147" ht="24" customHeight="1"/>
    <row r="148" ht="24" customHeight="1"/>
    <row r="149" ht="24" customHeight="1"/>
    <row r="150" ht="24" customHeight="1"/>
    <row r="151" ht="24" customHeight="1"/>
    <row r="152" ht="24" customHeight="1"/>
    <row r="153" ht="24" customHeight="1"/>
    <row r="154" ht="24" customHeight="1"/>
    <row r="155" ht="24" customHeight="1"/>
    <row r="156" ht="24" customHeight="1"/>
    <row r="157" ht="24" customHeight="1"/>
    <row r="158" ht="24" customHeight="1"/>
    <row r="159" ht="24" customHeight="1"/>
    <row r="160" ht="24" customHeight="1"/>
    <row r="161" ht="24" customHeight="1"/>
    <row r="162" ht="24" customHeight="1"/>
    <row r="163" ht="24" customHeight="1"/>
    <row r="164" ht="24" customHeight="1"/>
    <row r="165" ht="24" customHeight="1"/>
    <row r="166" ht="24" customHeight="1"/>
    <row r="167" ht="24" customHeight="1"/>
    <row r="168" ht="24" customHeight="1"/>
    <row r="169" ht="24" customHeight="1"/>
    <row r="170" ht="24" customHeight="1"/>
    <row r="171" ht="24" customHeight="1"/>
    <row r="172" ht="24" customHeight="1"/>
    <row r="173" ht="24" customHeight="1"/>
    <row r="174" ht="24" customHeight="1"/>
    <row r="175" ht="24" customHeight="1"/>
    <row r="176" ht="24" customHeight="1"/>
    <row r="177" ht="24" customHeight="1"/>
    <row r="178" ht="24" customHeight="1"/>
    <row r="179" ht="24" customHeight="1"/>
    <row r="180" ht="24" customHeight="1"/>
    <row r="181" ht="24" customHeight="1"/>
    <row r="182" ht="24" customHeight="1"/>
    <row r="183" ht="24" customHeight="1"/>
    <row r="184" ht="24" customHeight="1"/>
    <row r="185" ht="24" customHeight="1"/>
    <row r="186" ht="24" customHeight="1"/>
    <row r="187" ht="24" customHeight="1"/>
    <row r="188" ht="24" customHeight="1"/>
    <row r="189" ht="24" customHeight="1"/>
    <row r="190" ht="24" customHeight="1"/>
    <row r="191" ht="24" customHeight="1"/>
    <row r="192" ht="24" customHeight="1"/>
    <row r="193" ht="24" customHeight="1"/>
    <row r="194" ht="24" customHeight="1"/>
    <row r="195" ht="24" customHeight="1"/>
    <row r="196" ht="24" customHeight="1"/>
    <row r="197" ht="24" customHeight="1"/>
    <row r="198" ht="24" customHeight="1"/>
    <row r="199" ht="24" customHeight="1"/>
    <row r="200" ht="24" customHeight="1"/>
    <row r="201" ht="24" customHeight="1"/>
    <row r="202" ht="24" customHeight="1"/>
    <row r="203" ht="24" customHeight="1"/>
    <row r="204" ht="24" customHeight="1"/>
    <row r="205" ht="24" customHeight="1"/>
    <row r="206" ht="24" customHeight="1"/>
    <row r="207" ht="24" customHeight="1"/>
    <row r="208" ht="24" customHeight="1"/>
    <row r="209" ht="24" customHeight="1"/>
    <row r="210" ht="24" customHeight="1"/>
    <row r="211" ht="24" customHeight="1"/>
    <row r="212" ht="24" customHeight="1"/>
    <row r="213" ht="24" customHeight="1"/>
    <row r="214" ht="24" customHeight="1"/>
    <row r="215" ht="24" customHeight="1"/>
    <row r="216" ht="24" customHeight="1"/>
    <row r="217" ht="24" customHeight="1"/>
    <row r="218" ht="24" customHeight="1"/>
    <row r="219" ht="24" customHeight="1"/>
    <row r="220" ht="24" customHeight="1"/>
    <row r="221" ht="24" customHeight="1"/>
    <row r="222" ht="24" customHeight="1"/>
    <row r="223" ht="24" customHeight="1"/>
    <row r="224" ht="24" customHeight="1"/>
    <row r="225" ht="24" customHeight="1"/>
    <row r="226" ht="24" customHeight="1"/>
    <row r="227" ht="24" customHeight="1"/>
    <row r="228" ht="24" customHeight="1"/>
    <row r="229" ht="24" customHeight="1"/>
    <row r="230" ht="24" customHeight="1"/>
    <row r="231" ht="24" customHeight="1"/>
    <row r="232" ht="24" customHeight="1"/>
    <row r="233" ht="24" customHeight="1"/>
    <row r="234" ht="24" customHeight="1"/>
    <row r="235" ht="24" customHeight="1"/>
    <row r="236" ht="24" customHeight="1"/>
    <row r="237" ht="24" customHeight="1"/>
    <row r="238" ht="24" customHeight="1"/>
    <row r="239" ht="24" customHeight="1"/>
    <row r="240" ht="24" customHeight="1"/>
    <row r="241" ht="24" customHeight="1"/>
    <row r="242" ht="24" customHeight="1"/>
    <row r="243" ht="24" customHeight="1"/>
    <row r="244" ht="24" customHeight="1"/>
    <row r="245" ht="24" customHeight="1"/>
    <row r="246" ht="24" customHeight="1"/>
    <row r="247" ht="24" customHeight="1"/>
    <row r="248" ht="24" customHeight="1"/>
    <row r="249" ht="24" customHeight="1"/>
    <row r="250" ht="24" customHeight="1"/>
    <row r="251" ht="24" customHeight="1"/>
    <row r="252" ht="24" customHeight="1"/>
    <row r="253" ht="24" customHeight="1"/>
    <row r="254" ht="24" customHeight="1"/>
    <row r="255" ht="24" customHeight="1"/>
    <row r="256" ht="24" customHeight="1"/>
    <row r="257" ht="24" customHeight="1"/>
    <row r="258" ht="24" customHeight="1"/>
    <row r="259" ht="24" customHeight="1"/>
    <row r="260" ht="24" customHeight="1"/>
    <row r="261" ht="24" customHeight="1"/>
    <row r="262" ht="24" customHeight="1"/>
    <row r="263" ht="24" customHeight="1"/>
    <row r="264" ht="24" customHeight="1"/>
    <row r="265" ht="24" customHeight="1"/>
    <row r="266" ht="24" customHeight="1"/>
    <row r="267" ht="24" customHeight="1"/>
    <row r="268" ht="24" customHeight="1"/>
    <row r="269" ht="24" customHeight="1"/>
  </sheetData>
  <mergeCells count="48">
    <mergeCell ref="B37:J37"/>
    <mergeCell ref="B38:J38"/>
    <mergeCell ref="A40:J40"/>
    <mergeCell ref="A41:J43"/>
    <mergeCell ref="B31:J31"/>
    <mergeCell ref="B32:J32"/>
    <mergeCell ref="B33:J33"/>
    <mergeCell ref="B34:J34"/>
    <mergeCell ref="B35:J35"/>
    <mergeCell ref="C22:R22"/>
    <mergeCell ref="K35:T36"/>
    <mergeCell ref="K3:L3"/>
    <mergeCell ref="K4:L4"/>
    <mergeCell ref="Q3:R3"/>
    <mergeCell ref="Q4:R4"/>
    <mergeCell ref="B36:J36"/>
    <mergeCell ref="K41:T43"/>
    <mergeCell ref="A1:S1"/>
    <mergeCell ref="K34:T34"/>
    <mergeCell ref="K37:T37"/>
    <mergeCell ref="B39:J39"/>
    <mergeCell ref="A26:T28"/>
    <mergeCell ref="A29:T29"/>
    <mergeCell ref="A30:J30"/>
    <mergeCell ref="K30:T30"/>
    <mergeCell ref="D18:Q18"/>
    <mergeCell ref="D10:Q10"/>
    <mergeCell ref="K2:R2"/>
    <mergeCell ref="G3:H3"/>
    <mergeCell ref="G4:H4"/>
    <mergeCell ref="A25:T25"/>
    <mergeCell ref="C3:F3"/>
    <mergeCell ref="C2:J2"/>
    <mergeCell ref="S2:T2"/>
    <mergeCell ref="C6:R6"/>
    <mergeCell ref="A2:B2"/>
    <mergeCell ref="K40:T40"/>
    <mergeCell ref="C4:F4"/>
    <mergeCell ref="K38:T39"/>
    <mergeCell ref="K31:T31"/>
    <mergeCell ref="K32:T33"/>
    <mergeCell ref="O3:P3"/>
    <mergeCell ref="O4:P4"/>
    <mergeCell ref="M3:N3"/>
    <mergeCell ref="M4:N4"/>
    <mergeCell ref="I3:J3"/>
    <mergeCell ref="I4:J4"/>
    <mergeCell ref="D14:Q14"/>
  </mergeCells>
  <pageMargins left="0.7" right="0.7" top="0.75" bottom="0.75" header="0.3" footer="0.3"/>
  <pageSetup orientation="portrait" r:id="rId1"/>
  <tableParts count="7">
    <tablePart r:id="rId2"/>
    <tablePart r:id="rId3"/>
    <tablePart r:id="rId4"/>
    <tablePart r:id="rId5"/>
    <tablePart r:id="rId6"/>
    <tablePart r:id="rId7"/>
    <tablePart r:id="rId8"/>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E7E93-3EBB-4074-B47B-ABA8109F867F}">
  <dimension ref="A1:U929"/>
  <sheetViews>
    <sheetView topLeftCell="A34" workbookViewId="0">
      <selection activeCell="Q365" sqref="Q365"/>
    </sheetView>
  </sheetViews>
  <sheetFormatPr defaultRowHeight="14.45"/>
  <cols>
    <col min="1" max="1" width="21.85546875" bestFit="1" customWidth="1"/>
    <col min="2" max="2" width="12.140625" bestFit="1" customWidth="1"/>
    <col min="3" max="3" width="15.42578125" bestFit="1" customWidth="1"/>
    <col min="4" max="4" width="12.7109375" bestFit="1" customWidth="1"/>
    <col min="5" max="5" width="13.42578125" bestFit="1" customWidth="1"/>
    <col min="6" max="7" width="12.28515625" bestFit="1" customWidth="1"/>
    <col min="8" max="8" width="11.28515625" bestFit="1" customWidth="1"/>
    <col min="9" max="9" width="13.5703125" bestFit="1" customWidth="1"/>
    <col min="10" max="10" width="13.28515625" bestFit="1" customWidth="1"/>
    <col min="11" max="11" width="11" bestFit="1" customWidth="1"/>
    <col min="12" max="12" width="10.7109375" bestFit="1" customWidth="1"/>
    <col min="13" max="13" width="12" bestFit="1" customWidth="1"/>
    <col min="14" max="14" width="12.85546875" bestFit="1" customWidth="1"/>
    <col min="15" max="15" width="12.5703125" bestFit="1" customWidth="1"/>
    <col min="16" max="16" width="12.140625" bestFit="1" customWidth="1"/>
    <col min="17" max="17" width="18.42578125" bestFit="1" customWidth="1"/>
    <col min="18" max="18" width="18.5703125" bestFit="1" customWidth="1"/>
    <col min="19" max="19" width="19.140625" bestFit="1" customWidth="1"/>
    <col min="20" max="20" width="17.28515625" bestFit="1" customWidth="1"/>
    <col min="21" max="21" width="13.7109375" bestFit="1" customWidth="1"/>
  </cols>
  <sheetData>
    <row r="1" spans="1:21" s="10" customFormat="1" ht="54" customHeight="1" thickBot="1">
      <c r="A1" s="154" t="s">
        <v>87</v>
      </c>
      <c r="B1" s="134"/>
      <c r="C1" s="134"/>
      <c r="D1" s="134"/>
      <c r="E1" s="134"/>
      <c r="F1" s="134"/>
      <c r="G1" s="134"/>
      <c r="H1" s="134"/>
      <c r="I1" s="134"/>
      <c r="J1" s="134"/>
      <c r="K1" s="134"/>
      <c r="L1" s="134"/>
      <c r="M1" s="134"/>
      <c r="N1" s="134"/>
      <c r="O1" s="134"/>
      <c r="P1" s="134"/>
      <c r="Q1" s="134"/>
      <c r="R1" s="134"/>
      <c r="S1" s="134"/>
      <c r="T1" s="134"/>
      <c r="U1" s="155"/>
    </row>
    <row r="2" spans="1:21" s="2" customFormat="1" ht="33" customHeight="1" thickBot="1">
      <c r="A2" s="58" t="s">
        <v>88</v>
      </c>
      <c r="B2" s="59" t="s">
        <v>58</v>
      </c>
      <c r="C2" s="59" t="s">
        <v>23</v>
      </c>
      <c r="D2" s="59" t="s">
        <v>24</v>
      </c>
      <c r="E2" s="59" t="s">
        <v>25</v>
      </c>
      <c r="F2" s="59" t="s">
        <v>26</v>
      </c>
      <c r="G2" s="59" t="s">
        <v>27</v>
      </c>
      <c r="H2" s="59" t="s">
        <v>28</v>
      </c>
      <c r="I2" s="59" t="s">
        <v>29</v>
      </c>
      <c r="J2" s="59" t="s">
        <v>30</v>
      </c>
      <c r="K2" s="59" t="s">
        <v>31</v>
      </c>
      <c r="L2" s="59" t="s">
        <v>32</v>
      </c>
      <c r="M2" s="59" t="s">
        <v>16</v>
      </c>
      <c r="N2" s="59" t="s">
        <v>33</v>
      </c>
      <c r="O2" s="59" t="s">
        <v>34</v>
      </c>
      <c r="P2" s="59" t="s">
        <v>35</v>
      </c>
      <c r="Q2" s="59" t="s">
        <v>89</v>
      </c>
      <c r="R2" s="59" t="s">
        <v>90</v>
      </c>
      <c r="S2" s="59" t="s">
        <v>91</v>
      </c>
      <c r="T2" s="59" t="s">
        <v>92</v>
      </c>
      <c r="U2" s="60" t="s">
        <v>93</v>
      </c>
    </row>
    <row r="3" spans="1:21" s="3" customFormat="1" ht="18" customHeight="1">
      <c r="A3" s="48" t="s">
        <v>94</v>
      </c>
      <c r="B3" s="49">
        <v>70</v>
      </c>
      <c r="C3" s="49">
        <v>26</v>
      </c>
      <c r="D3" s="49">
        <v>35.200001</v>
      </c>
      <c r="E3" s="49">
        <v>8.7999992000000002</v>
      </c>
      <c r="F3" s="49">
        <v>0</v>
      </c>
      <c r="G3" s="49">
        <v>0</v>
      </c>
      <c r="H3" s="49">
        <v>0</v>
      </c>
      <c r="I3" s="49">
        <v>0</v>
      </c>
      <c r="J3" s="49">
        <v>0</v>
      </c>
      <c r="K3" s="49">
        <v>0</v>
      </c>
      <c r="L3" s="49">
        <v>0</v>
      </c>
      <c r="M3" s="49">
        <v>0</v>
      </c>
      <c r="N3" s="49">
        <v>0</v>
      </c>
      <c r="O3" s="49">
        <v>0</v>
      </c>
      <c r="P3" s="49">
        <v>0</v>
      </c>
      <c r="Q3" s="50">
        <v>0.31999999000000001</v>
      </c>
      <c r="R3" s="49">
        <v>2.8</v>
      </c>
      <c r="S3" s="50">
        <v>6.0000001999999997E-2</v>
      </c>
      <c r="T3" s="49">
        <v>12.000000999999999</v>
      </c>
      <c r="U3" s="51">
        <v>1</v>
      </c>
    </row>
    <row r="4" spans="1:21" s="3" customFormat="1" ht="18" customHeight="1">
      <c r="A4" s="8" t="s">
        <v>95</v>
      </c>
      <c r="B4" s="52">
        <v>97</v>
      </c>
      <c r="C4" s="52">
        <v>44</v>
      </c>
      <c r="D4" s="52">
        <v>42.400002000000001</v>
      </c>
      <c r="E4" s="52">
        <v>10.599999</v>
      </c>
      <c r="F4" s="52">
        <v>0</v>
      </c>
      <c r="G4" s="52">
        <v>0</v>
      </c>
      <c r="H4" s="52">
        <v>0</v>
      </c>
      <c r="I4" s="52">
        <v>0</v>
      </c>
      <c r="J4" s="52">
        <v>0</v>
      </c>
      <c r="K4" s="52">
        <v>0</v>
      </c>
      <c r="L4" s="52">
        <v>0</v>
      </c>
      <c r="M4" s="52">
        <v>0</v>
      </c>
      <c r="N4" s="52">
        <v>0</v>
      </c>
      <c r="O4" s="52">
        <v>0</v>
      </c>
      <c r="P4" s="52">
        <v>0</v>
      </c>
      <c r="Q4" s="53">
        <v>0.34</v>
      </c>
      <c r="R4" s="52">
        <v>3</v>
      </c>
      <c r="S4" s="53">
        <v>0.18000000999999999</v>
      </c>
      <c r="T4" s="52">
        <v>10.000000999999999</v>
      </c>
      <c r="U4" s="54">
        <v>1</v>
      </c>
    </row>
    <row r="5" spans="1:21" s="3" customFormat="1" ht="18" customHeight="1">
      <c r="A5" s="8" t="s">
        <v>96</v>
      </c>
      <c r="B5" s="52">
        <v>149</v>
      </c>
      <c r="C5" s="52">
        <v>14.900001</v>
      </c>
      <c r="D5" s="52">
        <v>14.900001</v>
      </c>
      <c r="E5" s="52">
        <v>119.2</v>
      </c>
      <c r="F5" s="52">
        <v>0</v>
      </c>
      <c r="G5" s="52">
        <v>0</v>
      </c>
      <c r="H5" s="52">
        <v>0</v>
      </c>
      <c r="I5" s="52">
        <v>0</v>
      </c>
      <c r="J5" s="52">
        <v>0</v>
      </c>
      <c r="K5" s="52">
        <v>0</v>
      </c>
      <c r="L5" s="52">
        <v>0</v>
      </c>
      <c r="M5" s="52">
        <v>0</v>
      </c>
      <c r="N5" s="52">
        <v>0</v>
      </c>
      <c r="O5" s="52">
        <v>0</v>
      </c>
      <c r="P5" s="52">
        <v>0</v>
      </c>
      <c r="Q5" s="53">
        <v>0.2</v>
      </c>
      <c r="R5" s="52">
        <v>2</v>
      </c>
      <c r="S5" s="53">
        <v>0.10000002</v>
      </c>
      <c r="T5" s="52">
        <v>0.83333336999999996</v>
      </c>
      <c r="U5" s="54">
        <v>0</v>
      </c>
    </row>
    <row r="6" spans="1:21" s="3" customFormat="1" ht="18" customHeight="1">
      <c r="A6" s="8" t="s">
        <v>97</v>
      </c>
      <c r="B6" s="52">
        <v>43</v>
      </c>
      <c r="C6" s="52">
        <v>0</v>
      </c>
      <c r="D6" s="52">
        <v>0</v>
      </c>
      <c r="E6" s="52">
        <v>0</v>
      </c>
      <c r="F6" s="52">
        <v>0</v>
      </c>
      <c r="G6" s="52">
        <v>0</v>
      </c>
      <c r="H6" s="52">
        <v>0</v>
      </c>
      <c r="I6" s="52">
        <v>43</v>
      </c>
      <c r="J6" s="52">
        <v>0</v>
      </c>
      <c r="K6" s="52">
        <v>0</v>
      </c>
      <c r="L6" s="52">
        <v>0</v>
      </c>
      <c r="M6" s="52">
        <v>0</v>
      </c>
      <c r="N6" s="52">
        <v>0</v>
      </c>
      <c r="O6" s="52">
        <v>0</v>
      </c>
      <c r="P6" s="52">
        <v>0</v>
      </c>
      <c r="Q6" s="53">
        <v>5.0000001000000002E-2</v>
      </c>
      <c r="R6" s="52">
        <v>2</v>
      </c>
      <c r="S6" s="53">
        <v>0.10000002</v>
      </c>
      <c r="T6" s="52">
        <v>5.0000004999999996</v>
      </c>
      <c r="U6" s="54">
        <v>1</v>
      </c>
    </row>
    <row r="7" spans="1:21" s="3" customFormat="1" ht="18" customHeight="1">
      <c r="A7" s="8" t="s">
        <v>98</v>
      </c>
      <c r="B7" s="52">
        <v>0</v>
      </c>
      <c r="C7" s="52">
        <v>0</v>
      </c>
      <c r="D7" s="52">
        <v>0</v>
      </c>
      <c r="E7" s="52">
        <v>0</v>
      </c>
      <c r="F7" s="52">
        <v>0</v>
      </c>
      <c r="G7" s="52">
        <v>0</v>
      </c>
      <c r="H7" s="52">
        <v>0</v>
      </c>
      <c r="I7" s="52">
        <v>0</v>
      </c>
      <c r="J7" s="52">
        <v>0</v>
      </c>
      <c r="K7" s="52">
        <v>0</v>
      </c>
      <c r="L7" s="52">
        <v>0</v>
      </c>
      <c r="M7" s="52">
        <v>0</v>
      </c>
      <c r="N7" s="52">
        <v>0</v>
      </c>
      <c r="O7" s="52">
        <v>0</v>
      </c>
      <c r="P7" s="52">
        <v>0</v>
      </c>
      <c r="Q7" s="53">
        <v>0</v>
      </c>
      <c r="R7" s="52">
        <v>0</v>
      </c>
      <c r="S7" s="53">
        <v>0</v>
      </c>
      <c r="T7" s="52">
        <v>0</v>
      </c>
      <c r="U7" s="54">
        <v>0</v>
      </c>
    </row>
    <row r="8" spans="1:21" s="3" customFormat="1" ht="18" customHeight="1">
      <c r="A8" s="8" t="s">
        <v>99</v>
      </c>
      <c r="B8" s="52">
        <v>0</v>
      </c>
      <c r="C8" s="52">
        <v>0</v>
      </c>
      <c r="D8" s="52">
        <v>0</v>
      </c>
      <c r="E8" s="52">
        <v>0</v>
      </c>
      <c r="F8" s="52">
        <v>0</v>
      </c>
      <c r="G8" s="52">
        <v>0</v>
      </c>
      <c r="H8" s="52">
        <v>0</v>
      </c>
      <c r="I8" s="52">
        <v>0</v>
      </c>
      <c r="J8" s="52">
        <v>0</v>
      </c>
      <c r="K8" s="52">
        <v>0</v>
      </c>
      <c r="L8" s="52">
        <v>0</v>
      </c>
      <c r="M8" s="52">
        <v>0</v>
      </c>
      <c r="N8" s="52">
        <v>0</v>
      </c>
      <c r="O8" s="52">
        <v>0</v>
      </c>
      <c r="P8" s="52">
        <v>0</v>
      </c>
      <c r="Q8" s="53">
        <v>0</v>
      </c>
      <c r="R8" s="52">
        <v>0</v>
      </c>
      <c r="S8" s="53">
        <v>0</v>
      </c>
      <c r="T8" s="52">
        <v>0</v>
      </c>
      <c r="U8" s="54">
        <v>0</v>
      </c>
    </row>
    <row r="9" spans="1:21" s="3" customFormat="1" ht="18" customHeight="1">
      <c r="A9" s="8" t="s">
        <v>100</v>
      </c>
      <c r="B9" s="52">
        <v>806</v>
      </c>
      <c r="C9" s="52">
        <v>4.5</v>
      </c>
      <c r="D9" s="52">
        <v>1.8000001000000001</v>
      </c>
      <c r="E9" s="52">
        <v>2.7</v>
      </c>
      <c r="F9" s="52">
        <v>0</v>
      </c>
      <c r="G9" s="52">
        <v>0</v>
      </c>
      <c r="H9" s="52">
        <v>0</v>
      </c>
      <c r="I9" s="52">
        <v>0</v>
      </c>
      <c r="J9" s="52">
        <v>797</v>
      </c>
      <c r="K9" s="52">
        <v>0</v>
      </c>
      <c r="L9" s="52">
        <v>0</v>
      </c>
      <c r="M9" s="52">
        <v>0</v>
      </c>
      <c r="N9" s="52">
        <v>0</v>
      </c>
      <c r="O9" s="52">
        <v>0</v>
      </c>
      <c r="P9" s="52">
        <v>0</v>
      </c>
      <c r="Q9" s="53">
        <v>0.37</v>
      </c>
      <c r="R9" s="52">
        <v>1.9</v>
      </c>
      <c r="S9" s="53">
        <v>0.19</v>
      </c>
      <c r="T9" s="52">
        <v>2</v>
      </c>
      <c r="U9" s="54">
        <v>1</v>
      </c>
    </row>
    <row r="10" spans="1:21" s="3" customFormat="1" ht="18" customHeight="1">
      <c r="A10" s="8" t="s">
        <v>101</v>
      </c>
      <c r="B10" s="52">
        <v>0</v>
      </c>
      <c r="C10" s="52">
        <v>0</v>
      </c>
      <c r="D10" s="52">
        <v>0</v>
      </c>
      <c r="E10" s="52">
        <v>0</v>
      </c>
      <c r="F10" s="52">
        <v>0</v>
      </c>
      <c r="G10" s="52">
        <v>0</v>
      </c>
      <c r="H10" s="52">
        <v>0</v>
      </c>
      <c r="I10" s="52">
        <v>0</v>
      </c>
      <c r="J10" s="52">
        <v>0</v>
      </c>
      <c r="K10" s="52">
        <v>0</v>
      </c>
      <c r="L10" s="52">
        <v>0</v>
      </c>
      <c r="M10" s="52">
        <v>0</v>
      </c>
      <c r="N10" s="52">
        <v>0</v>
      </c>
      <c r="O10" s="52">
        <v>0</v>
      </c>
      <c r="P10" s="52">
        <v>0</v>
      </c>
      <c r="Q10" s="53">
        <v>0</v>
      </c>
      <c r="R10" s="52">
        <v>0</v>
      </c>
      <c r="S10" s="53">
        <v>0</v>
      </c>
      <c r="T10" s="52">
        <v>0</v>
      </c>
      <c r="U10" s="54">
        <v>0</v>
      </c>
    </row>
    <row r="11" spans="1:21" s="3" customFormat="1" ht="18" customHeight="1">
      <c r="A11" s="8" t="s">
        <v>102</v>
      </c>
      <c r="B11" s="52">
        <v>60</v>
      </c>
      <c r="C11" s="52">
        <v>15</v>
      </c>
      <c r="D11" s="52">
        <v>23</v>
      </c>
      <c r="E11" s="52">
        <v>17</v>
      </c>
      <c r="F11" s="52">
        <v>0</v>
      </c>
      <c r="G11" s="52">
        <v>0</v>
      </c>
      <c r="H11" s="52">
        <v>0</v>
      </c>
      <c r="I11" s="52">
        <v>0</v>
      </c>
      <c r="J11" s="52">
        <v>0</v>
      </c>
      <c r="K11" s="52">
        <v>5</v>
      </c>
      <c r="L11" s="52">
        <v>0</v>
      </c>
      <c r="M11" s="52">
        <v>0</v>
      </c>
      <c r="N11" s="52">
        <v>0</v>
      </c>
      <c r="O11" s="52">
        <v>0</v>
      </c>
      <c r="P11" s="52">
        <v>0</v>
      </c>
      <c r="Q11" s="53">
        <v>0.20999999</v>
      </c>
      <c r="R11" s="52">
        <v>2.2999999999999998</v>
      </c>
      <c r="S11" s="53">
        <v>0.33000003999999999</v>
      </c>
      <c r="T11" s="52">
        <v>6.0000004999999996</v>
      </c>
      <c r="U11" s="54">
        <v>1</v>
      </c>
    </row>
    <row r="12" spans="1:21" s="3" customFormat="1" ht="18" customHeight="1">
      <c r="A12" s="8" t="s">
        <v>103</v>
      </c>
      <c r="B12" s="52">
        <v>100</v>
      </c>
      <c r="C12" s="52">
        <v>20</v>
      </c>
      <c r="D12" s="52">
        <v>60.000003999999997</v>
      </c>
      <c r="E12" s="52">
        <v>19.999998000000001</v>
      </c>
      <c r="F12" s="52">
        <v>0</v>
      </c>
      <c r="G12" s="52">
        <v>0</v>
      </c>
      <c r="H12" s="52">
        <v>0</v>
      </c>
      <c r="I12" s="52">
        <v>0</v>
      </c>
      <c r="J12" s="52">
        <v>0</v>
      </c>
      <c r="K12" s="52">
        <v>0</v>
      </c>
      <c r="L12" s="52">
        <v>0</v>
      </c>
      <c r="M12" s="52">
        <v>0</v>
      </c>
      <c r="N12" s="52">
        <v>0</v>
      </c>
      <c r="O12" s="52">
        <v>0</v>
      </c>
      <c r="P12" s="52">
        <v>0</v>
      </c>
      <c r="Q12" s="53">
        <v>0.25999999000000001</v>
      </c>
      <c r="R12" s="52">
        <v>2.2000000000000002</v>
      </c>
      <c r="S12" s="53">
        <v>0.24000001000000001</v>
      </c>
      <c r="T12" s="52">
        <v>0.83333336999999996</v>
      </c>
      <c r="U12" s="54">
        <v>1</v>
      </c>
    </row>
    <row r="13" spans="1:21" s="3" customFormat="1" ht="18" customHeight="1">
      <c r="A13" s="8" t="s">
        <v>104</v>
      </c>
      <c r="B13" s="52">
        <v>20</v>
      </c>
      <c r="C13" s="52">
        <v>3</v>
      </c>
      <c r="D13" s="52">
        <v>14</v>
      </c>
      <c r="E13" s="52">
        <v>2.9999994999999999</v>
      </c>
      <c r="F13" s="52">
        <v>0</v>
      </c>
      <c r="G13" s="52">
        <v>0</v>
      </c>
      <c r="H13" s="52">
        <v>0</v>
      </c>
      <c r="I13" s="52">
        <v>0</v>
      </c>
      <c r="J13" s="52">
        <v>0</v>
      </c>
      <c r="K13" s="52">
        <v>0</v>
      </c>
      <c r="L13" s="52">
        <v>0</v>
      </c>
      <c r="M13" s="52">
        <v>0</v>
      </c>
      <c r="N13" s="52">
        <v>0</v>
      </c>
      <c r="O13" s="52">
        <v>0</v>
      </c>
      <c r="P13" s="52">
        <v>0</v>
      </c>
      <c r="Q13" s="53">
        <v>5.0000001000000002E-2</v>
      </c>
      <c r="R13" s="52">
        <v>2</v>
      </c>
      <c r="S13" s="53">
        <v>0.12</v>
      </c>
      <c r="T13" s="52">
        <v>12.500000999999999</v>
      </c>
      <c r="U13" s="54">
        <v>1</v>
      </c>
    </row>
    <row r="14" spans="1:21" s="3" customFormat="1" ht="18" customHeight="1">
      <c r="A14" s="8" t="s">
        <v>105</v>
      </c>
      <c r="B14" s="52">
        <v>25.999998000000001</v>
      </c>
      <c r="C14" s="52">
        <v>3.9000001000000002</v>
      </c>
      <c r="D14" s="52">
        <v>18.199998999999998</v>
      </c>
      <c r="E14" s="52">
        <v>3.8999994</v>
      </c>
      <c r="F14" s="52">
        <v>0</v>
      </c>
      <c r="G14" s="52">
        <v>0</v>
      </c>
      <c r="H14" s="52">
        <v>0</v>
      </c>
      <c r="I14" s="52">
        <v>0</v>
      </c>
      <c r="J14" s="52">
        <v>0</v>
      </c>
      <c r="K14" s="52">
        <v>0</v>
      </c>
      <c r="L14" s="52">
        <v>0</v>
      </c>
      <c r="M14" s="52">
        <v>0</v>
      </c>
      <c r="N14" s="52">
        <v>0</v>
      </c>
      <c r="O14" s="52">
        <v>0</v>
      </c>
      <c r="P14" s="52">
        <v>0</v>
      </c>
      <c r="Q14" s="53">
        <v>0.16</v>
      </c>
      <c r="R14" s="52">
        <v>2</v>
      </c>
      <c r="S14" s="53">
        <v>0.30000000999999998</v>
      </c>
      <c r="T14" s="52">
        <v>12.500000999999999</v>
      </c>
      <c r="U14" s="54">
        <v>1</v>
      </c>
    </row>
    <row r="15" spans="1:21" s="3" customFormat="1" ht="18" customHeight="1">
      <c r="A15" s="8" t="s">
        <v>106</v>
      </c>
      <c r="B15" s="52">
        <v>435.99997000000002</v>
      </c>
      <c r="C15" s="52">
        <v>65.400002000000001</v>
      </c>
      <c r="D15" s="52">
        <v>305.19997999999998</v>
      </c>
      <c r="E15" s="52">
        <v>65.399985999999998</v>
      </c>
      <c r="F15" s="52">
        <v>0</v>
      </c>
      <c r="G15" s="52">
        <v>0</v>
      </c>
      <c r="H15" s="52">
        <v>0</v>
      </c>
      <c r="I15" s="52">
        <v>0</v>
      </c>
      <c r="J15" s="52">
        <v>0</v>
      </c>
      <c r="K15" s="52">
        <v>0</v>
      </c>
      <c r="L15" s="52">
        <v>0</v>
      </c>
      <c r="M15" s="52">
        <v>0</v>
      </c>
      <c r="N15" s="52">
        <v>0</v>
      </c>
      <c r="O15" s="52">
        <v>0</v>
      </c>
      <c r="P15" s="52">
        <v>0</v>
      </c>
      <c r="Q15" s="53">
        <v>5.0000001000000002E-2</v>
      </c>
      <c r="R15" s="52">
        <v>1.5</v>
      </c>
      <c r="S15" s="53">
        <v>0.14999998</v>
      </c>
      <c r="T15" s="52">
        <v>1</v>
      </c>
      <c r="U15" s="54">
        <v>0</v>
      </c>
    </row>
    <row r="16" spans="1:21" s="3" customFormat="1" ht="18" customHeight="1">
      <c r="A16" s="8" t="s">
        <v>107</v>
      </c>
      <c r="B16" s="52">
        <v>487</v>
      </c>
      <c r="C16" s="52">
        <v>68</v>
      </c>
      <c r="D16" s="52">
        <v>0</v>
      </c>
      <c r="E16" s="52">
        <v>0</v>
      </c>
      <c r="F16" s="52">
        <v>0</v>
      </c>
      <c r="G16" s="52">
        <v>0</v>
      </c>
      <c r="H16" s="52">
        <v>0</v>
      </c>
      <c r="I16" s="52">
        <v>0</v>
      </c>
      <c r="J16" s="52">
        <v>419</v>
      </c>
      <c r="K16" s="52">
        <v>0</v>
      </c>
      <c r="L16" s="52">
        <v>0</v>
      </c>
      <c r="M16" s="52">
        <v>0</v>
      </c>
      <c r="N16" s="52">
        <v>0</v>
      </c>
      <c r="O16" s="52">
        <v>0</v>
      </c>
      <c r="P16" s="52">
        <v>0</v>
      </c>
      <c r="Q16" s="53">
        <v>5.9999998999999998E-2</v>
      </c>
      <c r="R16" s="52">
        <v>1.8</v>
      </c>
      <c r="S16" s="53">
        <v>0.27999996999999999</v>
      </c>
      <c r="T16" s="52">
        <v>4.2483658999999996</v>
      </c>
      <c r="U16" s="54">
        <v>1</v>
      </c>
    </row>
    <row r="17" spans="1:21" s="3" customFormat="1" ht="18" customHeight="1">
      <c r="A17" s="8" t="s">
        <v>108</v>
      </c>
      <c r="B17" s="52">
        <v>577</v>
      </c>
      <c r="C17" s="52">
        <v>68</v>
      </c>
      <c r="D17" s="52">
        <v>0</v>
      </c>
      <c r="E17" s="52">
        <v>0</v>
      </c>
      <c r="F17" s="52">
        <v>0</v>
      </c>
      <c r="G17" s="52">
        <v>0</v>
      </c>
      <c r="H17" s="52">
        <v>0</v>
      </c>
      <c r="I17" s="52">
        <v>0</v>
      </c>
      <c r="J17" s="52">
        <v>509</v>
      </c>
      <c r="K17" s="52">
        <v>0</v>
      </c>
      <c r="L17" s="52">
        <v>0</v>
      </c>
      <c r="M17" s="52">
        <v>0</v>
      </c>
      <c r="N17" s="52">
        <v>0</v>
      </c>
      <c r="O17" s="52">
        <v>0</v>
      </c>
      <c r="P17" s="52">
        <v>0</v>
      </c>
      <c r="Q17" s="53">
        <v>0.18000000999999999</v>
      </c>
      <c r="R17" s="52">
        <v>2</v>
      </c>
      <c r="S17" s="53">
        <v>0.34000003000000001</v>
      </c>
      <c r="T17" s="52">
        <v>3.9007094000000002</v>
      </c>
      <c r="U17" s="54">
        <v>1</v>
      </c>
    </row>
    <row r="18" spans="1:21" s="3" customFormat="1" ht="18" customHeight="1">
      <c r="A18" s="8" t="s">
        <v>109</v>
      </c>
      <c r="B18" s="52">
        <v>152</v>
      </c>
      <c r="C18" s="52">
        <v>0</v>
      </c>
      <c r="D18" s="52">
        <v>76</v>
      </c>
      <c r="E18" s="52">
        <v>76</v>
      </c>
      <c r="F18" s="52">
        <v>0</v>
      </c>
      <c r="G18" s="52">
        <v>0</v>
      </c>
      <c r="H18" s="52">
        <v>0</v>
      </c>
      <c r="I18" s="52">
        <v>0</v>
      </c>
      <c r="J18" s="52">
        <v>0</v>
      </c>
      <c r="K18" s="52">
        <v>0</v>
      </c>
      <c r="L18" s="52">
        <v>0</v>
      </c>
      <c r="M18" s="52">
        <v>0</v>
      </c>
      <c r="N18" s="52">
        <v>0</v>
      </c>
      <c r="O18" s="52">
        <v>0</v>
      </c>
      <c r="P18" s="52">
        <v>0</v>
      </c>
      <c r="Q18" s="53">
        <v>0.1</v>
      </c>
      <c r="R18" s="52">
        <v>3</v>
      </c>
      <c r="S18" s="53">
        <v>0.14999998</v>
      </c>
      <c r="T18" s="52">
        <v>1</v>
      </c>
      <c r="U18" s="54">
        <v>0</v>
      </c>
    </row>
    <row r="19" spans="1:21" s="3" customFormat="1" ht="18" customHeight="1">
      <c r="A19" s="8" t="s">
        <v>110</v>
      </c>
      <c r="B19" s="52">
        <v>64</v>
      </c>
      <c r="C19" s="52">
        <v>6.4000000999999997</v>
      </c>
      <c r="D19" s="52">
        <v>57.599997999999999</v>
      </c>
      <c r="E19" s="52">
        <v>0</v>
      </c>
      <c r="F19" s="52">
        <v>0</v>
      </c>
      <c r="G19" s="52">
        <v>0</v>
      </c>
      <c r="H19" s="52">
        <v>0</v>
      </c>
      <c r="I19" s="52">
        <v>0</v>
      </c>
      <c r="J19" s="52">
        <v>0</v>
      </c>
      <c r="K19" s="52">
        <v>0</v>
      </c>
      <c r="L19" s="52">
        <v>0</v>
      </c>
      <c r="M19" s="52">
        <v>0</v>
      </c>
      <c r="N19" s="52">
        <v>0</v>
      </c>
      <c r="O19" s="52">
        <v>0</v>
      </c>
      <c r="P19" s="52">
        <v>0</v>
      </c>
      <c r="Q19" s="53">
        <v>0.16</v>
      </c>
      <c r="R19" s="52">
        <v>2.4000001000000002</v>
      </c>
      <c r="S19" s="53">
        <v>2.2000015000000001E-2</v>
      </c>
      <c r="T19" s="52">
        <v>4.5</v>
      </c>
      <c r="U19" s="54">
        <v>1</v>
      </c>
    </row>
    <row r="20" spans="1:21" s="3" customFormat="1" ht="18" customHeight="1">
      <c r="A20" s="8" t="s">
        <v>111</v>
      </c>
      <c r="B20" s="52">
        <v>44</v>
      </c>
      <c r="C20" s="52">
        <v>4.4000000999999997</v>
      </c>
      <c r="D20" s="52">
        <v>37.840000000000003</v>
      </c>
      <c r="E20" s="52">
        <v>1.7599982999999999</v>
      </c>
      <c r="F20" s="52">
        <v>0</v>
      </c>
      <c r="G20" s="52">
        <v>0</v>
      </c>
      <c r="H20" s="52">
        <v>0</v>
      </c>
      <c r="I20" s="52">
        <v>0</v>
      </c>
      <c r="J20" s="52">
        <v>0</v>
      </c>
      <c r="K20" s="52">
        <v>0</v>
      </c>
      <c r="L20" s="52">
        <v>0</v>
      </c>
      <c r="M20" s="52">
        <v>0</v>
      </c>
      <c r="N20" s="52">
        <v>0</v>
      </c>
      <c r="O20" s="52">
        <v>0</v>
      </c>
      <c r="P20" s="52">
        <v>0</v>
      </c>
      <c r="Q20" s="53">
        <v>0.36000000999999998</v>
      </c>
      <c r="R20" s="52">
        <v>2.8</v>
      </c>
      <c r="S20" s="53">
        <v>0.13999998999999999</v>
      </c>
      <c r="T20" s="52">
        <v>5.0000004999999996</v>
      </c>
      <c r="U20" s="54">
        <v>1</v>
      </c>
    </row>
    <row r="21" spans="1:21" s="3" customFormat="1" ht="18" customHeight="1">
      <c r="A21" s="8" t="s">
        <v>112</v>
      </c>
      <c r="B21" s="52">
        <v>42</v>
      </c>
      <c r="C21" s="52">
        <v>33.600002000000003</v>
      </c>
      <c r="D21" s="52">
        <v>4.2000003000000001</v>
      </c>
      <c r="E21" s="52">
        <v>4.1999984000000001</v>
      </c>
      <c r="F21" s="52">
        <v>0</v>
      </c>
      <c r="G21" s="52">
        <v>0</v>
      </c>
      <c r="H21" s="52">
        <v>0</v>
      </c>
      <c r="I21" s="52">
        <v>0</v>
      </c>
      <c r="J21" s="52">
        <v>0</v>
      </c>
      <c r="K21" s="52">
        <v>0</v>
      </c>
      <c r="L21" s="52">
        <v>0</v>
      </c>
      <c r="M21" s="52">
        <v>0</v>
      </c>
      <c r="N21" s="52">
        <v>0</v>
      </c>
      <c r="O21" s="52">
        <v>0</v>
      </c>
      <c r="P21" s="52">
        <v>0</v>
      </c>
      <c r="Q21" s="53">
        <v>5.9999998999999998E-2</v>
      </c>
      <c r="R21" s="52">
        <v>2</v>
      </c>
      <c r="S21" s="53">
        <v>3.1428576E-2</v>
      </c>
      <c r="T21" s="52">
        <v>5.0000004999999996</v>
      </c>
      <c r="U21" s="54">
        <v>7</v>
      </c>
    </row>
    <row r="22" spans="1:21" s="3" customFormat="1" ht="18" customHeight="1">
      <c r="A22" s="8" t="s">
        <v>113</v>
      </c>
      <c r="B22" s="52">
        <v>50</v>
      </c>
      <c r="C22" s="52">
        <v>40</v>
      </c>
      <c r="D22" s="52">
        <v>5</v>
      </c>
      <c r="E22" s="52">
        <v>4.9999981</v>
      </c>
      <c r="F22" s="52">
        <v>0</v>
      </c>
      <c r="G22" s="52">
        <v>0</v>
      </c>
      <c r="H22" s="52">
        <v>0</v>
      </c>
      <c r="I22" s="52">
        <v>0</v>
      </c>
      <c r="J22" s="52">
        <v>0</v>
      </c>
      <c r="K22" s="52">
        <v>0</v>
      </c>
      <c r="L22" s="52">
        <v>0</v>
      </c>
      <c r="M22" s="52">
        <v>0</v>
      </c>
      <c r="N22" s="52">
        <v>0</v>
      </c>
      <c r="O22" s="52">
        <v>0</v>
      </c>
      <c r="P22" s="52">
        <v>0</v>
      </c>
      <c r="Q22" s="53">
        <v>5.9999998999999998E-2</v>
      </c>
      <c r="R22" s="52">
        <v>2</v>
      </c>
      <c r="S22" s="53">
        <v>0.12857145</v>
      </c>
      <c r="T22" s="52">
        <v>4.3333335000000002</v>
      </c>
      <c r="U22" s="54">
        <v>7</v>
      </c>
    </row>
    <row r="23" spans="1:21" s="3" customFormat="1" ht="18" customHeight="1">
      <c r="A23" s="8" t="s">
        <v>114</v>
      </c>
      <c r="B23" s="52">
        <v>36</v>
      </c>
      <c r="C23" s="52">
        <v>5.4000000999999997</v>
      </c>
      <c r="D23" s="52">
        <v>5.4000000999999997</v>
      </c>
      <c r="E23" s="52">
        <v>25.199998999999998</v>
      </c>
      <c r="F23" s="52">
        <v>0</v>
      </c>
      <c r="G23" s="52">
        <v>0</v>
      </c>
      <c r="H23" s="52">
        <v>0</v>
      </c>
      <c r="I23" s="52">
        <v>0</v>
      </c>
      <c r="J23" s="52">
        <v>0</v>
      </c>
      <c r="K23" s="52">
        <v>0</v>
      </c>
      <c r="L23" s="52">
        <v>0</v>
      </c>
      <c r="M23" s="52">
        <v>0</v>
      </c>
      <c r="N23" s="52">
        <v>0</v>
      </c>
      <c r="O23" s="52">
        <v>0</v>
      </c>
      <c r="P23" s="52">
        <v>0</v>
      </c>
      <c r="Q23" s="53">
        <v>5.9999998999999998E-2</v>
      </c>
      <c r="R23" s="52">
        <v>2</v>
      </c>
      <c r="S23" s="53">
        <v>0.27999996999999999</v>
      </c>
      <c r="T23" s="52">
        <v>10.000000999999999</v>
      </c>
      <c r="U23" s="54">
        <v>1</v>
      </c>
    </row>
    <row r="24" spans="1:21" s="3" customFormat="1" ht="18" customHeight="1">
      <c r="A24" s="8" t="s">
        <v>115</v>
      </c>
      <c r="B24" s="52">
        <v>38</v>
      </c>
      <c r="C24" s="52">
        <v>3.8</v>
      </c>
      <c r="D24" s="52">
        <v>3.8</v>
      </c>
      <c r="E24" s="52">
        <v>30.4</v>
      </c>
      <c r="F24" s="52">
        <v>0</v>
      </c>
      <c r="G24" s="52">
        <v>0</v>
      </c>
      <c r="H24" s="52">
        <v>0</v>
      </c>
      <c r="I24" s="52">
        <v>0</v>
      </c>
      <c r="J24" s="52">
        <v>0</v>
      </c>
      <c r="K24" s="52">
        <v>0</v>
      </c>
      <c r="L24" s="52">
        <v>0</v>
      </c>
      <c r="M24" s="52">
        <v>0</v>
      </c>
      <c r="N24" s="52">
        <v>0</v>
      </c>
      <c r="O24" s="52">
        <v>0</v>
      </c>
      <c r="P24" s="52">
        <v>0</v>
      </c>
      <c r="Q24" s="53">
        <v>0.18000000999999999</v>
      </c>
      <c r="R24" s="52">
        <v>2.2000000000000002</v>
      </c>
      <c r="S24" s="53">
        <v>0.31999999000000001</v>
      </c>
      <c r="T24" s="52">
        <v>10.000000999999999</v>
      </c>
      <c r="U24" s="54">
        <v>1</v>
      </c>
    </row>
    <row r="25" spans="1:21" s="3" customFormat="1" ht="18" customHeight="1">
      <c r="A25" s="8" t="s">
        <v>116</v>
      </c>
      <c r="B25" s="52">
        <v>40</v>
      </c>
      <c r="C25" s="52">
        <v>6</v>
      </c>
      <c r="D25" s="52">
        <v>10</v>
      </c>
      <c r="E25" s="52">
        <v>24</v>
      </c>
      <c r="F25" s="52">
        <v>0</v>
      </c>
      <c r="G25" s="52">
        <v>0</v>
      </c>
      <c r="H25" s="52">
        <v>0</v>
      </c>
      <c r="I25" s="52">
        <v>0</v>
      </c>
      <c r="J25" s="52">
        <v>0</v>
      </c>
      <c r="K25" s="52">
        <v>0</v>
      </c>
      <c r="L25" s="52">
        <v>0</v>
      </c>
      <c r="M25" s="52">
        <v>0</v>
      </c>
      <c r="N25" s="52">
        <v>0</v>
      </c>
      <c r="O25" s="52">
        <v>0</v>
      </c>
      <c r="P25" s="52">
        <v>0</v>
      </c>
      <c r="Q25" s="53">
        <v>0.1</v>
      </c>
      <c r="R25" s="52">
        <v>1.8</v>
      </c>
      <c r="S25" s="53">
        <v>6.0000001999999997E-2</v>
      </c>
      <c r="T25" s="52">
        <v>5.0000004999999996</v>
      </c>
      <c r="U25" s="54">
        <v>1</v>
      </c>
    </row>
    <row r="26" spans="1:21" s="3" customFormat="1" ht="18" customHeight="1">
      <c r="A26" s="8" t="s">
        <v>117</v>
      </c>
      <c r="B26" s="52">
        <v>130</v>
      </c>
      <c r="C26" s="52">
        <v>13</v>
      </c>
      <c r="D26" s="52">
        <v>104</v>
      </c>
      <c r="E26" s="52">
        <v>12.999995</v>
      </c>
      <c r="F26" s="52">
        <v>0</v>
      </c>
      <c r="G26" s="52">
        <v>0</v>
      </c>
      <c r="H26" s="52">
        <v>0</v>
      </c>
      <c r="I26" s="52">
        <v>0</v>
      </c>
      <c r="J26" s="52">
        <v>0</v>
      </c>
      <c r="K26" s="52">
        <v>0</v>
      </c>
      <c r="L26" s="52">
        <v>0</v>
      </c>
      <c r="M26" s="52">
        <v>0</v>
      </c>
      <c r="N26" s="52">
        <v>0</v>
      </c>
      <c r="O26" s="52">
        <v>0</v>
      </c>
      <c r="P26" s="52">
        <v>0</v>
      </c>
      <c r="Q26" s="53">
        <v>0.2</v>
      </c>
      <c r="R26" s="52">
        <v>2</v>
      </c>
      <c r="S26" s="53">
        <v>0.10000002</v>
      </c>
      <c r="T26" s="52">
        <v>1.5833333999999999</v>
      </c>
      <c r="U26" s="54">
        <v>1</v>
      </c>
    </row>
    <row r="27" spans="1:21" s="3" customFormat="1" ht="18" customHeight="1">
      <c r="A27" s="8" t="s">
        <v>118</v>
      </c>
      <c r="B27" s="52">
        <v>150</v>
      </c>
      <c r="C27" s="52">
        <v>15</v>
      </c>
      <c r="D27" s="52">
        <v>120</v>
      </c>
      <c r="E27" s="52">
        <v>14.999993999999999</v>
      </c>
      <c r="F27" s="52">
        <v>0</v>
      </c>
      <c r="G27" s="52">
        <v>0</v>
      </c>
      <c r="H27" s="52">
        <v>0</v>
      </c>
      <c r="I27" s="52">
        <v>0</v>
      </c>
      <c r="J27" s="52">
        <v>0</v>
      </c>
      <c r="K27" s="52">
        <v>0</v>
      </c>
      <c r="L27" s="52">
        <v>0</v>
      </c>
      <c r="M27" s="52">
        <v>0</v>
      </c>
      <c r="N27" s="52">
        <v>0</v>
      </c>
      <c r="O27" s="52">
        <v>0</v>
      </c>
      <c r="P27" s="52">
        <v>0</v>
      </c>
      <c r="Q27" s="53">
        <v>0.25</v>
      </c>
      <c r="R27" s="52">
        <v>2</v>
      </c>
      <c r="S27" s="53">
        <v>0.25</v>
      </c>
      <c r="T27" s="52">
        <v>2.6666666999999999</v>
      </c>
      <c r="U27" s="54">
        <v>1</v>
      </c>
    </row>
    <row r="28" spans="1:21" s="3" customFormat="1" ht="18" customHeight="1">
      <c r="A28" s="8" t="s">
        <v>119</v>
      </c>
      <c r="B28" s="52">
        <v>98</v>
      </c>
      <c r="C28" s="52">
        <v>44.099997999999999</v>
      </c>
      <c r="D28" s="52">
        <v>26.950001</v>
      </c>
      <c r="E28" s="52">
        <v>26.949997</v>
      </c>
      <c r="F28" s="52">
        <v>0</v>
      </c>
      <c r="G28" s="52">
        <v>0</v>
      </c>
      <c r="H28" s="52">
        <v>0</v>
      </c>
      <c r="I28" s="52">
        <v>0</v>
      </c>
      <c r="J28" s="52">
        <v>0</v>
      </c>
      <c r="K28" s="52">
        <v>0</v>
      </c>
      <c r="L28" s="52">
        <v>0</v>
      </c>
      <c r="M28" s="52">
        <v>0</v>
      </c>
      <c r="N28" s="52">
        <v>0</v>
      </c>
      <c r="O28" s="52">
        <v>0</v>
      </c>
      <c r="P28" s="52">
        <v>0</v>
      </c>
      <c r="Q28" s="53">
        <v>0.22</v>
      </c>
      <c r="R28" s="52">
        <v>2</v>
      </c>
      <c r="S28" s="53">
        <v>0.22000003000000001</v>
      </c>
      <c r="T28" s="52">
        <v>5.0000004999999996</v>
      </c>
      <c r="U28" s="54">
        <v>1</v>
      </c>
    </row>
    <row r="29" spans="1:21" s="3" customFormat="1" ht="18" customHeight="1">
      <c r="A29" s="8" t="s">
        <v>120</v>
      </c>
      <c r="B29" s="52">
        <v>98</v>
      </c>
      <c r="C29" s="52">
        <v>44.099997999999999</v>
      </c>
      <c r="D29" s="52">
        <v>26.950001</v>
      </c>
      <c r="E29" s="52">
        <v>26.949997</v>
      </c>
      <c r="F29" s="52">
        <v>0</v>
      </c>
      <c r="G29" s="52">
        <v>0</v>
      </c>
      <c r="H29" s="52">
        <v>0</v>
      </c>
      <c r="I29" s="52">
        <v>0</v>
      </c>
      <c r="J29" s="52">
        <v>0</v>
      </c>
      <c r="K29" s="52">
        <v>0</v>
      </c>
      <c r="L29" s="52">
        <v>0</v>
      </c>
      <c r="M29" s="52">
        <v>0</v>
      </c>
      <c r="N29" s="52">
        <v>0</v>
      </c>
      <c r="O29" s="52">
        <v>0</v>
      </c>
      <c r="P29" s="52">
        <v>0</v>
      </c>
      <c r="Q29" s="53">
        <v>0.28000000000000003</v>
      </c>
      <c r="R29" s="52">
        <v>2.8</v>
      </c>
      <c r="S29" s="53">
        <v>0.27999996999999999</v>
      </c>
      <c r="T29" s="52">
        <v>5.6666670000000003</v>
      </c>
      <c r="U29" s="54">
        <v>1</v>
      </c>
    </row>
    <row r="30" spans="1:21" s="3" customFormat="1" ht="18" customHeight="1">
      <c r="A30" s="8" t="s">
        <v>121</v>
      </c>
      <c r="B30" s="52">
        <v>18</v>
      </c>
      <c r="C30" s="52">
        <v>1.8000001000000001</v>
      </c>
      <c r="D30" s="52">
        <v>7.2000003000000001</v>
      </c>
      <c r="E30" s="52">
        <v>9</v>
      </c>
      <c r="F30" s="52">
        <v>0</v>
      </c>
      <c r="G30" s="52">
        <v>0</v>
      </c>
      <c r="H30" s="52">
        <v>0</v>
      </c>
      <c r="I30" s="52">
        <v>0</v>
      </c>
      <c r="J30" s="52">
        <v>0</v>
      </c>
      <c r="K30" s="52">
        <v>0</v>
      </c>
      <c r="L30" s="52">
        <v>0</v>
      </c>
      <c r="M30" s="52">
        <v>0</v>
      </c>
      <c r="N30" s="52">
        <v>0</v>
      </c>
      <c r="O30" s="52">
        <v>0</v>
      </c>
      <c r="P30" s="52">
        <v>0</v>
      </c>
      <c r="Q30" s="53">
        <v>0.23999999</v>
      </c>
      <c r="R30" s="52">
        <v>3</v>
      </c>
      <c r="S30" s="53">
        <v>7.9999982999999997E-2</v>
      </c>
      <c r="T30" s="52">
        <v>12.500000999999999</v>
      </c>
      <c r="U30" s="54">
        <v>1</v>
      </c>
    </row>
    <row r="31" spans="1:21" s="3" customFormat="1" ht="18" customHeight="1">
      <c r="A31" s="8" t="s">
        <v>122</v>
      </c>
      <c r="B31" s="52">
        <v>20</v>
      </c>
      <c r="C31" s="52">
        <v>2</v>
      </c>
      <c r="D31" s="52">
        <v>8</v>
      </c>
      <c r="E31" s="52">
        <v>10</v>
      </c>
      <c r="F31" s="52">
        <v>0</v>
      </c>
      <c r="G31" s="52">
        <v>0</v>
      </c>
      <c r="H31" s="52">
        <v>0</v>
      </c>
      <c r="I31" s="52">
        <v>0</v>
      </c>
      <c r="J31" s="52">
        <v>0</v>
      </c>
      <c r="K31" s="52">
        <v>0</v>
      </c>
      <c r="L31" s="52">
        <v>0</v>
      </c>
      <c r="M31" s="52">
        <v>0</v>
      </c>
      <c r="N31" s="52">
        <v>0</v>
      </c>
      <c r="O31" s="52">
        <v>0</v>
      </c>
      <c r="P31" s="52">
        <v>0</v>
      </c>
      <c r="Q31" s="53">
        <v>0.23999999</v>
      </c>
      <c r="R31" s="52">
        <v>3</v>
      </c>
      <c r="S31" s="53">
        <v>0.18000000999999999</v>
      </c>
      <c r="T31" s="52">
        <v>13.333334000000001</v>
      </c>
      <c r="U31" s="54">
        <v>1</v>
      </c>
    </row>
    <row r="32" spans="1:21" s="3" customFormat="1" ht="18" customHeight="1">
      <c r="A32" s="8" t="s">
        <v>123</v>
      </c>
      <c r="B32" s="52">
        <v>28</v>
      </c>
      <c r="C32" s="52">
        <v>16.800001000000002</v>
      </c>
      <c r="D32" s="52">
        <v>2.8</v>
      </c>
      <c r="E32" s="52">
        <v>8.3999986999999994</v>
      </c>
      <c r="F32" s="52">
        <v>0</v>
      </c>
      <c r="G32" s="52">
        <v>0</v>
      </c>
      <c r="H32" s="52">
        <v>0</v>
      </c>
      <c r="I32" s="52">
        <v>0</v>
      </c>
      <c r="J32" s="52">
        <v>0</v>
      </c>
      <c r="K32" s="52">
        <v>0</v>
      </c>
      <c r="L32" s="52">
        <v>0</v>
      </c>
      <c r="M32" s="52">
        <v>0</v>
      </c>
      <c r="N32" s="52">
        <v>0</v>
      </c>
      <c r="O32" s="52">
        <v>0</v>
      </c>
      <c r="P32" s="52">
        <v>0</v>
      </c>
      <c r="Q32" s="53">
        <v>0.18000000999999999</v>
      </c>
      <c r="R32" s="52">
        <v>1.8</v>
      </c>
      <c r="S32" s="53">
        <v>0.18000000999999999</v>
      </c>
      <c r="T32" s="52">
        <v>10.000000999999999</v>
      </c>
      <c r="U32" s="54">
        <v>1</v>
      </c>
    </row>
    <row r="33" spans="1:21" s="3" customFormat="1" ht="18" customHeight="1">
      <c r="A33" s="8" t="s">
        <v>124</v>
      </c>
      <c r="B33" s="52">
        <v>36</v>
      </c>
      <c r="C33" s="52">
        <v>21.6</v>
      </c>
      <c r="D33" s="52">
        <v>3.6000000999999999</v>
      </c>
      <c r="E33" s="52">
        <v>10.799998</v>
      </c>
      <c r="F33" s="52">
        <v>0</v>
      </c>
      <c r="G33" s="52">
        <v>0</v>
      </c>
      <c r="H33" s="52">
        <v>0</v>
      </c>
      <c r="I33" s="52">
        <v>0</v>
      </c>
      <c r="J33" s="52">
        <v>0</v>
      </c>
      <c r="K33" s="52">
        <v>0</v>
      </c>
      <c r="L33" s="52">
        <v>0</v>
      </c>
      <c r="M33" s="52">
        <v>0</v>
      </c>
      <c r="N33" s="52">
        <v>0</v>
      </c>
      <c r="O33" s="52">
        <v>0</v>
      </c>
      <c r="P33" s="52">
        <v>0</v>
      </c>
      <c r="Q33" s="53">
        <v>0.15000000999999999</v>
      </c>
      <c r="R33" s="52">
        <v>2</v>
      </c>
      <c r="S33" s="53">
        <v>0.30000000999999998</v>
      </c>
      <c r="T33" s="52">
        <v>7.0833335000000002</v>
      </c>
      <c r="U33" s="54">
        <v>1</v>
      </c>
    </row>
    <row r="34" spans="1:21" s="3" customFormat="1" ht="18" customHeight="1">
      <c r="A34" s="8" t="s">
        <v>125</v>
      </c>
      <c r="B34" s="52">
        <v>90</v>
      </c>
      <c r="C34" s="52">
        <v>22.5</v>
      </c>
      <c r="D34" s="52">
        <v>22.5</v>
      </c>
      <c r="E34" s="52">
        <v>45</v>
      </c>
      <c r="F34" s="52">
        <v>0</v>
      </c>
      <c r="G34" s="52">
        <v>0</v>
      </c>
      <c r="H34" s="52">
        <v>0</v>
      </c>
      <c r="I34" s="52">
        <v>0</v>
      </c>
      <c r="J34" s="52">
        <v>0</v>
      </c>
      <c r="K34" s="52">
        <v>0</v>
      </c>
      <c r="L34" s="52">
        <v>0</v>
      </c>
      <c r="M34" s="52">
        <v>0</v>
      </c>
      <c r="N34" s="52">
        <v>0</v>
      </c>
      <c r="O34" s="52">
        <v>0</v>
      </c>
      <c r="P34" s="52">
        <v>0</v>
      </c>
      <c r="Q34" s="53">
        <v>0.16</v>
      </c>
      <c r="R34" s="52">
        <v>1.8</v>
      </c>
      <c r="S34" s="53">
        <v>0.12</v>
      </c>
      <c r="T34" s="52">
        <v>3.3333335000000002</v>
      </c>
      <c r="U34" s="54">
        <v>1</v>
      </c>
    </row>
    <row r="35" spans="1:21" s="3" customFormat="1" ht="18" customHeight="1">
      <c r="A35" s="8" t="s">
        <v>126</v>
      </c>
      <c r="B35" s="52">
        <v>110</v>
      </c>
      <c r="C35" s="52">
        <v>16.5</v>
      </c>
      <c r="D35" s="52">
        <v>16.5</v>
      </c>
      <c r="E35" s="52">
        <v>77</v>
      </c>
      <c r="F35" s="52">
        <v>0</v>
      </c>
      <c r="G35" s="52">
        <v>0</v>
      </c>
      <c r="H35" s="52">
        <v>0</v>
      </c>
      <c r="I35" s="52">
        <v>0</v>
      </c>
      <c r="J35" s="52">
        <v>0</v>
      </c>
      <c r="K35" s="52">
        <v>0</v>
      </c>
      <c r="L35" s="52">
        <v>0</v>
      </c>
      <c r="M35" s="52">
        <v>0</v>
      </c>
      <c r="N35" s="52">
        <v>0</v>
      </c>
      <c r="O35" s="52">
        <v>0</v>
      </c>
      <c r="P35" s="52">
        <v>0</v>
      </c>
      <c r="Q35" s="53">
        <v>0.22</v>
      </c>
      <c r="R35" s="52">
        <v>2.4000001000000002</v>
      </c>
      <c r="S35" s="53">
        <v>0.22000003000000001</v>
      </c>
      <c r="T35" s="52">
        <v>3.3333335000000002</v>
      </c>
      <c r="U35" s="54">
        <v>1</v>
      </c>
    </row>
    <row r="36" spans="1:21" s="3" customFormat="1" ht="18" customHeight="1">
      <c r="A36" s="8" t="s">
        <v>127</v>
      </c>
      <c r="B36" s="52">
        <v>12</v>
      </c>
      <c r="C36" s="52">
        <v>1.8000001000000001</v>
      </c>
      <c r="D36" s="52">
        <v>8.3999995999999992</v>
      </c>
      <c r="E36" s="52">
        <v>1.7999997000000001</v>
      </c>
      <c r="F36" s="52">
        <v>0</v>
      </c>
      <c r="G36" s="52">
        <v>0</v>
      </c>
      <c r="H36" s="52">
        <v>0</v>
      </c>
      <c r="I36" s="52">
        <v>0</v>
      </c>
      <c r="J36" s="52">
        <v>0</v>
      </c>
      <c r="K36" s="52">
        <v>0</v>
      </c>
      <c r="L36" s="52">
        <v>0</v>
      </c>
      <c r="M36" s="52">
        <v>0</v>
      </c>
      <c r="N36" s="52">
        <v>0</v>
      </c>
      <c r="O36" s="52">
        <v>0</v>
      </c>
      <c r="P36" s="52">
        <v>0</v>
      </c>
      <c r="Q36" s="53">
        <v>0.14000000000000001</v>
      </c>
      <c r="R36" s="52">
        <v>2</v>
      </c>
      <c r="S36" s="53">
        <v>0.13999998999999999</v>
      </c>
      <c r="T36" s="52">
        <v>20.000001999999999</v>
      </c>
      <c r="U36" s="54">
        <v>1</v>
      </c>
    </row>
    <row r="37" spans="1:21" s="3" customFormat="1" ht="18" customHeight="1">
      <c r="A37" s="8" t="s">
        <v>128</v>
      </c>
      <c r="B37" s="52">
        <v>0</v>
      </c>
      <c r="C37" s="52">
        <v>0</v>
      </c>
      <c r="D37" s="52">
        <v>0</v>
      </c>
      <c r="E37" s="52">
        <v>0</v>
      </c>
      <c r="F37" s="52">
        <v>0</v>
      </c>
      <c r="G37" s="52">
        <v>0</v>
      </c>
      <c r="H37" s="52">
        <v>0</v>
      </c>
      <c r="I37" s="52">
        <v>0</v>
      </c>
      <c r="J37" s="52">
        <v>0</v>
      </c>
      <c r="K37" s="52">
        <v>0</v>
      </c>
      <c r="L37" s="52">
        <v>0</v>
      </c>
      <c r="M37" s="52">
        <v>0</v>
      </c>
      <c r="N37" s="52">
        <v>0</v>
      </c>
      <c r="O37" s="52">
        <v>0</v>
      </c>
      <c r="P37" s="52">
        <v>0</v>
      </c>
      <c r="Q37" s="53">
        <v>0</v>
      </c>
      <c r="R37" s="52">
        <v>0</v>
      </c>
      <c r="S37" s="53">
        <v>0</v>
      </c>
      <c r="T37" s="52">
        <v>0</v>
      </c>
      <c r="U37" s="54">
        <v>0</v>
      </c>
    </row>
    <row r="38" spans="1:21" s="3" customFormat="1" ht="18" customHeight="1">
      <c r="A38" s="8" t="s">
        <v>129</v>
      </c>
      <c r="B38" s="52">
        <v>62</v>
      </c>
      <c r="C38" s="52">
        <v>0</v>
      </c>
      <c r="D38" s="52">
        <v>0</v>
      </c>
      <c r="E38" s="52">
        <v>0</v>
      </c>
      <c r="F38" s="52">
        <v>0</v>
      </c>
      <c r="G38" s="52">
        <v>0</v>
      </c>
      <c r="H38" s="52">
        <v>62</v>
      </c>
      <c r="I38" s="52">
        <v>0</v>
      </c>
      <c r="J38" s="52">
        <v>0</v>
      </c>
      <c r="K38" s="52">
        <v>0</v>
      </c>
      <c r="L38" s="52">
        <v>0</v>
      </c>
      <c r="M38" s="52">
        <v>0</v>
      </c>
      <c r="N38" s="52">
        <v>0</v>
      </c>
      <c r="O38" s="52">
        <v>0</v>
      </c>
      <c r="P38" s="52">
        <v>0</v>
      </c>
      <c r="Q38" s="53">
        <v>0.14000000000000001</v>
      </c>
      <c r="R38" s="52">
        <v>2.2000000000000002</v>
      </c>
      <c r="S38" s="53">
        <v>0.30000000999999998</v>
      </c>
      <c r="T38" s="52">
        <v>4.3333335000000002</v>
      </c>
      <c r="U38" s="54">
        <v>1</v>
      </c>
    </row>
    <row r="39" spans="1:21" s="3" customFormat="1" ht="18" customHeight="1">
      <c r="A39" s="8" t="s">
        <v>130</v>
      </c>
      <c r="B39" s="52">
        <v>24</v>
      </c>
      <c r="C39" s="52">
        <v>0</v>
      </c>
      <c r="D39" s="52">
        <v>0</v>
      </c>
      <c r="E39" s="52">
        <v>0</v>
      </c>
      <c r="F39" s="52">
        <v>0</v>
      </c>
      <c r="G39" s="52">
        <v>0</v>
      </c>
      <c r="H39" s="52">
        <v>24</v>
      </c>
      <c r="I39" s="52">
        <v>0</v>
      </c>
      <c r="J39" s="52">
        <v>0</v>
      </c>
      <c r="K39" s="52">
        <v>0</v>
      </c>
      <c r="L39" s="52">
        <v>0</v>
      </c>
      <c r="M39" s="52">
        <v>0</v>
      </c>
      <c r="N39" s="52">
        <v>0</v>
      </c>
      <c r="O39" s="52">
        <v>0</v>
      </c>
      <c r="P39" s="52">
        <v>0</v>
      </c>
      <c r="Q39" s="53">
        <v>0.14000000000000001</v>
      </c>
      <c r="R39" s="52">
        <v>2.8</v>
      </c>
      <c r="S39" s="53">
        <v>0.25999999000000001</v>
      </c>
      <c r="T39" s="52">
        <v>13.333334000000001</v>
      </c>
      <c r="U39" s="54">
        <v>1</v>
      </c>
    </row>
    <row r="40" spans="1:21" s="3" customFormat="1" ht="18" customHeight="1">
      <c r="A40" s="8" t="s">
        <v>131</v>
      </c>
      <c r="B40" s="52">
        <v>130</v>
      </c>
      <c r="C40" s="52">
        <v>91</v>
      </c>
      <c r="D40" s="52">
        <v>19.5</v>
      </c>
      <c r="E40" s="52">
        <v>19.499995999999999</v>
      </c>
      <c r="F40" s="52">
        <v>0</v>
      </c>
      <c r="G40" s="52">
        <v>0</v>
      </c>
      <c r="H40" s="52">
        <v>0</v>
      </c>
      <c r="I40" s="52">
        <v>0</v>
      </c>
      <c r="J40" s="52">
        <v>0</v>
      </c>
      <c r="K40" s="52">
        <v>0</v>
      </c>
      <c r="L40" s="52">
        <v>0</v>
      </c>
      <c r="M40" s="52">
        <v>0</v>
      </c>
      <c r="N40" s="52">
        <v>0</v>
      </c>
      <c r="O40" s="52">
        <v>0</v>
      </c>
      <c r="P40" s="52">
        <v>0</v>
      </c>
      <c r="Q40" s="53">
        <v>0.13</v>
      </c>
      <c r="R40" s="52">
        <v>1.7</v>
      </c>
      <c r="S40" s="53">
        <v>0.20999998</v>
      </c>
      <c r="T40" s="52">
        <v>1.2500001000000001</v>
      </c>
      <c r="U40" s="54">
        <v>0</v>
      </c>
    </row>
    <row r="41" spans="1:21" s="3" customFormat="1" ht="18" customHeight="1">
      <c r="A41" s="8" t="s">
        <v>132</v>
      </c>
      <c r="B41" s="52">
        <v>22</v>
      </c>
      <c r="C41" s="52">
        <v>0</v>
      </c>
      <c r="D41" s="52">
        <v>0</v>
      </c>
      <c r="E41" s="52">
        <v>0</v>
      </c>
      <c r="F41" s="52">
        <v>0</v>
      </c>
      <c r="G41" s="52">
        <v>0</v>
      </c>
      <c r="H41" s="52">
        <v>22</v>
      </c>
      <c r="I41" s="52">
        <v>0</v>
      </c>
      <c r="J41" s="52">
        <v>0</v>
      </c>
      <c r="K41" s="52">
        <v>0</v>
      </c>
      <c r="L41" s="52">
        <v>0</v>
      </c>
      <c r="M41" s="52">
        <v>0</v>
      </c>
      <c r="N41" s="52">
        <v>0</v>
      </c>
      <c r="O41" s="52">
        <v>0</v>
      </c>
      <c r="P41" s="52">
        <v>0</v>
      </c>
      <c r="Q41" s="53">
        <v>0.31999999000000001</v>
      </c>
      <c r="R41" s="52">
        <v>2.2000000000000002</v>
      </c>
      <c r="S41" s="53">
        <v>0.22000003000000001</v>
      </c>
      <c r="T41" s="52">
        <v>12.000000999999999</v>
      </c>
      <c r="U41" s="54">
        <v>1</v>
      </c>
    </row>
    <row r="42" spans="1:21" s="3" customFormat="1" ht="18" customHeight="1">
      <c r="A42" s="8" t="s">
        <v>133</v>
      </c>
      <c r="B42" s="52">
        <v>450</v>
      </c>
      <c r="C42" s="52">
        <v>0</v>
      </c>
      <c r="D42" s="52">
        <v>0</v>
      </c>
      <c r="E42" s="52">
        <v>0</v>
      </c>
      <c r="F42" s="52">
        <v>0</v>
      </c>
      <c r="G42" s="52">
        <v>0</v>
      </c>
      <c r="H42" s="52">
        <v>0</v>
      </c>
      <c r="I42" s="52">
        <v>0</v>
      </c>
      <c r="J42" s="52">
        <v>450</v>
      </c>
      <c r="K42" s="52">
        <v>0</v>
      </c>
      <c r="L42" s="52">
        <v>0</v>
      </c>
      <c r="M42" s="52">
        <v>0</v>
      </c>
      <c r="N42" s="52">
        <v>0</v>
      </c>
      <c r="O42" s="52">
        <v>0</v>
      </c>
      <c r="P42" s="52">
        <v>0</v>
      </c>
      <c r="Q42" s="53">
        <v>0.16</v>
      </c>
      <c r="R42" s="52">
        <v>2</v>
      </c>
      <c r="S42" s="53">
        <v>0.22000003000000001</v>
      </c>
      <c r="T42" s="52">
        <v>2</v>
      </c>
      <c r="U42" s="54">
        <v>1</v>
      </c>
    </row>
    <row r="43" spans="1:21" s="3" customFormat="1" ht="18" customHeight="1">
      <c r="A43" s="8" t="s">
        <v>134</v>
      </c>
      <c r="B43" s="52">
        <v>170</v>
      </c>
      <c r="C43" s="52">
        <v>25.500001999999999</v>
      </c>
      <c r="D43" s="52">
        <v>136</v>
      </c>
      <c r="E43" s="52">
        <v>8.4999924</v>
      </c>
      <c r="F43" s="52">
        <v>0</v>
      </c>
      <c r="G43" s="52">
        <v>0</v>
      </c>
      <c r="H43" s="52">
        <v>0</v>
      </c>
      <c r="I43" s="52">
        <v>0</v>
      </c>
      <c r="J43" s="52">
        <v>0</v>
      </c>
      <c r="K43" s="52">
        <v>0</v>
      </c>
      <c r="L43" s="52">
        <v>0</v>
      </c>
      <c r="M43" s="52">
        <v>0</v>
      </c>
      <c r="N43" s="52">
        <v>0</v>
      </c>
      <c r="O43" s="52">
        <v>0</v>
      </c>
      <c r="P43" s="52">
        <v>0</v>
      </c>
      <c r="Q43" s="53">
        <v>0.2</v>
      </c>
      <c r="R43" s="52">
        <v>2</v>
      </c>
      <c r="S43" s="53">
        <v>0.10000002</v>
      </c>
      <c r="T43" s="52">
        <v>1.0833333999999999</v>
      </c>
      <c r="U43" s="54">
        <v>0</v>
      </c>
    </row>
    <row r="44" spans="1:21" s="3" customFormat="1" ht="18" customHeight="1">
      <c r="A44" s="8" t="s">
        <v>135</v>
      </c>
      <c r="B44" s="52">
        <v>90</v>
      </c>
      <c r="C44" s="52">
        <v>63</v>
      </c>
      <c r="D44" s="52">
        <v>13.500000999999999</v>
      </c>
      <c r="E44" s="52">
        <v>13.499998</v>
      </c>
      <c r="F44" s="52">
        <v>0</v>
      </c>
      <c r="G44" s="52">
        <v>0</v>
      </c>
      <c r="H44" s="52">
        <v>0</v>
      </c>
      <c r="I44" s="52">
        <v>0</v>
      </c>
      <c r="J44" s="52">
        <v>0</v>
      </c>
      <c r="K44" s="52">
        <v>0</v>
      </c>
      <c r="L44" s="52">
        <v>0</v>
      </c>
      <c r="M44" s="52">
        <v>0</v>
      </c>
      <c r="N44" s="52">
        <v>0</v>
      </c>
      <c r="O44" s="52">
        <v>0</v>
      </c>
      <c r="P44" s="52">
        <v>0</v>
      </c>
      <c r="Q44" s="53">
        <v>0.2</v>
      </c>
      <c r="R44" s="52">
        <v>2</v>
      </c>
      <c r="S44" s="53">
        <v>0.10000002</v>
      </c>
      <c r="T44" s="52">
        <v>1.1666666999999999</v>
      </c>
      <c r="U44" s="54">
        <v>0</v>
      </c>
    </row>
    <row r="45" spans="1:21" s="3" customFormat="1" ht="18" customHeight="1">
      <c r="A45" s="8" t="s">
        <v>136</v>
      </c>
      <c r="B45" s="52">
        <v>128</v>
      </c>
      <c r="C45" s="52">
        <v>89.599997999999999</v>
      </c>
      <c r="D45" s="52">
        <v>19.200001</v>
      </c>
      <c r="E45" s="52">
        <v>19.199997</v>
      </c>
      <c r="F45" s="52">
        <v>0</v>
      </c>
      <c r="G45" s="52">
        <v>0</v>
      </c>
      <c r="H45" s="52">
        <v>0</v>
      </c>
      <c r="I45" s="52">
        <v>0</v>
      </c>
      <c r="J45" s="52">
        <v>0</v>
      </c>
      <c r="K45" s="52">
        <v>0</v>
      </c>
      <c r="L45" s="52">
        <v>0</v>
      </c>
      <c r="M45" s="52">
        <v>0</v>
      </c>
      <c r="N45" s="52">
        <v>0</v>
      </c>
      <c r="O45" s="52">
        <v>0</v>
      </c>
      <c r="P45" s="52">
        <v>0</v>
      </c>
      <c r="Q45" s="53">
        <v>0.28000000000000003</v>
      </c>
      <c r="R45" s="52">
        <v>2.4000001000000002</v>
      </c>
      <c r="S45" s="53">
        <v>0.15999996999999999</v>
      </c>
      <c r="T45" s="52">
        <v>1.2500001000000001</v>
      </c>
      <c r="U45" s="54">
        <v>0</v>
      </c>
    </row>
    <row r="46" spans="1:21" s="3" customFormat="1" ht="18" customHeight="1">
      <c r="A46" s="8" t="s">
        <v>137</v>
      </c>
      <c r="B46" s="52">
        <v>0</v>
      </c>
      <c r="C46" s="52">
        <v>0</v>
      </c>
      <c r="D46" s="52">
        <v>0</v>
      </c>
      <c r="E46" s="52">
        <v>0</v>
      </c>
      <c r="F46" s="52">
        <v>0</v>
      </c>
      <c r="G46" s="52">
        <v>0</v>
      </c>
      <c r="H46" s="52">
        <v>0</v>
      </c>
      <c r="I46" s="52">
        <v>0</v>
      </c>
      <c r="J46" s="52">
        <v>0</v>
      </c>
      <c r="K46" s="52">
        <v>0</v>
      </c>
      <c r="L46" s="52">
        <v>0</v>
      </c>
      <c r="M46" s="52">
        <v>0</v>
      </c>
      <c r="N46" s="52">
        <v>0</v>
      </c>
      <c r="O46" s="52">
        <v>0</v>
      </c>
      <c r="P46" s="52">
        <v>0</v>
      </c>
      <c r="Q46" s="53">
        <v>0</v>
      </c>
      <c r="R46" s="52">
        <v>0</v>
      </c>
      <c r="S46" s="53">
        <v>0</v>
      </c>
      <c r="T46" s="52">
        <v>0</v>
      </c>
      <c r="U46" s="54">
        <v>0</v>
      </c>
    </row>
    <row r="47" spans="1:21" s="3" customFormat="1" ht="18" customHeight="1">
      <c r="A47" s="8" t="s">
        <v>138</v>
      </c>
      <c r="B47" s="52">
        <v>0</v>
      </c>
      <c r="C47" s="52">
        <v>0</v>
      </c>
      <c r="D47" s="52">
        <v>0</v>
      </c>
      <c r="E47" s="52">
        <v>0</v>
      </c>
      <c r="F47" s="52">
        <v>0</v>
      </c>
      <c r="G47" s="52">
        <v>0</v>
      </c>
      <c r="H47" s="52">
        <v>0</v>
      </c>
      <c r="I47" s="52">
        <v>0</v>
      </c>
      <c r="J47" s="52">
        <v>0</v>
      </c>
      <c r="K47" s="52">
        <v>0</v>
      </c>
      <c r="L47" s="52">
        <v>0</v>
      </c>
      <c r="M47" s="52">
        <v>0</v>
      </c>
      <c r="N47" s="52">
        <v>0</v>
      </c>
      <c r="O47" s="52">
        <v>0</v>
      </c>
      <c r="P47" s="52">
        <v>0</v>
      </c>
      <c r="Q47" s="53">
        <v>0</v>
      </c>
      <c r="R47" s="52">
        <v>0</v>
      </c>
      <c r="S47" s="53">
        <v>0</v>
      </c>
      <c r="T47" s="52">
        <v>0</v>
      </c>
      <c r="U47" s="54">
        <v>0</v>
      </c>
    </row>
    <row r="48" spans="1:21" s="3" customFormat="1" ht="18" customHeight="1">
      <c r="A48" s="8" t="s">
        <v>139</v>
      </c>
      <c r="B48" s="52">
        <v>600</v>
      </c>
      <c r="C48" s="52">
        <v>0</v>
      </c>
      <c r="D48" s="52">
        <v>0</v>
      </c>
      <c r="E48" s="52">
        <v>0</v>
      </c>
      <c r="F48" s="52">
        <v>0</v>
      </c>
      <c r="G48" s="52">
        <v>0</v>
      </c>
      <c r="H48" s="52">
        <v>0</v>
      </c>
      <c r="I48" s="52">
        <v>0</v>
      </c>
      <c r="J48" s="52">
        <v>0</v>
      </c>
      <c r="K48" s="52">
        <v>600</v>
      </c>
      <c r="L48" s="52">
        <v>0</v>
      </c>
      <c r="M48" s="52">
        <v>0</v>
      </c>
      <c r="N48" s="52">
        <v>0</v>
      </c>
      <c r="O48" s="52">
        <v>0</v>
      </c>
      <c r="P48" s="52">
        <v>0</v>
      </c>
      <c r="Q48" s="53">
        <v>0.22</v>
      </c>
      <c r="R48" s="52">
        <v>1.6</v>
      </c>
      <c r="S48" s="53">
        <v>0.27999996999999999</v>
      </c>
      <c r="T48" s="52">
        <v>1.1000000000000001</v>
      </c>
      <c r="U48" s="54">
        <v>1</v>
      </c>
    </row>
    <row r="49" spans="1:21" s="3" customFormat="1" ht="18" customHeight="1">
      <c r="A49" s="8" t="s">
        <v>140</v>
      </c>
      <c r="B49" s="52">
        <v>60</v>
      </c>
      <c r="C49" s="52">
        <v>0</v>
      </c>
      <c r="D49" s="52">
        <v>36</v>
      </c>
      <c r="E49" s="52">
        <v>23.999998000000001</v>
      </c>
      <c r="F49" s="52">
        <v>0</v>
      </c>
      <c r="G49" s="52">
        <v>0</v>
      </c>
      <c r="H49" s="52">
        <v>0</v>
      </c>
      <c r="I49" s="52">
        <v>0</v>
      </c>
      <c r="J49" s="52">
        <v>0</v>
      </c>
      <c r="K49" s="52">
        <v>0</v>
      </c>
      <c r="L49" s="52">
        <v>0</v>
      </c>
      <c r="M49" s="52">
        <v>0</v>
      </c>
      <c r="N49" s="52">
        <v>0</v>
      </c>
      <c r="O49" s="52">
        <v>0</v>
      </c>
      <c r="P49" s="52">
        <v>0</v>
      </c>
      <c r="Q49" s="53">
        <v>0.18000000999999999</v>
      </c>
      <c r="R49" s="52">
        <v>1.6</v>
      </c>
      <c r="S49" s="53">
        <v>0.25999999000000001</v>
      </c>
      <c r="T49" s="52">
        <v>4.6666670000000003</v>
      </c>
      <c r="U49" s="54">
        <v>1</v>
      </c>
    </row>
    <row r="50" spans="1:21" s="3" customFormat="1" ht="18" customHeight="1">
      <c r="A50" s="8" t="s">
        <v>141</v>
      </c>
      <c r="B50" s="52">
        <v>360</v>
      </c>
      <c r="C50" s="52">
        <v>233.99997999999999</v>
      </c>
      <c r="D50" s="52">
        <v>0</v>
      </c>
      <c r="E50" s="52">
        <v>126.00001</v>
      </c>
      <c r="F50" s="52">
        <v>0</v>
      </c>
      <c r="G50" s="52">
        <v>0</v>
      </c>
      <c r="H50" s="52">
        <v>0</v>
      </c>
      <c r="I50" s="52">
        <v>0</v>
      </c>
      <c r="J50" s="52">
        <v>0</v>
      </c>
      <c r="K50" s="52">
        <v>0</v>
      </c>
      <c r="L50" s="52">
        <v>0</v>
      </c>
      <c r="M50" s="52">
        <v>0</v>
      </c>
      <c r="N50" s="52">
        <v>0</v>
      </c>
      <c r="O50" s="52">
        <v>0</v>
      </c>
      <c r="P50" s="52">
        <v>0</v>
      </c>
      <c r="Q50" s="53">
        <v>0.23999999</v>
      </c>
      <c r="R50" s="52">
        <v>2</v>
      </c>
      <c r="S50" s="53">
        <v>0.38</v>
      </c>
      <c r="T50" s="52">
        <v>0.73333334999999999</v>
      </c>
      <c r="U50" s="54">
        <v>0</v>
      </c>
    </row>
    <row r="51" spans="1:21" s="3" customFormat="1" ht="18" customHeight="1">
      <c r="A51" s="8" t="s">
        <v>142</v>
      </c>
      <c r="B51" s="52">
        <v>0</v>
      </c>
      <c r="C51" s="52">
        <v>0</v>
      </c>
      <c r="D51" s="52">
        <v>0</v>
      </c>
      <c r="E51" s="52">
        <v>0</v>
      </c>
      <c r="F51" s="52">
        <v>0</v>
      </c>
      <c r="G51" s="52">
        <v>0</v>
      </c>
      <c r="H51" s="52">
        <v>0</v>
      </c>
      <c r="I51" s="52">
        <v>0</v>
      </c>
      <c r="J51" s="52">
        <v>0</v>
      </c>
      <c r="K51" s="52">
        <v>0</v>
      </c>
      <c r="L51" s="52">
        <v>0</v>
      </c>
      <c r="M51" s="52">
        <v>0</v>
      </c>
      <c r="N51" s="52">
        <v>0</v>
      </c>
      <c r="O51" s="52">
        <v>0</v>
      </c>
      <c r="P51" s="52">
        <v>0</v>
      </c>
      <c r="Q51" s="53">
        <v>0</v>
      </c>
      <c r="R51" s="52">
        <v>0</v>
      </c>
      <c r="S51" s="53">
        <v>0</v>
      </c>
      <c r="T51" s="52">
        <v>0</v>
      </c>
      <c r="U51" s="54">
        <v>0</v>
      </c>
    </row>
    <row r="52" spans="1:21" s="3" customFormat="1" ht="18" customHeight="1">
      <c r="A52" s="8" t="s">
        <v>143</v>
      </c>
      <c r="B52" s="52">
        <v>300</v>
      </c>
      <c r="C52" s="52">
        <v>60</v>
      </c>
      <c r="D52" s="52">
        <v>0</v>
      </c>
      <c r="E52" s="52">
        <v>240</v>
      </c>
      <c r="F52" s="52">
        <v>0</v>
      </c>
      <c r="G52" s="52">
        <v>0</v>
      </c>
      <c r="H52" s="52">
        <v>0</v>
      </c>
      <c r="I52" s="52">
        <v>0</v>
      </c>
      <c r="J52" s="52">
        <v>0</v>
      </c>
      <c r="K52" s="52">
        <v>0</v>
      </c>
      <c r="L52" s="52">
        <v>0</v>
      </c>
      <c r="M52" s="52">
        <v>0</v>
      </c>
      <c r="N52" s="52">
        <v>0</v>
      </c>
      <c r="O52" s="52">
        <v>0</v>
      </c>
      <c r="P52" s="52">
        <v>0</v>
      </c>
      <c r="Q52" s="53">
        <v>0.31999999000000001</v>
      </c>
      <c r="R52" s="52">
        <v>2.4000001000000002</v>
      </c>
      <c r="S52" s="53">
        <v>0.24000001000000001</v>
      </c>
      <c r="T52" s="52">
        <v>0.80000006999999995</v>
      </c>
      <c r="U52" s="54">
        <v>0</v>
      </c>
    </row>
    <row r="53" spans="1:21" s="3" customFormat="1" ht="18" customHeight="1">
      <c r="A53" s="8" t="s">
        <v>144</v>
      </c>
      <c r="B53" s="52">
        <v>57</v>
      </c>
      <c r="C53" s="52">
        <v>24.51</v>
      </c>
      <c r="D53" s="52">
        <v>6.27</v>
      </c>
      <c r="E53" s="52">
        <v>26.219999000000001</v>
      </c>
      <c r="F53" s="52">
        <v>0</v>
      </c>
      <c r="G53" s="52">
        <v>0</v>
      </c>
      <c r="H53" s="52">
        <v>0</v>
      </c>
      <c r="I53" s="52">
        <v>0</v>
      </c>
      <c r="J53" s="52">
        <v>0</v>
      </c>
      <c r="K53" s="52">
        <v>0</v>
      </c>
      <c r="L53" s="52">
        <v>0</v>
      </c>
      <c r="M53" s="52">
        <v>0</v>
      </c>
      <c r="N53" s="52">
        <v>0</v>
      </c>
      <c r="O53" s="52">
        <v>0</v>
      </c>
      <c r="P53" s="52">
        <v>0</v>
      </c>
      <c r="Q53" s="53">
        <v>0.27000001000000001</v>
      </c>
      <c r="R53" s="52">
        <v>2.2999999999999998</v>
      </c>
      <c r="S53" s="53">
        <v>0.19</v>
      </c>
      <c r="T53" s="52">
        <v>4.3333335000000002</v>
      </c>
      <c r="U53" s="54">
        <v>1</v>
      </c>
    </row>
    <row r="54" spans="1:21" s="3" customFormat="1" ht="18" customHeight="1">
      <c r="A54" s="8" t="s">
        <v>145</v>
      </c>
      <c r="B54" s="52">
        <v>0</v>
      </c>
      <c r="C54" s="52">
        <v>0</v>
      </c>
      <c r="D54" s="52">
        <v>0</v>
      </c>
      <c r="E54" s="52">
        <v>0</v>
      </c>
      <c r="F54" s="52">
        <v>0</v>
      </c>
      <c r="G54" s="52">
        <v>0</v>
      </c>
      <c r="H54" s="52">
        <v>0</v>
      </c>
      <c r="I54" s="52">
        <v>0</v>
      </c>
      <c r="J54" s="52">
        <v>0</v>
      </c>
      <c r="K54" s="52">
        <v>0</v>
      </c>
      <c r="L54" s="52">
        <v>0</v>
      </c>
      <c r="M54" s="52">
        <v>0</v>
      </c>
      <c r="N54" s="52">
        <v>0</v>
      </c>
      <c r="O54" s="52">
        <v>0</v>
      </c>
      <c r="P54" s="52">
        <v>0</v>
      </c>
      <c r="Q54" s="53">
        <v>0</v>
      </c>
      <c r="R54" s="52">
        <v>0</v>
      </c>
      <c r="S54" s="53">
        <v>0</v>
      </c>
      <c r="T54" s="52">
        <v>0</v>
      </c>
      <c r="U54" s="54">
        <v>0</v>
      </c>
    </row>
    <row r="55" spans="1:21" s="3" customFormat="1" ht="18" customHeight="1">
      <c r="A55" s="8" t="s">
        <v>146</v>
      </c>
      <c r="B55" s="52">
        <v>12010</v>
      </c>
      <c r="C55" s="52">
        <v>10</v>
      </c>
      <c r="D55" s="52">
        <v>0</v>
      </c>
      <c r="E55" s="52">
        <v>0</v>
      </c>
      <c r="F55" s="52">
        <v>3000</v>
      </c>
      <c r="G55" s="52">
        <v>0</v>
      </c>
      <c r="H55" s="52">
        <v>0</v>
      </c>
      <c r="I55" s="52">
        <v>0</v>
      </c>
      <c r="J55" s="52">
        <v>9000</v>
      </c>
      <c r="K55" s="52">
        <v>0</v>
      </c>
      <c r="L55" s="52">
        <v>0</v>
      </c>
      <c r="M55" s="52">
        <v>0</v>
      </c>
      <c r="N55" s="52">
        <v>0</v>
      </c>
      <c r="O55" s="52">
        <v>0</v>
      </c>
      <c r="P55" s="52">
        <v>0</v>
      </c>
      <c r="Q55" s="53">
        <v>0.5</v>
      </c>
      <c r="R55" s="52">
        <v>3</v>
      </c>
      <c r="S55" s="53">
        <v>0.5</v>
      </c>
      <c r="T55" s="52">
        <v>3.3333335000000002</v>
      </c>
      <c r="U55" s="54">
        <v>1</v>
      </c>
    </row>
    <row r="56" spans="1:21" s="3" customFormat="1" ht="18" customHeight="1">
      <c r="A56" s="8" t="s">
        <v>147</v>
      </c>
      <c r="B56" s="52">
        <v>5</v>
      </c>
      <c r="C56" s="52">
        <v>0</v>
      </c>
      <c r="D56" s="52">
        <v>0</v>
      </c>
      <c r="E56" s="52">
        <v>0</v>
      </c>
      <c r="F56" s="52">
        <v>0</v>
      </c>
      <c r="G56" s="52">
        <v>5</v>
      </c>
      <c r="H56" s="52">
        <v>0</v>
      </c>
      <c r="I56" s="52">
        <v>0</v>
      </c>
      <c r="J56" s="52">
        <v>0</v>
      </c>
      <c r="K56" s="52">
        <v>0</v>
      </c>
      <c r="L56" s="52">
        <v>0</v>
      </c>
      <c r="M56" s="52">
        <v>0</v>
      </c>
      <c r="N56" s="52">
        <v>0</v>
      </c>
      <c r="O56" s="52">
        <v>0</v>
      </c>
      <c r="P56" s="52">
        <v>0</v>
      </c>
      <c r="Q56" s="53">
        <v>0.02</v>
      </c>
      <c r="R56" s="52">
        <v>1.5</v>
      </c>
      <c r="S56" s="53">
        <v>2.9999971E-2</v>
      </c>
      <c r="T56" s="52">
        <v>1</v>
      </c>
      <c r="U56" s="54">
        <v>1</v>
      </c>
    </row>
    <row r="57" spans="1:21" s="3" customFormat="1" ht="18" customHeight="1">
      <c r="A57" s="8" t="s">
        <v>148</v>
      </c>
      <c r="B57" s="52">
        <v>75</v>
      </c>
      <c r="C57" s="52">
        <v>10.5</v>
      </c>
      <c r="D57" s="52">
        <v>60</v>
      </c>
      <c r="E57" s="52">
        <v>4.5</v>
      </c>
      <c r="F57" s="52">
        <v>0</v>
      </c>
      <c r="G57" s="52">
        <v>0</v>
      </c>
      <c r="H57" s="52">
        <v>0</v>
      </c>
      <c r="I57" s="52">
        <v>0</v>
      </c>
      <c r="J57" s="52">
        <v>0</v>
      </c>
      <c r="K57" s="52">
        <v>0</v>
      </c>
      <c r="L57" s="52">
        <v>0</v>
      </c>
      <c r="M57" s="52">
        <v>0</v>
      </c>
      <c r="N57" s="52">
        <v>0</v>
      </c>
      <c r="O57" s="52">
        <v>0</v>
      </c>
      <c r="P57" s="52">
        <v>0</v>
      </c>
      <c r="Q57" s="53">
        <v>0.25</v>
      </c>
      <c r="R57" s="52">
        <v>2</v>
      </c>
      <c r="S57" s="53">
        <v>0.19999998999999999</v>
      </c>
      <c r="T57" s="52">
        <v>1</v>
      </c>
      <c r="U57" s="54">
        <v>1</v>
      </c>
    </row>
    <row r="58" spans="1:21" s="3" customFormat="1" ht="18" customHeight="1">
      <c r="A58" s="8" t="s">
        <v>149</v>
      </c>
      <c r="B58" s="52">
        <v>75</v>
      </c>
      <c r="C58" s="52">
        <v>10.5</v>
      </c>
      <c r="D58" s="52">
        <v>60</v>
      </c>
      <c r="E58" s="52">
        <v>4.5</v>
      </c>
      <c r="F58" s="52">
        <v>0</v>
      </c>
      <c r="G58" s="52">
        <v>0</v>
      </c>
      <c r="H58" s="52">
        <v>0</v>
      </c>
      <c r="I58" s="52">
        <v>0</v>
      </c>
      <c r="J58" s="52">
        <v>0</v>
      </c>
      <c r="K58" s="52">
        <v>0</v>
      </c>
      <c r="L58" s="52">
        <v>0</v>
      </c>
      <c r="M58" s="52">
        <v>0</v>
      </c>
      <c r="N58" s="52">
        <v>0</v>
      </c>
      <c r="O58" s="52">
        <v>0</v>
      </c>
      <c r="P58" s="52">
        <v>0</v>
      </c>
      <c r="Q58" s="53">
        <v>0.25</v>
      </c>
      <c r="R58" s="52">
        <v>2</v>
      </c>
      <c r="S58" s="53">
        <v>0.19999998999999999</v>
      </c>
      <c r="T58" s="52">
        <v>1</v>
      </c>
      <c r="U58" s="54">
        <v>1</v>
      </c>
    </row>
    <row r="59" spans="1:21" s="3" customFormat="1" ht="18" customHeight="1">
      <c r="A59" s="8" t="s">
        <v>150</v>
      </c>
      <c r="B59" s="52">
        <v>297</v>
      </c>
      <c r="C59" s="52">
        <v>35.639999000000003</v>
      </c>
      <c r="D59" s="52">
        <v>59.400002000000001</v>
      </c>
      <c r="E59" s="52">
        <v>201.96001000000001</v>
      </c>
      <c r="F59" s="52">
        <v>0</v>
      </c>
      <c r="G59" s="52">
        <v>0</v>
      </c>
      <c r="H59" s="52">
        <v>0</v>
      </c>
      <c r="I59" s="52">
        <v>0</v>
      </c>
      <c r="J59" s="52">
        <v>0</v>
      </c>
      <c r="K59" s="52">
        <v>0</v>
      </c>
      <c r="L59" s="52">
        <v>0</v>
      </c>
      <c r="M59" s="52">
        <v>0</v>
      </c>
      <c r="N59" s="52">
        <v>0</v>
      </c>
      <c r="O59" s="52">
        <v>0</v>
      </c>
      <c r="P59" s="52">
        <v>0</v>
      </c>
      <c r="Q59" s="53">
        <v>9.0000003999999995E-2</v>
      </c>
      <c r="R59" s="52">
        <v>1.9</v>
      </c>
      <c r="S59" s="53">
        <v>0.37</v>
      </c>
      <c r="T59" s="52">
        <v>1.0833333999999999</v>
      </c>
      <c r="U59" s="54">
        <v>0</v>
      </c>
    </row>
    <row r="60" spans="1:21" s="3" customFormat="1" ht="18" customHeight="1">
      <c r="A60" s="8" t="s">
        <v>151</v>
      </c>
      <c r="B60" s="52">
        <v>190</v>
      </c>
      <c r="C60" s="52">
        <v>70</v>
      </c>
      <c r="D60" s="52">
        <v>42</v>
      </c>
      <c r="E60" s="52">
        <v>78</v>
      </c>
      <c r="F60" s="52">
        <v>0</v>
      </c>
      <c r="G60" s="52">
        <v>0</v>
      </c>
      <c r="H60" s="52">
        <v>0</v>
      </c>
      <c r="I60" s="52">
        <v>0</v>
      </c>
      <c r="J60" s="52">
        <v>0</v>
      </c>
      <c r="K60" s="52">
        <v>0</v>
      </c>
      <c r="L60" s="52">
        <v>0</v>
      </c>
      <c r="M60" s="52">
        <v>0</v>
      </c>
      <c r="N60" s="52">
        <v>0</v>
      </c>
      <c r="O60" s="52">
        <v>0</v>
      </c>
      <c r="P60" s="52">
        <v>0</v>
      </c>
      <c r="Q60" s="53">
        <v>0.17</v>
      </c>
      <c r="R60" s="52">
        <v>1.9</v>
      </c>
      <c r="S60" s="53">
        <v>0.33000003999999999</v>
      </c>
      <c r="T60" s="52">
        <v>4.3333335000000002</v>
      </c>
      <c r="U60" s="54">
        <v>1</v>
      </c>
    </row>
    <row r="61" spans="1:21" s="3" customFormat="1" ht="18" customHeight="1">
      <c r="A61" s="8" t="s">
        <v>152</v>
      </c>
      <c r="B61" s="52">
        <v>240</v>
      </c>
      <c r="C61" s="52">
        <v>100</v>
      </c>
      <c r="D61" s="52">
        <v>49</v>
      </c>
      <c r="E61" s="52">
        <v>91</v>
      </c>
      <c r="F61" s="52">
        <v>0</v>
      </c>
      <c r="G61" s="52">
        <v>0</v>
      </c>
      <c r="H61" s="52">
        <v>0</v>
      </c>
      <c r="I61" s="52">
        <v>0</v>
      </c>
      <c r="J61" s="52">
        <v>0</v>
      </c>
      <c r="K61" s="52">
        <v>0</v>
      </c>
      <c r="L61" s="52">
        <v>0</v>
      </c>
      <c r="M61" s="52">
        <v>0</v>
      </c>
      <c r="N61" s="52">
        <v>0</v>
      </c>
      <c r="O61" s="52">
        <v>0</v>
      </c>
      <c r="P61" s="52">
        <v>0</v>
      </c>
      <c r="Q61" s="53">
        <v>0.20999999</v>
      </c>
      <c r="R61" s="52">
        <v>1.9</v>
      </c>
      <c r="S61" s="53">
        <v>0.37</v>
      </c>
      <c r="T61" s="52">
        <v>4.3333335000000002</v>
      </c>
      <c r="U61" s="54">
        <v>1</v>
      </c>
    </row>
    <row r="62" spans="1:21" s="3" customFormat="1" ht="18" customHeight="1">
      <c r="A62" s="8" t="s">
        <v>153</v>
      </c>
      <c r="B62" s="52">
        <v>0</v>
      </c>
      <c r="C62" s="52">
        <v>0</v>
      </c>
      <c r="D62" s="52">
        <v>0</v>
      </c>
      <c r="E62" s="52">
        <v>0</v>
      </c>
      <c r="F62" s="52">
        <v>0</v>
      </c>
      <c r="G62" s="52">
        <v>0</v>
      </c>
      <c r="H62" s="52">
        <v>0</v>
      </c>
      <c r="I62" s="52">
        <v>0</v>
      </c>
      <c r="J62" s="52">
        <v>0</v>
      </c>
      <c r="K62" s="52">
        <v>0</v>
      </c>
      <c r="L62" s="52">
        <v>0</v>
      </c>
      <c r="M62" s="52">
        <v>0</v>
      </c>
      <c r="N62" s="52">
        <v>0</v>
      </c>
      <c r="O62" s="52">
        <v>0</v>
      </c>
      <c r="P62" s="52">
        <v>0</v>
      </c>
      <c r="Q62" s="53">
        <v>0</v>
      </c>
      <c r="R62" s="52">
        <v>0</v>
      </c>
      <c r="S62" s="53">
        <v>0</v>
      </c>
      <c r="T62" s="52">
        <v>0</v>
      </c>
      <c r="U62" s="54">
        <v>0</v>
      </c>
    </row>
    <row r="63" spans="1:21" s="3" customFormat="1" ht="18" customHeight="1">
      <c r="A63" s="8" t="s">
        <v>154</v>
      </c>
      <c r="B63" s="52">
        <v>70</v>
      </c>
      <c r="C63" s="52">
        <v>0</v>
      </c>
      <c r="D63" s="52">
        <v>22</v>
      </c>
      <c r="E63" s="52">
        <v>0</v>
      </c>
      <c r="F63" s="52">
        <v>48</v>
      </c>
      <c r="G63" s="52">
        <v>0</v>
      </c>
      <c r="H63" s="52">
        <v>0</v>
      </c>
      <c r="I63" s="52">
        <v>0</v>
      </c>
      <c r="J63" s="52">
        <v>0</v>
      </c>
      <c r="K63" s="52">
        <v>0</v>
      </c>
      <c r="L63" s="52">
        <v>0</v>
      </c>
      <c r="M63" s="52">
        <v>0</v>
      </c>
      <c r="N63" s="52">
        <v>0</v>
      </c>
      <c r="O63" s="52">
        <v>0</v>
      </c>
      <c r="P63" s="52">
        <v>0</v>
      </c>
      <c r="Q63" s="53">
        <v>0.31999999000000001</v>
      </c>
      <c r="R63" s="52">
        <v>2</v>
      </c>
      <c r="S63" s="53">
        <v>7.9999982999999997E-2</v>
      </c>
      <c r="T63" s="52">
        <v>5.0000004999999996</v>
      </c>
      <c r="U63" s="54">
        <v>1</v>
      </c>
    </row>
    <row r="64" spans="1:21" s="3" customFormat="1" ht="18" customHeight="1">
      <c r="A64" s="8" t="s">
        <v>155</v>
      </c>
      <c r="B64" s="52">
        <v>29</v>
      </c>
      <c r="C64" s="52">
        <v>0</v>
      </c>
      <c r="D64" s="52">
        <v>0</v>
      </c>
      <c r="E64" s="52">
        <v>0</v>
      </c>
      <c r="F64" s="52">
        <v>29</v>
      </c>
      <c r="G64" s="52">
        <v>0</v>
      </c>
      <c r="H64" s="52">
        <v>0</v>
      </c>
      <c r="I64" s="52">
        <v>0</v>
      </c>
      <c r="J64" s="52">
        <v>0</v>
      </c>
      <c r="K64" s="52">
        <v>0</v>
      </c>
      <c r="L64" s="52">
        <v>0</v>
      </c>
      <c r="M64" s="52">
        <v>0</v>
      </c>
      <c r="N64" s="52">
        <v>0</v>
      </c>
      <c r="O64" s="52">
        <v>0</v>
      </c>
      <c r="P64" s="52">
        <v>0</v>
      </c>
      <c r="Q64" s="53">
        <v>0.15000000999999999</v>
      </c>
      <c r="R64" s="52">
        <v>1.7</v>
      </c>
      <c r="S64" s="53">
        <v>0.20999998</v>
      </c>
      <c r="T64" s="52">
        <v>8</v>
      </c>
      <c r="U64" s="54">
        <v>1</v>
      </c>
    </row>
    <row r="65" spans="1:21" s="3" customFormat="1" ht="18" customHeight="1">
      <c r="A65" s="8" t="s">
        <v>156</v>
      </c>
      <c r="B65" s="52">
        <v>129</v>
      </c>
      <c r="C65" s="52">
        <v>6.4500003000000001</v>
      </c>
      <c r="D65" s="52">
        <v>6.4500003000000001</v>
      </c>
      <c r="E65" s="52">
        <v>116.1</v>
      </c>
      <c r="F65" s="52">
        <v>0</v>
      </c>
      <c r="G65" s="52">
        <v>0</v>
      </c>
      <c r="H65" s="52">
        <v>0</v>
      </c>
      <c r="I65" s="52">
        <v>0</v>
      </c>
      <c r="J65" s="52">
        <v>0</v>
      </c>
      <c r="K65" s="52">
        <v>0</v>
      </c>
      <c r="L65" s="52">
        <v>0</v>
      </c>
      <c r="M65" s="52">
        <v>0</v>
      </c>
      <c r="N65" s="52">
        <v>0</v>
      </c>
      <c r="O65" s="52">
        <v>0</v>
      </c>
      <c r="P65" s="52">
        <v>0</v>
      </c>
      <c r="Q65" s="53">
        <v>0.25</v>
      </c>
      <c r="R65" s="52">
        <v>3</v>
      </c>
      <c r="S65" s="53">
        <v>0.19999998999999999</v>
      </c>
      <c r="T65" s="52">
        <v>0.91666669000000001</v>
      </c>
      <c r="U65" s="54">
        <v>0</v>
      </c>
    </row>
    <row r="66" spans="1:21" s="3" customFormat="1" ht="18" customHeight="1">
      <c r="A66" s="8" t="s">
        <v>157</v>
      </c>
      <c r="B66" s="52">
        <v>80</v>
      </c>
      <c r="C66" s="52">
        <v>4</v>
      </c>
      <c r="D66" s="52">
        <v>60</v>
      </c>
      <c r="E66" s="52">
        <v>15.999999000000001</v>
      </c>
      <c r="F66" s="52">
        <v>0</v>
      </c>
      <c r="G66" s="52">
        <v>0</v>
      </c>
      <c r="H66" s="52">
        <v>0</v>
      </c>
      <c r="I66" s="52">
        <v>0</v>
      </c>
      <c r="J66" s="52">
        <v>0</v>
      </c>
      <c r="K66" s="52">
        <v>0</v>
      </c>
      <c r="L66" s="52">
        <v>0</v>
      </c>
      <c r="M66" s="52">
        <v>0</v>
      </c>
      <c r="N66" s="52">
        <v>0</v>
      </c>
      <c r="O66" s="52">
        <v>0</v>
      </c>
      <c r="P66" s="52">
        <v>0</v>
      </c>
      <c r="Q66" s="53">
        <v>0.25</v>
      </c>
      <c r="R66" s="52">
        <v>3</v>
      </c>
      <c r="S66" s="53">
        <v>0.10000002</v>
      </c>
      <c r="T66" s="52">
        <v>3.6666666999999999</v>
      </c>
      <c r="U66" s="54">
        <v>1</v>
      </c>
    </row>
    <row r="67" spans="1:21" s="3" customFormat="1" ht="18" customHeight="1">
      <c r="A67" s="8" t="s">
        <v>158</v>
      </c>
      <c r="B67" s="52">
        <v>40</v>
      </c>
      <c r="C67" s="52">
        <v>0</v>
      </c>
      <c r="D67" s="52">
        <v>40</v>
      </c>
      <c r="E67" s="52">
        <v>0</v>
      </c>
      <c r="F67" s="52">
        <v>0</v>
      </c>
      <c r="G67" s="52">
        <v>0</v>
      </c>
      <c r="H67" s="52">
        <v>0</v>
      </c>
      <c r="I67" s="52">
        <v>0</v>
      </c>
      <c r="J67" s="52">
        <v>0</v>
      </c>
      <c r="K67" s="52">
        <v>0</v>
      </c>
      <c r="L67" s="52">
        <v>0</v>
      </c>
      <c r="M67" s="52">
        <v>0</v>
      </c>
      <c r="N67" s="52">
        <v>0</v>
      </c>
      <c r="O67" s="52">
        <v>0</v>
      </c>
      <c r="P67" s="52">
        <v>0</v>
      </c>
      <c r="Q67" s="53">
        <v>0.25999999000000001</v>
      </c>
      <c r="R67" s="52">
        <v>2.4000001000000002</v>
      </c>
      <c r="S67" s="53">
        <v>0.18000000999999999</v>
      </c>
      <c r="T67" s="52">
        <v>10.000000999999999</v>
      </c>
      <c r="U67" s="54">
        <v>1</v>
      </c>
    </row>
    <row r="68" spans="1:21" s="3" customFormat="1" ht="18" customHeight="1">
      <c r="A68" s="8" t="s">
        <v>159</v>
      </c>
      <c r="B68" s="52">
        <v>20</v>
      </c>
      <c r="C68" s="52">
        <v>2</v>
      </c>
      <c r="D68" s="52">
        <v>5</v>
      </c>
      <c r="E68" s="52">
        <v>13</v>
      </c>
      <c r="F68" s="52">
        <v>0</v>
      </c>
      <c r="G68" s="52">
        <v>0</v>
      </c>
      <c r="H68" s="52">
        <v>0</v>
      </c>
      <c r="I68" s="52">
        <v>0</v>
      </c>
      <c r="J68" s="52">
        <v>0</v>
      </c>
      <c r="K68" s="52">
        <v>0</v>
      </c>
      <c r="L68" s="52">
        <v>0</v>
      </c>
      <c r="M68" s="52">
        <v>0</v>
      </c>
      <c r="N68" s="52">
        <v>0</v>
      </c>
      <c r="O68" s="52">
        <v>0</v>
      </c>
      <c r="P68" s="52">
        <v>0</v>
      </c>
      <c r="Q68" s="53">
        <v>0.16</v>
      </c>
      <c r="R68" s="52">
        <v>2</v>
      </c>
      <c r="S68" s="53">
        <v>0.15999996999999999</v>
      </c>
      <c r="T68" s="52">
        <v>10.000000999999999</v>
      </c>
      <c r="U68" s="54">
        <v>1</v>
      </c>
    </row>
    <row r="69" spans="1:21" s="3" customFormat="1" ht="18" customHeight="1">
      <c r="A69" s="8" t="s">
        <v>160</v>
      </c>
      <c r="B69" s="52">
        <v>170</v>
      </c>
      <c r="C69" s="52">
        <v>51.000003999999997</v>
      </c>
      <c r="D69" s="52">
        <v>34</v>
      </c>
      <c r="E69" s="52">
        <v>85</v>
      </c>
      <c r="F69" s="52">
        <v>0</v>
      </c>
      <c r="G69" s="52">
        <v>0</v>
      </c>
      <c r="H69" s="52">
        <v>0</v>
      </c>
      <c r="I69" s="52">
        <v>0</v>
      </c>
      <c r="J69" s="52">
        <v>0</v>
      </c>
      <c r="K69" s="52">
        <v>0</v>
      </c>
      <c r="L69" s="52">
        <v>0</v>
      </c>
      <c r="M69" s="52">
        <v>0</v>
      </c>
      <c r="N69" s="52">
        <v>0</v>
      </c>
      <c r="O69" s="52">
        <v>0</v>
      </c>
      <c r="P69" s="52">
        <v>0</v>
      </c>
      <c r="Q69" s="53">
        <v>0.34</v>
      </c>
      <c r="R69" s="52">
        <v>3</v>
      </c>
      <c r="S69" s="53">
        <v>0.22000003000000001</v>
      </c>
      <c r="T69" s="52">
        <v>1.1666666999999999</v>
      </c>
      <c r="U69" s="54">
        <v>0</v>
      </c>
    </row>
    <row r="70" spans="1:21" s="3" customFormat="1" ht="18" customHeight="1">
      <c r="A70" s="8" t="s">
        <v>161</v>
      </c>
      <c r="B70" s="52">
        <v>0</v>
      </c>
      <c r="C70" s="52">
        <v>0</v>
      </c>
      <c r="D70" s="52">
        <v>0</v>
      </c>
      <c r="E70" s="52">
        <v>0</v>
      </c>
      <c r="F70" s="52">
        <v>0</v>
      </c>
      <c r="G70" s="52">
        <v>0</v>
      </c>
      <c r="H70" s="52">
        <v>0</v>
      </c>
      <c r="I70" s="52">
        <v>0</v>
      </c>
      <c r="J70" s="52">
        <v>0</v>
      </c>
      <c r="K70" s="52">
        <v>0</v>
      </c>
      <c r="L70" s="52">
        <v>0</v>
      </c>
      <c r="M70" s="52">
        <v>0</v>
      </c>
      <c r="N70" s="52">
        <v>0</v>
      </c>
      <c r="O70" s="52">
        <v>0</v>
      </c>
      <c r="P70" s="52">
        <v>0</v>
      </c>
      <c r="Q70" s="53">
        <v>0</v>
      </c>
      <c r="R70" s="52">
        <v>0</v>
      </c>
      <c r="S70" s="53">
        <v>0</v>
      </c>
      <c r="T70" s="52">
        <v>0</v>
      </c>
      <c r="U70" s="54">
        <v>0</v>
      </c>
    </row>
    <row r="71" spans="1:21" s="3" customFormat="1" ht="18" customHeight="1">
      <c r="A71" s="8" t="s">
        <v>162</v>
      </c>
      <c r="B71" s="52">
        <v>0</v>
      </c>
      <c r="C71" s="52">
        <v>0</v>
      </c>
      <c r="D71" s="52">
        <v>0</v>
      </c>
      <c r="E71" s="52">
        <v>0</v>
      </c>
      <c r="F71" s="52">
        <v>0</v>
      </c>
      <c r="G71" s="52">
        <v>0</v>
      </c>
      <c r="H71" s="52">
        <v>0</v>
      </c>
      <c r="I71" s="52">
        <v>0</v>
      </c>
      <c r="J71" s="52">
        <v>0</v>
      </c>
      <c r="K71" s="52">
        <v>0</v>
      </c>
      <c r="L71" s="52">
        <v>0</v>
      </c>
      <c r="M71" s="52">
        <v>0</v>
      </c>
      <c r="N71" s="52">
        <v>0</v>
      </c>
      <c r="O71" s="52">
        <v>0</v>
      </c>
      <c r="P71" s="52">
        <v>0</v>
      </c>
      <c r="Q71" s="53">
        <v>5.0000001000000002E-2</v>
      </c>
      <c r="R71" s="52">
        <v>1.5</v>
      </c>
      <c r="S71" s="53">
        <v>0.10000002</v>
      </c>
      <c r="T71" s="52">
        <v>0.83333336999999996</v>
      </c>
      <c r="U71" s="54">
        <v>1</v>
      </c>
    </row>
    <row r="72" spans="1:21" s="3" customFormat="1" ht="18" customHeight="1">
      <c r="A72" s="8" t="s">
        <v>163</v>
      </c>
      <c r="B72" s="52">
        <v>0</v>
      </c>
      <c r="C72" s="52">
        <v>0</v>
      </c>
      <c r="D72" s="52">
        <v>0</v>
      </c>
      <c r="E72" s="52">
        <v>0</v>
      </c>
      <c r="F72" s="52">
        <v>0</v>
      </c>
      <c r="G72" s="52">
        <v>0</v>
      </c>
      <c r="H72" s="52">
        <v>0</v>
      </c>
      <c r="I72" s="52">
        <v>0</v>
      </c>
      <c r="J72" s="52">
        <v>0</v>
      </c>
      <c r="K72" s="52">
        <v>0</v>
      </c>
      <c r="L72" s="52">
        <v>0</v>
      </c>
      <c r="M72" s="52">
        <v>0</v>
      </c>
      <c r="N72" s="52">
        <v>0</v>
      </c>
      <c r="O72" s="52">
        <v>0</v>
      </c>
      <c r="P72" s="52">
        <v>0</v>
      </c>
      <c r="Q72" s="53">
        <v>5.0000001000000002E-2</v>
      </c>
      <c r="R72" s="52">
        <v>1.5</v>
      </c>
      <c r="S72" s="53">
        <v>0.10000002</v>
      </c>
      <c r="T72" s="52">
        <v>0.83333336999999996</v>
      </c>
      <c r="U72" s="54">
        <v>1</v>
      </c>
    </row>
    <row r="73" spans="1:21" s="3" customFormat="1" ht="18" customHeight="1">
      <c r="A73" s="8" t="s">
        <v>164</v>
      </c>
      <c r="B73" s="52">
        <v>0</v>
      </c>
      <c r="C73" s="52">
        <v>0</v>
      </c>
      <c r="D73" s="52">
        <v>0</v>
      </c>
      <c r="E73" s="52">
        <v>0</v>
      </c>
      <c r="F73" s="52">
        <v>0</v>
      </c>
      <c r="G73" s="52">
        <v>0</v>
      </c>
      <c r="H73" s="52">
        <v>0</v>
      </c>
      <c r="I73" s="52">
        <v>0</v>
      </c>
      <c r="J73" s="52">
        <v>0</v>
      </c>
      <c r="K73" s="52">
        <v>0</v>
      </c>
      <c r="L73" s="52">
        <v>0</v>
      </c>
      <c r="M73" s="52">
        <v>0</v>
      </c>
      <c r="N73" s="52">
        <v>0</v>
      </c>
      <c r="O73" s="52">
        <v>0</v>
      </c>
      <c r="P73" s="52">
        <v>0</v>
      </c>
      <c r="Q73" s="53">
        <v>0</v>
      </c>
      <c r="R73" s="52">
        <v>0</v>
      </c>
      <c r="S73" s="53">
        <v>0</v>
      </c>
      <c r="T73" s="52">
        <v>0</v>
      </c>
      <c r="U73" s="54">
        <v>0</v>
      </c>
    </row>
    <row r="74" spans="1:21" s="3" customFormat="1" ht="18" customHeight="1">
      <c r="A74" s="8" t="s">
        <v>164</v>
      </c>
      <c r="B74" s="52">
        <v>0</v>
      </c>
      <c r="C74" s="52">
        <v>0</v>
      </c>
      <c r="D74" s="52">
        <v>0</v>
      </c>
      <c r="E74" s="52">
        <v>0</v>
      </c>
      <c r="F74" s="52">
        <v>0</v>
      </c>
      <c r="G74" s="52">
        <v>0</v>
      </c>
      <c r="H74" s="52">
        <v>0</v>
      </c>
      <c r="I74" s="52">
        <v>0</v>
      </c>
      <c r="J74" s="52">
        <v>0</v>
      </c>
      <c r="K74" s="52">
        <v>0</v>
      </c>
      <c r="L74" s="52">
        <v>0</v>
      </c>
      <c r="M74" s="52">
        <v>0</v>
      </c>
      <c r="N74" s="52">
        <v>0</v>
      </c>
      <c r="O74" s="52">
        <v>0</v>
      </c>
      <c r="P74" s="52">
        <v>0</v>
      </c>
      <c r="Q74" s="53">
        <v>0</v>
      </c>
      <c r="R74" s="52">
        <v>0</v>
      </c>
      <c r="S74" s="53">
        <v>0</v>
      </c>
      <c r="T74" s="52">
        <v>0</v>
      </c>
      <c r="U74" s="54">
        <v>0</v>
      </c>
    </row>
    <row r="75" spans="1:21" s="3" customFormat="1" ht="18" customHeight="1">
      <c r="A75" s="8" t="s">
        <v>165</v>
      </c>
      <c r="B75" s="52">
        <v>100</v>
      </c>
      <c r="C75" s="52">
        <v>10</v>
      </c>
      <c r="D75" s="52">
        <v>80</v>
      </c>
      <c r="E75" s="52">
        <v>9.9999962</v>
      </c>
      <c r="F75" s="52">
        <v>0</v>
      </c>
      <c r="G75" s="52">
        <v>0</v>
      </c>
      <c r="H75" s="52">
        <v>0</v>
      </c>
      <c r="I75" s="52">
        <v>0</v>
      </c>
      <c r="J75" s="52">
        <v>0</v>
      </c>
      <c r="K75" s="52">
        <v>0</v>
      </c>
      <c r="L75" s="52">
        <v>0</v>
      </c>
      <c r="M75" s="52">
        <v>0</v>
      </c>
      <c r="N75" s="52">
        <v>0</v>
      </c>
      <c r="O75" s="52">
        <v>0</v>
      </c>
      <c r="P75" s="52">
        <v>0</v>
      </c>
      <c r="Q75" s="53">
        <v>2.5000000000000001E-2</v>
      </c>
      <c r="R75" s="52">
        <v>1.5</v>
      </c>
      <c r="S75" s="53">
        <v>0.10000002</v>
      </c>
      <c r="T75" s="52">
        <v>3.3333335000000002</v>
      </c>
      <c r="U75" s="54">
        <v>1</v>
      </c>
    </row>
    <row r="76" spans="1:21" s="3" customFormat="1" ht="18" customHeight="1">
      <c r="A76" s="8" t="s">
        <v>166</v>
      </c>
      <c r="B76" s="52">
        <v>76</v>
      </c>
      <c r="C76" s="52">
        <v>3.8</v>
      </c>
      <c r="D76" s="52">
        <v>41.799999</v>
      </c>
      <c r="E76" s="52">
        <v>30.399998</v>
      </c>
      <c r="F76" s="52">
        <v>0</v>
      </c>
      <c r="G76" s="52">
        <v>0</v>
      </c>
      <c r="H76" s="52">
        <v>0</v>
      </c>
      <c r="I76" s="52">
        <v>0</v>
      </c>
      <c r="J76" s="52">
        <v>0</v>
      </c>
      <c r="K76" s="52">
        <v>0</v>
      </c>
      <c r="L76" s="52">
        <v>0</v>
      </c>
      <c r="M76" s="52">
        <v>0</v>
      </c>
      <c r="N76" s="52">
        <v>0</v>
      </c>
      <c r="O76" s="52">
        <v>0</v>
      </c>
      <c r="P76" s="52">
        <v>0</v>
      </c>
      <c r="Q76" s="53">
        <v>0.2</v>
      </c>
      <c r="R76" s="52">
        <v>2</v>
      </c>
      <c r="S76" s="53">
        <v>0.14999998</v>
      </c>
      <c r="T76" s="52">
        <v>3.3333335000000002</v>
      </c>
      <c r="U76" s="54">
        <v>4</v>
      </c>
    </row>
    <row r="77" spans="1:21" s="3" customFormat="1" ht="18" customHeight="1">
      <c r="A77" s="8" t="s">
        <v>167</v>
      </c>
      <c r="B77" s="52">
        <v>0</v>
      </c>
      <c r="C77" s="52">
        <v>0</v>
      </c>
      <c r="D77" s="52">
        <v>0</v>
      </c>
      <c r="E77" s="52">
        <v>0</v>
      </c>
      <c r="F77" s="52">
        <v>0</v>
      </c>
      <c r="G77" s="52">
        <v>0</v>
      </c>
      <c r="H77" s="52">
        <v>0</v>
      </c>
      <c r="I77" s="52">
        <v>0</v>
      </c>
      <c r="J77" s="52">
        <v>0</v>
      </c>
      <c r="K77" s="52">
        <v>0</v>
      </c>
      <c r="L77" s="52">
        <v>0</v>
      </c>
      <c r="M77" s="52">
        <v>0</v>
      </c>
      <c r="N77" s="52">
        <v>0</v>
      </c>
      <c r="O77" s="52">
        <v>0</v>
      </c>
      <c r="P77" s="52">
        <v>0</v>
      </c>
      <c r="Q77" s="53">
        <v>0</v>
      </c>
      <c r="R77" s="52">
        <v>0</v>
      </c>
      <c r="S77" s="53">
        <v>0</v>
      </c>
      <c r="T77" s="52">
        <v>0</v>
      </c>
      <c r="U77" s="54">
        <v>0</v>
      </c>
    </row>
    <row r="78" spans="1:21" s="3" customFormat="1" ht="18" customHeight="1">
      <c r="A78" s="8" t="s">
        <v>168</v>
      </c>
      <c r="B78" s="52">
        <v>58</v>
      </c>
      <c r="C78" s="52">
        <v>0</v>
      </c>
      <c r="D78" s="52">
        <v>0</v>
      </c>
      <c r="E78" s="52">
        <v>0</v>
      </c>
      <c r="F78" s="52">
        <v>19</v>
      </c>
      <c r="G78" s="52">
        <v>0</v>
      </c>
      <c r="H78" s="52">
        <v>39</v>
      </c>
      <c r="I78" s="52">
        <v>0</v>
      </c>
      <c r="J78" s="52">
        <v>0</v>
      </c>
      <c r="K78" s="52">
        <v>0</v>
      </c>
      <c r="L78" s="52">
        <v>0</v>
      </c>
      <c r="M78" s="52">
        <v>0</v>
      </c>
      <c r="N78" s="52">
        <v>0</v>
      </c>
      <c r="O78" s="52">
        <v>0</v>
      </c>
      <c r="P78" s="52">
        <v>0</v>
      </c>
      <c r="Q78" s="53">
        <v>0.15000000999999999</v>
      </c>
      <c r="R78" s="52">
        <v>2</v>
      </c>
      <c r="S78" s="53">
        <v>0.28999996</v>
      </c>
      <c r="T78" s="52">
        <v>12.000000999999999</v>
      </c>
      <c r="U78" s="54">
        <v>1</v>
      </c>
    </row>
    <row r="79" spans="1:21" s="3" customFormat="1" ht="18" customHeight="1">
      <c r="A79" s="8" t="s">
        <v>169</v>
      </c>
      <c r="B79" s="52">
        <v>152</v>
      </c>
      <c r="C79" s="52">
        <v>76</v>
      </c>
      <c r="D79" s="52">
        <v>76</v>
      </c>
      <c r="E79" s="52">
        <v>0</v>
      </c>
      <c r="F79" s="52">
        <v>0</v>
      </c>
      <c r="G79" s="52">
        <v>0</v>
      </c>
      <c r="H79" s="52">
        <v>0</v>
      </c>
      <c r="I79" s="52">
        <v>0</v>
      </c>
      <c r="J79" s="52">
        <v>0</v>
      </c>
      <c r="K79" s="52">
        <v>0</v>
      </c>
      <c r="L79" s="52">
        <v>0</v>
      </c>
      <c r="M79" s="52">
        <v>0</v>
      </c>
      <c r="N79" s="52">
        <v>0</v>
      </c>
      <c r="O79" s="52">
        <v>0</v>
      </c>
      <c r="P79" s="52">
        <v>0</v>
      </c>
      <c r="Q79" s="53">
        <v>0.1</v>
      </c>
      <c r="R79" s="52">
        <v>3</v>
      </c>
      <c r="S79" s="53">
        <v>0.14999998</v>
      </c>
      <c r="T79" s="52">
        <v>1</v>
      </c>
      <c r="U79" s="54">
        <v>0</v>
      </c>
    </row>
    <row r="80" spans="1:21" s="3" customFormat="1" ht="18" customHeight="1">
      <c r="A80" s="8" t="s">
        <v>170</v>
      </c>
      <c r="B80" s="52">
        <v>66</v>
      </c>
      <c r="C80" s="52">
        <v>0</v>
      </c>
      <c r="D80" s="52">
        <v>24</v>
      </c>
      <c r="E80" s="52">
        <v>0</v>
      </c>
      <c r="F80" s="52">
        <v>0</v>
      </c>
      <c r="G80" s="52">
        <v>0</v>
      </c>
      <c r="H80" s="52">
        <v>0</v>
      </c>
      <c r="I80" s="52">
        <v>0</v>
      </c>
      <c r="J80" s="52">
        <v>0</v>
      </c>
      <c r="K80" s="52">
        <v>0</v>
      </c>
      <c r="L80" s="52">
        <v>0</v>
      </c>
      <c r="M80" s="52">
        <v>42</v>
      </c>
      <c r="N80" s="52">
        <v>0</v>
      </c>
      <c r="O80" s="52">
        <v>0</v>
      </c>
      <c r="P80" s="52">
        <v>0</v>
      </c>
      <c r="Q80" s="53">
        <v>0.31999999000000001</v>
      </c>
      <c r="R80" s="52">
        <v>2.4000001000000002</v>
      </c>
      <c r="S80" s="53">
        <v>0.18000000999999999</v>
      </c>
      <c r="T80" s="52">
        <v>3.5714290000000002</v>
      </c>
      <c r="U80" s="54">
        <v>1</v>
      </c>
    </row>
    <row r="81" spans="1:21" s="3" customFormat="1" ht="18" customHeight="1">
      <c r="A81" s="8" t="s">
        <v>171</v>
      </c>
      <c r="B81" s="52">
        <v>16</v>
      </c>
      <c r="C81" s="52">
        <v>5.7600002000000003</v>
      </c>
      <c r="D81" s="52">
        <v>6.7199998000000001</v>
      </c>
      <c r="E81" s="52">
        <v>3.5200005000000001</v>
      </c>
      <c r="F81" s="52">
        <v>0</v>
      </c>
      <c r="G81" s="52">
        <v>0</v>
      </c>
      <c r="H81" s="52">
        <v>0</v>
      </c>
      <c r="I81" s="52">
        <v>0</v>
      </c>
      <c r="J81" s="52">
        <v>0</v>
      </c>
      <c r="K81" s="52">
        <v>0</v>
      </c>
      <c r="L81" s="52">
        <v>0</v>
      </c>
      <c r="M81" s="52">
        <v>0</v>
      </c>
      <c r="N81" s="52">
        <v>0</v>
      </c>
      <c r="O81" s="52">
        <v>0</v>
      </c>
      <c r="P81" s="52">
        <v>0</v>
      </c>
      <c r="Q81" s="53">
        <v>0.25999999000000001</v>
      </c>
      <c r="R81" s="52">
        <v>3</v>
      </c>
      <c r="S81" s="53">
        <v>0.10000002</v>
      </c>
      <c r="T81" s="52">
        <v>16.666668000000001</v>
      </c>
      <c r="U81" s="54">
        <v>1</v>
      </c>
    </row>
    <row r="82" spans="1:21" s="3" customFormat="1" ht="18" customHeight="1">
      <c r="A82" s="8" t="s">
        <v>172</v>
      </c>
      <c r="B82" s="52">
        <v>16</v>
      </c>
      <c r="C82" s="52">
        <v>5.7600002000000003</v>
      </c>
      <c r="D82" s="52">
        <v>6.7199998000000001</v>
      </c>
      <c r="E82" s="52">
        <v>3.5200005000000001</v>
      </c>
      <c r="F82" s="52">
        <v>0</v>
      </c>
      <c r="G82" s="52">
        <v>0</v>
      </c>
      <c r="H82" s="52">
        <v>0</v>
      </c>
      <c r="I82" s="52">
        <v>0</v>
      </c>
      <c r="J82" s="52">
        <v>0</v>
      </c>
      <c r="K82" s="52">
        <v>0</v>
      </c>
      <c r="L82" s="52">
        <v>0</v>
      </c>
      <c r="M82" s="52">
        <v>0</v>
      </c>
      <c r="N82" s="52">
        <v>0</v>
      </c>
      <c r="O82" s="52">
        <v>0</v>
      </c>
      <c r="P82" s="52">
        <v>0</v>
      </c>
      <c r="Q82" s="53">
        <v>0.28000000000000003</v>
      </c>
      <c r="R82" s="52">
        <v>3</v>
      </c>
      <c r="S82" s="53">
        <v>0.13999998999999999</v>
      </c>
      <c r="T82" s="52">
        <v>16.666668000000001</v>
      </c>
      <c r="U82" s="54">
        <v>1</v>
      </c>
    </row>
    <row r="83" spans="1:21" s="3" customFormat="1" ht="18" customHeight="1">
      <c r="A83" s="8" t="s">
        <v>173</v>
      </c>
      <c r="B83" s="52">
        <v>0</v>
      </c>
      <c r="C83" s="52">
        <v>0</v>
      </c>
      <c r="D83" s="52">
        <v>0</v>
      </c>
      <c r="E83" s="52">
        <v>0</v>
      </c>
      <c r="F83" s="52">
        <v>0</v>
      </c>
      <c r="G83" s="52">
        <v>0</v>
      </c>
      <c r="H83" s="52">
        <v>0</v>
      </c>
      <c r="I83" s="52">
        <v>0</v>
      </c>
      <c r="J83" s="52">
        <v>0</v>
      </c>
      <c r="K83" s="52">
        <v>0</v>
      </c>
      <c r="L83" s="52">
        <v>0</v>
      </c>
      <c r="M83" s="52">
        <v>0</v>
      </c>
      <c r="N83" s="52">
        <v>0</v>
      </c>
      <c r="O83" s="52">
        <v>0</v>
      </c>
      <c r="P83" s="52">
        <v>0</v>
      </c>
      <c r="Q83" s="53">
        <v>0</v>
      </c>
      <c r="R83" s="52">
        <v>0</v>
      </c>
      <c r="S83" s="53">
        <v>0</v>
      </c>
      <c r="T83" s="52">
        <v>0</v>
      </c>
      <c r="U83" s="54">
        <v>0</v>
      </c>
    </row>
    <row r="84" spans="1:21" s="3" customFormat="1" ht="18" customHeight="1">
      <c r="A84" s="8" t="s">
        <v>174</v>
      </c>
      <c r="B84" s="52">
        <v>0</v>
      </c>
      <c r="C84" s="52">
        <v>0</v>
      </c>
      <c r="D84" s="52">
        <v>0</v>
      </c>
      <c r="E84" s="52">
        <v>0</v>
      </c>
      <c r="F84" s="52">
        <v>0</v>
      </c>
      <c r="G84" s="52">
        <v>0</v>
      </c>
      <c r="H84" s="52">
        <v>0</v>
      </c>
      <c r="I84" s="52">
        <v>0</v>
      </c>
      <c r="J84" s="52">
        <v>0</v>
      </c>
      <c r="K84" s="52">
        <v>0</v>
      </c>
      <c r="L84" s="52">
        <v>0</v>
      </c>
      <c r="M84" s="52">
        <v>0</v>
      </c>
      <c r="N84" s="52">
        <v>0</v>
      </c>
      <c r="O84" s="52">
        <v>0</v>
      </c>
      <c r="P84" s="52">
        <v>0</v>
      </c>
      <c r="Q84" s="53">
        <v>0</v>
      </c>
      <c r="R84" s="52">
        <v>0</v>
      </c>
      <c r="S84" s="53">
        <v>0</v>
      </c>
      <c r="T84" s="52">
        <v>0</v>
      </c>
      <c r="U84" s="54">
        <v>0</v>
      </c>
    </row>
    <row r="85" spans="1:21" s="3" customFormat="1" ht="18" customHeight="1">
      <c r="A85" s="8" t="s">
        <v>175</v>
      </c>
      <c r="B85" s="52">
        <v>0</v>
      </c>
      <c r="C85" s="52">
        <v>0</v>
      </c>
      <c r="D85" s="52">
        <v>0</v>
      </c>
      <c r="E85" s="52">
        <v>0</v>
      </c>
      <c r="F85" s="52">
        <v>0</v>
      </c>
      <c r="G85" s="52">
        <v>0</v>
      </c>
      <c r="H85" s="52">
        <v>0</v>
      </c>
      <c r="I85" s="52">
        <v>0</v>
      </c>
      <c r="J85" s="52">
        <v>0</v>
      </c>
      <c r="K85" s="52">
        <v>0</v>
      </c>
      <c r="L85" s="52">
        <v>0</v>
      </c>
      <c r="M85" s="52">
        <v>0</v>
      </c>
      <c r="N85" s="52">
        <v>0</v>
      </c>
      <c r="O85" s="52">
        <v>0</v>
      </c>
      <c r="P85" s="52">
        <v>0</v>
      </c>
      <c r="Q85" s="53">
        <v>0</v>
      </c>
      <c r="R85" s="52">
        <v>0</v>
      </c>
      <c r="S85" s="53">
        <v>0</v>
      </c>
      <c r="T85" s="52">
        <v>0</v>
      </c>
      <c r="U85" s="54">
        <v>0</v>
      </c>
    </row>
    <row r="86" spans="1:21" s="3" customFormat="1" ht="18" customHeight="1">
      <c r="A86" s="8" t="s">
        <v>176</v>
      </c>
      <c r="B86" s="52">
        <v>140</v>
      </c>
      <c r="C86" s="52">
        <v>126</v>
      </c>
      <c r="D86" s="52">
        <v>14</v>
      </c>
      <c r="E86" s="52">
        <v>0</v>
      </c>
      <c r="F86" s="52">
        <v>0</v>
      </c>
      <c r="G86" s="52">
        <v>0</v>
      </c>
      <c r="H86" s="52">
        <v>0</v>
      </c>
      <c r="I86" s="52">
        <v>0</v>
      </c>
      <c r="J86" s="52">
        <v>0</v>
      </c>
      <c r="K86" s="52">
        <v>0</v>
      </c>
      <c r="L86" s="52">
        <v>0</v>
      </c>
      <c r="M86" s="52">
        <v>0</v>
      </c>
      <c r="N86" s="52">
        <v>0</v>
      </c>
      <c r="O86" s="52">
        <v>0</v>
      </c>
      <c r="P86" s="52">
        <v>0</v>
      </c>
      <c r="Q86" s="53">
        <v>0.125</v>
      </c>
      <c r="R86" s="52">
        <v>2</v>
      </c>
      <c r="S86" s="53">
        <v>0.19999998999999999</v>
      </c>
      <c r="T86" s="52">
        <v>1</v>
      </c>
      <c r="U86" s="54">
        <v>0</v>
      </c>
    </row>
    <row r="87" spans="1:21" s="3" customFormat="1" ht="18" customHeight="1">
      <c r="A87" s="8" t="s">
        <v>177</v>
      </c>
      <c r="B87" s="52">
        <v>176</v>
      </c>
      <c r="C87" s="52">
        <v>158.39999</v>
      </c>
      <c r="D87" s="52">
        <v>17.600000000000001</v>
      </c>
      <c r="E87" s="52">
        <v>0</v>
      </c>
      <c r="F87" s="52">
        <v>0</v>
      </c>
      <c r="G87" s="52">
        <v>0</v>
      </c>
      <c r="H87" s="52">
        <v>0</v>
      </c>
      <c r="I87" s="52">
        <v>0</v>
      </c>
      <c r="J87" s="52">
        <v>0</v>
      </c>
      <c r="K87" s="52">
        <v>0</v>
      </c>
      <c r="L87" s="52">
        <v>0</v>
      </c>
      <c r="M87" s="52">
        <v>0</v>
      </c>
      <c r="N87" s="52">
        <v>0</v>
      </c>
      <c r="O87" s="52">
        <v>0</v>
      </c>
      <c r="P87" s="52">
        <v>0</v>
      </c>
      <c r="Q87" s="53">
        <v>0.23999999</v>
      </c>
      <c r="R87" s="52">
        <v>2.5999998999999998</v>
      </c>
      <c r="S87" s="53">
        <v>0.31999999000000001</v>
      </c>
      <c r="T87" s="52">
        <v>1.0833333999999999</v>
      </c>
      <c r="U87" s="54">
        <v>0</v>
      </c>
    </row>
    <row r="88" spans="1:21" s="3" customFormat="1" ht="18" customHeight="1">
      <c r="A88" s="8" t="s">
        <v>178</v>
      </c>
      <c r="B88" s="52">
        <v>22</v>
      </c>
      <c r="C88" s="52">
        <v>12.1</v>
      </c>
      <c r="D88" s="52">
        <v>3.3000001999999999</v>
      </c>
      <c r="E88" s="52">
        <v>6.5999990000000004</v>
      </c>
      <c r="F88" s="52">
        <v>0</v>
      </c>
      <c r="G88" s="52">
        <v>0</v>
      </c>
      <c r="H88" s="52">
        <v>0</v>
      </c>
      <c r="I88" s="52">
        <v>0</v>
      </c>
      <c r="J88" s="52">
        <v>0</v>
      </c>
      <c r="K88" s="52">
        <v>0</v>
      </c>
      <c r="L88" s="52">
        <v>0</v>
      </c>
      <c r="M88" s="52">
        <v>0</v>
      </c>
      <c r="N88" s="52">
        <v>0</v>
      </c>
      <c r="O88" s="52">
        <v>0</v>
      </c>
      <c r="P88" s="52">
        <v>0</v>
      </c>
      <c r="Q88" s="53">
        <v>0.1</v>
      </c>
      <c r="R88" s="52">
        <v>1.5</v>
      </c>
      <c r="S88" s="53">
        <v>7.4999988000000004E-2</v>
      </c>
      <c r="T88" s="52">
        <v>4.1666670000000003</v>
      </c>
      <c r="U88" s="54">
        <v>8</v>
      </c>
    </row>
    <row r="89" spans="1:21" s="3" customFormat="1" ht="18" customHeight="1">
      <c r="A89" s="8" t="s">
        <v>179</v>
      </c>
      <c r="B89" s="52">
        <v>40</v>
      </c>
      <c r="C89" s="52">
        <v>26</v>
      </c>
      <c r="D89" s="52">
        <v>6</v>
      </c>
      <c r="E89" s="52">
        <v>8.0000019000000009</v>
      </c>
      <c r="F89" s="52">
        <v>0</v>
      </c>
      <c r="G89" s="52">
        <v>0</v>
      </c>
      <c r="H89" s="52">
        <v>0</v>
      </c>
      <c r="I89" s="52">
        <v>0</v>
      </c>
      <c r="J89" s="52">
        <v>0</v>
      </c>
      <c r="K89" s="52">
        <v>0</v>
      </c>
      <c r="L89" s="52">
        <v>0</v>
      </c>
      <c r="M89" s="52">
        <v>0</v>
      </c>
      <c r="N89" s="52">
        <v>0</v>
      </c>
      <c r="O89" s="52">
        <v>0</v>
      </c>
      <c r="P89" s="52">
        <v>0</v>
      </c>
      <c r="Q89" s="53">
        <v>0.15000000999999999</v>
      </c>
      <c r="R89" s="52">
        <v>2</v>
      </c>
      <c r="S89" s="53">
        <v>0.11250001</v>
      </c>
      <c r="T89" s="52">
        <v>4.6666670000000003</v>
      </c>
      <c r="U89" s="54">
        <v>8</v>
      </c>
    </row>
    <row r="90" spans="1:21" s="3" customFormat="1" ht="18" customHeight="1">
      <c r="A90" s="8" t="s">
        <v>180</v>
      </c>
      <c r="B90" s="52">
        <v>176</v>
      </c>
      <c r="C90" s="52">
        <v>17.600000000000001</v>
      </c>
      <c r="D90" s="52">
        <v>140.80000000000001</v>
      </c>
      <c r="E90" s="52">
        <v>17.599995</v>
      </c>
      <c r="F90" s="52">
        <v>0</v>
      </c>
      <c r="G90" s="52">
        <v>0</v>
      </c>
      <c r="H90" s="52">
        <v>0</v>
      </c>
      <c r="I90" s="52">
        <v>0</v>
      </c>
      <c r="J90" s="52">
        <v>0</v>
      </c>
      <c r="K90" s="52">
        <v>0</v>
      </c>
      <c r="L90" s="52">
        <v>0</v>
      </c>
      <c r="M90" s="52">
        <v>0</v>
      </c>
      <c r="N90" s="52">
        <v>0</v>
      </c>
      <c r="O90" s="52">
        <v>0</v>
      </c>
      <c r="P90" s="52">
        <v>0</v>
      </c>
      <c r="Q90" s="53">
        <v>5.9999998999999998E-2</v>
      </c>
      <c r="R90" s="52">
        <v>1.5</v>
      </c>
      <c r="S90" s="53">
        <v>0.27999996999999999</v>
      </c>
      <c r="T90" s="52">
        <v>0.91666669000000001</v>
      </c>
      <c r="U90" s="54">
        <v>0</v>
      </c>
    </row>
    <row r="91" spans="1:21" s="3" customFormat="1" ht="18" customHeight="1">
      <c r="A91" s="8" t="s">
        <v>181</v>
      </c>
      <c r="B91" s="52">
        <v>64</v>
      </c>
      <c r="C91" s="52">
        <v>6.4000000999999997</v>
      </c>
      <c r="D91" s="52">
        <v>57.599997999999999</v>
      </c>
      <c r="E91" s="52">
        <v>0</v>
      </c>
      <c r="F91" s="52">
        <v>0</v>
      </c>
      <c r="G91" s="52">
        <v>0</v>
      </c>
      <c r="H91" s="52">
        <v>0</v>
      </c>
      <c r="I91" s="52">
        <v>0</v>
      </c>
      <c r="J91" s="52">
        <v>0</v>
      </c>
      <c r="K91" s="52">
        <v>0</v>
      </c>
      <c r="L91" s="52">
        <v>0</v>
      </c>
      <c r="M91" s="52">
        <v>0</v>
      </c>
      <c r="N91" s="52">
        <v>0</v>
      </c>
      <c r="O91" s="52">
        <v>0</v>
      </c>
      <c r="P91" s="52">
        <v>0</v>
      </c>
      <c r="Q91" s="53">
        <v>0.16</v>
      </c>
      <c r="R91" s="52">
        <v>2.4000001000000002</v>
      </c>
      <c r="S91" s="53">
        <v>2.2000015000000001E-2</v>
      </c>
      <c r="T91" s="52">
        <v>3.3333335000000002</v>
      </c>
      <c r="U91" s="54">
        <v>1</v>
      </c>
    </row>
    <row r="92" spans="1:21" s="3" customFormat="1" ht="18" customHeight="1">
      <c r="A92" s="8" t="s">
        <v>182</v>
      </c>
      <c r="B92" s="52">
        <v>25</v>
      </c>
      <c r="C92" s="52">
        <v>2.5</v>
      </c>
      <c r="D92" s="52">
        <v>20</v>
      </c>
      <c r="E92" s="52">
        <v>2.4999989999999999</v>
      </c>
      <c r="F92" s="52">
        <v>0</v>
      </c>
      <c r="G92" s="52">
        <v>0</v>
      </c>
      <c r="H92" s="52">
        <v>0</v>
      </c>
      <c r="I92" s="52">
        <v>0</v>
      </c>
      <c r="J92" s="52">
        <v>0</v>
      </c>
      <c r="K92" s="52">
        <v>0</v>
      </c>
      <c r="L92" s="52">
        <v>0</v>
      </c>
      <c r="M92" s="52">
        <v>0</v>
      </c>
      <c r="N92" s="52">
        <v>0</v>
      </c>
      <c r="O92" s="52">
        <v>0</v>
      </c>
      <c r="P92" s="52">
        <v>0</v>
      </c>
      <c r="Q92" s="53">
        <v>0.1</v>
      </c>
      <c r="R92" s="52">
        <v>1.8</v>
      </c>
      <c r="S92" s="53">
        <v>0.13999998999999999</v>
      </c>
      <c r="T92" s="52">
        <v>8.75</v>
      </c>
      <c r="U92" s="54">
        <v>1</v>
      </c>
    </row>
    <row r="93" spans="1:21" s="3" customFormat="1" ht="18" customHeight="1">
      <c r="A93" s="8" t="s">
        <v>183</v>
      </c>
      <c r="B93" s="52">
        <v>45.999996000000003</v>
      </c>
      <c r="C93" s="52">
        <v>4.5999999000000003</v>
      </c>
      <c r="D93" s="52">
        <v>41.399997999999997</v>
      </c>
      <c r="E93" s="52">
        <v>0</v>
      </c>
      <c r="F93" s="52">
        <v>0</v>
      </c>
      <c r="G93" s="52">
        <v>0</v>
      </c>
      <c r="H93" s="52">
        <v>0</v>
      </c>
      <c r="I93" s="52">
        <v>0</v>
      </c>
      <c r="J93" s="52">
        <v>0</v>
      </c>
      <c r="K93" s="52">
        <v>0</v>
      </c>
      <c r="L93" s="52">
        <v>0</v>
      </c>
      <c r="M93" s="52">
        <v>0</v>
      </c>
      <c r="N93" s="52">
        <v>0</v>
      </c>
      <c r="O93" s="52">
        <v>0</v>
      </c>
      <c r="P93" s="52">
        <v>0</v>
      </c>
      <c r="Q93" s="53">
        <v>0.12</v>
      </c>
      <c r="R93" s="52">
        <v>2</v>
      </c>
      <c r="S93" s="53">
        <v>0.34000003000000001</v>
      </c>
      <c r="T93" s="52">
        <v>10.000000999999999</v>
      </c>
      <c r="U93" s="54">
        <v>1</v>
      </c>
    </row>
    <row r="94" spans="1:21" s="3" customFormat="1" ht="18" customHeight="1">
      <c r="A94" s="8" t="s">
        <v>184</v>
      </c>
      <c r="B94" s="52">
        <v>20</v>
      </c>
      <c r="C94" s="52">
        <v>9</v>
      </c>
      <c r="D94" s="52">
        <v>5</v>
      </c>
      <c r="E94" s="52">
        <v>6</v>
      </c>
      <c r="F94" s="52">
        <v>0</v>
      </c>
      <c r="G94" s="52">
        <v>0</v>
      </c>
      <c r="H94" s="52">
        <v>0</v>
      </c>
      <c r="I94" s="52">
        <v>0</v>
      </c>
      <c r="J94" s="52">
        <v>0</v>
      </c>
      <c r="K94" s="52">
        <v>0</v>
      </c>
      <c r="L94" s="52">
        <v>0</v>
      </c>
      <c r="M94" s="52">
        <v>0</v>
      </c>
      <c r="N94" s="52">
        <v>0</v>
      </c>
      <c r="O94" s="52">
        <v>0</v>
      </c>
      <c r="P94" s="52">
        <v>0</v>
      </c>
      <c r="Q94" s="53">
        <v>0.17</v>
      </c>
      <c r="R94" s="52">
        <v>2</v>
      </c>
      <c r="S94" s="53">
        <v>5.0999998999999997E-2</v>
      </c>
      <c r="T94" s="52">
        <v>5.0000004999999996</v>
      </c>
      <c r="U94" s="54">
        <v>10</v>
      </c>
    </row>
    <row r="95" spans="1:21" s="3" customFormat="1" ht="18" customHeight="1">
      <c r="A95" s="8" t="s">
        <v>185</v>
      </c>
      <c r="B95" s="52">
        <v>0</v>
      </c>
      <c r="C95" s="52">
        <v>0</v>
      </c>
      <c r="D95" s="52">
        <v>0</v>
      </c>
      <c r="E95" s="52">
        <v>0</v>
      </c>
      <c r="F95" s="52">
        <v>0</v>
      </c>
      <c r="G95" s="52">
        <v>0</v>
      </c>
      <c r="H95" s="52">
        <v>0</v>
      </c>
      <c r="I95" s="52">
        <v>0</v>
      </c>
      <c r="J95" s="52">
        <v>0</v>
      </c>
      <c r="K95" s="52">
        <v>0</v>
      </c>
      <c r="L95" s="52">
        <v>0</v>
      </c>
      <c r="M95" s="52">
        <v>0</v>
      </c>
      <c r="N95" s="52">
        <v>0</v>
      </c>
      <c r="O95" s="52">
        <v>0</v>
      </c>
      <c r="P95" s="52">
        <v>0</v>
      </c>
      <c r="Q95" s="53">
        <v>0</v>
      </c>
      <c r="R95" s="52">
        <v>0</v>
      </c>
      <c r="S95" s="53">
        <v>0</v>
      </c>
      <c r="T95" s="52">
        <v>0</v>
      </c>
      <c r="U95" s="54">
        <v>0</v>
      </c>
    </row>
    <row r="96" spans="1:21" s="3" customFormat="1" ht="18" customHeight="1">
      <c r="A96" s="8" t="s">
        <v>186</v>
      </c>
      <c r="B96" s="52">
        <v>24</v>
      </c>
      <c r="C96" s="52">
        <v>7.9200001000000002</v>
      </c>
      <c r="D96" s="52">
        <v>7.9200001000000002</v>
      </c>
      <c r="E96" s="52">
        <v>8.1599997999999996</v>
      </c>
      <c r="F96" s="52">
        <v>0</v>
      </c>
      <c r="G96" s="52">
        <v>0</v>
      </c>
      <c r="H96" s="52">
        <v>0</v>
      </c>
      <c r="I96" s="52">
        <v>0</v>
      </c>
      <c r="J96" s="52">
        <v>0</v>
      </c>
      <c r="K96" s="52">
        <v>0</v>
      </c>
      <c r="L96" s="52">
        <v>0</v>
      </c>
      <c r="M96" s="52">
        <v>0</v>
      </c>
      <c r="N96" s="52">
        <v>0</v>
      </c>
      <c r="O96" s="52">
        <v>0</v>
      </c>
      <c r="P96" s="52">
        <v>0</v>
      </c>
      <c r="Q96" s="53">
        <v>0.12</v>
      </c>
      <c r="R96" s="52">
        <v>1.6</v>
      </c>
      <c r="S96" s="53">
        <v>6.0000001999999997E-2</v>
      </c>
      <c r="T96" s="52">
        <v>8.75</v>
      </c>
      <c r="U96" s="54">
        <v>1</v>
      </c>
    </row>
    <row r="97" spans="1:21" s="3" customFormat="1" ht="18" customHeight="1">
      <c r="A97" s="8" t="s">
        <v>187</v>
      </c>
      <c r="B97" s="52">
        <v>35</v>
      </c>
      <c r="C97" s="52">
        <v>1.75</v>
      </c>
      <c r="D97" s="52">
        <v>12.25</v>
      </c>
      <c r="E97" s="52">
        <v>21</v>
      </c>
      <c r="F97" s="52">
        <v>0</v>
      </c>
      <c r="G97" s="52">
        <v>0</v>
      </c>
      <c r="H97" s="52">
        <v>0</v>
      </c>
      <c r="I97" s="52">
        <v>0</v>
      </c>
      <c r="J97" s="52">
        <v>0</v>
      </c>
      <c r="K97" s="52">
        <v>0</v>
      </c>
      <c r="L97" s="52">
        <v>0</v>
      </c>
      <c r="M97" s="52">
        <v>0</v>
      </c>
      <c r="N97" s="52">
        <v>0</v>
      </c>
      <c r="O97" s="52">
        <v>0</v>
      </c>
      <c r="P97" s="52">
        <v>0</v>
      </c>
      <c r="Q97" s="53">
        <v>0.12</v>
      </c>
      <c r="R97" s="52">
        <v>2</v>
      </c>
      <c r="S97" s="53">
        <v>0.25999999000000001</v>
      </c>
      <c r="T97" s="52">
        <v>9.5833340000000007</v>
      </c>
      <c r="U97" s="54">
        <v>1</v>
      </c>
    </row>
    <row r="98" spans="1:21" s="3" customFormat="1" ht="18" customHeight="1">
      <c r="A98" s="8" t="s">
        <v>188</v>
      </c>
      <c r="B98" s="52">
        <v>35</v>
      </c>
      <c r="C98" s="52">
        <v>12.25</v>
      </c>
      <c r="D98" s="52">
        <v>1.75</v>
      </c>
      <c r="E98" s="52">
        <v>21</v>
      </c>
      <c r="F98" s="52">
        <v>0</v>
      </c>
      <c r="G98" s="52">
        <v>0</v>
      </c>
      <c r="H98" s="52">
        <v>0</v>
      </c>
      <c r="I98" s="52">
        <v>0</v>
      </c>
      <c r="J98" s="52">
        <v>0</v>
      </c>
      <c r="K98" s="52">
        <v>0</v>
      </c>
      <c r="L98" s="52">
        <v>0</v>
      </c>
      <c r="M98" s="52">
        <v>0</v>
      </c>
      <c r="N98" s="52">
        <v>0</v>
      </c>
      <c r="O98" s="52">
        <v>0</v>
      </c>
      <c r="P98" s="52">
        <v>0</v>
      </c>
      <c r="Q98" s="53">
        <v>0.16</v>
      </c>
      <c r="R98" s="52">
        <v>2</v>
      </c>
      <c r="S98" s="53">
        <v>0.15999996999999999</v>
      </c>
      <c r="T98" s="52">
        <v>7.5000004999999996</v>
      </c>
      <c r="U98" s="54">
        <v>1</v>
      </c>
    </row>
    <row r="99" spans="1:21" s="3" customFormat="1" ht="18" customHeight="1">
      <c r="A99" s="8" t="s">
        <v>189</v>
      </c>
      <c r="B99" s="52">
        <v>179</v>
      </c>
      <c r="C99" s="52">
        <v>125.3</v>
      </c>
      <c r="D99" s="52">
        <v>17.899999999999999</v>
      </c>
      <c r="E99" s="52">
        <v>35.799999</v>
      </c>
      <c r="F99" s="52">
        <v>0</v>
      </c>
      <c r="G99" s="52">
        <v>0</v>
      </c>
      <c r="H99" s="52">
        <v>0</v>
      </c>
      <c r="I99" s="52">
        <v>0</v>
      </c>
      <c r="J99" s="52">
        <v>0</v>
      </c>
      <c r="K99" s="52">
        <v>0</v>
      </c>
      <c r="L99" s="52">
        <v>0</v>
      </c>
      <c r="M99" s="52">
        <v>0</v>
      </c>
      <c r="N99" s="52">
        <v>0</v>
      </c>
      <c r="O99" s="52">
        <v>0</v>
      </c>
      <c r="P99" s="52">
        <v>0</v>
      </c>
      <c r="Q99" s="53">
        <v>0.1</v>
      </c>
      <c r="R99" s="52">
        <v>2</v>
      </c>
      <c r="S99" s="53">
        <v>0.30000000999999998</v>
      </c>
      <c r="T99" s="52">
        <v>1.2500001000000001</v>
      </c>
      <c r="U99" s="54">
        <v>0</v>
      </c>
    </row>
    <row r="100" spans="1:21" s="3" customFormat="1" ht="18" customHeight="1">
      <c r="A100" s="8" t="s">
        <v>190</v>
      </c>
      <c r="B100" s="52">
        <v>187</v>
      </c>
      <c r="C100" s="52">
        <v>18.700001</v>
      </c>
      <c r="D100" s="52">
        <v>18.700001</v>
      </c>
      <c r="E100" s="52">
        <v>149.60001</v>
      </c>
      <c r="F100" s="52">
        <v>0</v>
      </c>
      <c r="G100" s="52">
        <v>0</v>
      </c>
      <c r="H100" s="52">
        <v>0</v>
      </c>
      <c r="I100" s="52">
        <v>0</v>
      </c>
      <c r="J100" s="52">
        <v>0</v>
      </c>
      <c r="K100" s="52">
        <v>0</v>
      </c>
      <c r="L100" s="52">
        <v>0</v>
      </c>
      <c r="M100" s="52">
        <v>0</v>
      </c>
      <c r="N100" s="52">
        <v>0</v>
      </c>
      <c r="O100" s="52">
        <v>0</v>
      </c>
      <c r="P100" s="52">
        <v>0</v>
      </c>
      <c r="Q100" s="53">
        <v>0.34999998999999998</v>
      </c>
      <c r="R100" s="52">
        <v>2.2000000000000002</v>
      </c>
      <c r="S100" s="53">
        <v>0.19999998999999999</v>
      </c>
      <c r="T100" s="52">
        <v>1</v>
      </c>
      <c r="U100" s="54">
        <v>0</v>
      </c>
    </row>
    <row r="101" spans="1:21" s="3" customFormat="1" ht="18" customHeight="1">
      <c r="A101" s="8" t="s">
        <v>191</v>
      </c>
      <c r="B101" s="52">
        <v>42</v>
      </c>
      <c r="C101" s="52">
        <v>33.600002000000003</v>
      </c>
      <c r="D101" s="52">
        <v>4.2000003000000001</v>
      </c>
      <c r="E101" s="52">
        <v>4.1999984000000001</v>
      </c>
      <c r="F101" s="52">
        <v>0</v>
      </c>
      <c r="G101" s="52">
        <v>0</v>
      </c>
      <c r="H101" s="52">
        <v>0</v>
      </c>
      <c r="I101" s="52">
        <v>0</v>
      </c>
      <c r="J101" s="52">
        <v>0</v>
      </c>
      <c r="K101" s="52">
        <v>0</v>
      </c>
      <c r="L101" s="52">
        <v>0</v>
      </c>
      <c r="M101" s="52">
        <v>0</v>
      </c>
      <c r="N101" s="52">
        <v>0</v>
      </c>
      <c r="O101" s="52">
        <v>0</v>
      </c>
      <c r="P101" s="52">
        <v>0</v>
      </c>
      <c r="Q101" s="53">
        <v>5.9999998999999998E-2</v>
      </c>
      <c r="R101" s="52">
        <v>2</v>
      </c>
      <c r="S101" s="53">
        <v>9.4285727E-2</v>
      </c>
      <c r="T101" s="52">
        <v>4</v>
      </c>
      <c r="U101" s="54">
        <v>7</v>
      </c>
    </row>
    <row r="102" spans="1:21" s="3" customFormat="1" ht="18" customHeight="1">
      <c r="A102" s="8" t="s">
        <v>192</v>
      </c>
      <c r="B102" s="52">
        <v>50</v>
      </c>
      <c r="C102" s="52">
        <v>40</v>
      </c>
      <c r="D102" s="52">
        <v>5</v>
      </c>
      <c r="E102" s="52">
        <v>4.9999981</v>
      </c>
      <c r="F102" s="52">
        <v>0</v>
      </c>
      <c r="G102" s="52">
        <v>0</v>
      </c>
      <c r="H102" s="52">
        <v>0</v>
      </c>
      <c r="I102" s="52">
        <v>0</v>
      </c>
      <c r="J102" s="52">
        <v>0</v>
      </c>
      <c r="K102" s="52">
        <v>0</v>
      </c>
      <c r="L102" s="52">
        <v>0</v>
      </c>
      <c r="M102" s="52">
        <v>0</v>
      </c>
      <c r="N102" s="52">
        <v>0</v>
      </c>
      <c r="O102" s="52">
        <v>0</v>
      </c>
      <c r="P102" s="52">
        <v>0</v>
      </c>
      <c r="Q102" s="53">
        <v>5.9999998999999998E-2</v>
      </c>
      <c r="R102" s="52">
        <v>2</v>
      </c>
      <c r="S102" s="53">
        <v>0.12857145</v>
      </c>
      <c r="T102" s="52">
        <v>4.1666670000000003</v>
      </c>
      <c r="U102" s="54">
        <v>7</v>
      </c>
    </row>
    <row r="103" spans="1:21" s="3" customFormat="1" ht="18" customHeight="1">
      <c r="A103" s="8" t="s">
        <v>193</v>
      </c>
      <c r="B103" s="52">
        <v>41</v>
      </c>
      <c r="C103" s="52">
        <v>1.9999998999999999</v>
      </c>
      <c r="D103" s="52">
        <v>13</v>
      </c>
      <c r="E103" s="52">
        <v>19</v>
      </c>
      <c r="F103" s="52">
        <v>0</v>
      </c>
      <c r="G103" s="52">
        <v>0</v>
      </c>
      <c r="H103" s="52">
        <v>0</v>
      </c>
      <c r="I103" s="52">
        <v>7</v>
      </c>
      <c r="J103" s="52">
        <v>0</v>
      </c>
      <c r="K103" s="52">
        <v>0</v>
      </c>
      <c r="L103" s="52">
        <v>0</v>
      </c>
      <c r="M103" s="52">
        <v>0</v>
      </c>
      <c r="N103" s="52">
        <v>0</v>
      </c>
      <c r="O103" s="52">
        <v>0</v>
      </c>
      <c r="P103" s="52">
        <v>0</v>
      </c>
      <c r="Q103" s="53">
        <v>0.25</v>
      </c>
      <c r="R103" s="52">
        <v>2.2999999999999998</v>
      </c>
      <c r="S103" s="53">
        <v>9.2857122E-2</v>
      </c>
      <c r="T103" s="52">
        <v>3.8333335000000002</v>
      </c>
      <c r="U103" s="54">
        <v>7</v>
      </c>
    </row>
    <row r="104" spans="1:21" s="3" customFormat="1" ht="18" customHeight="1">
      <c r="A104" s="8" t="s">
        <v>194</v>
      </c>
      <c r="B104" s="52">
        <v>7</v>
      </c>
      <c r="C104" s="52">
        <v>0.69999999000000002</v>
      </c>
      <c r="D104" s="52">
        <v>5.9500003000000001</v>
      </c>
      <c r="E104" s="52">
        <v>0.34999966999999998</v>
      </c>
      <c r="F104" s="52">
        <v>0</v>
      </c>
      <c r="G104" s="52">
        <v>0</v>
      </c>
      <c r="H104" s="52">
        <v>0</v>
      </c>
      <c r="I104" s="52">
        <v>0</v>
      </c>
      <c r="J104" s="52">
        <v>0</v>
      </c>
      <c r="K104" s="52">
        <v>0</v>
      </c>
      <c r="L104" s="52">
        <v>0</v>
      </c>
      <c r="M104" s="52">
        <v>0</v>
      </c>
      <c r="N104" s="52">
        <v>0</v>
      </c>
      <c r="O104" s="52">
        <v>0</v>
      </c>
      <c r="P104" s="52">
        <v>0</v>
      </c>
      <c r="Q104" s="53">
        <v>2.5000000000000001E-2</v>
      </c>
      <c r="R104" s="52">
        <v>1.25</v>
      </c>
      <c r="S104" s="53">
        <v>1.9999981E-2</v>
      </c>
      <c r="T104" s="52">
        <v>1.6071428000000001</v>
      </c>
      <c r="U104" s="54">
        <v>1</v>
      </c>
    </row>
    <row r="105" spans="1:21" s="3" customFormat="1" ht="18" customHeight="1">
      <c r="A105" s="8" t="s">
        <v>195</v>
      </c>
      <c r="B105" s="52">
        <v>12</v>
      </c>
      <c r="C105" s="52">
        <v>1.2</v>
      </c>
      <c r="D105" s="52">
        <v>10.200001</v>
      </c>
      <c r="E105" s="52">
        <v>0.59999943</v>
      </c>
      <c r="F105" s="52">
        <v>0</v>
      </c>
      <c r="G105" s="52">
        <v>0</v>
      </c>
      <c r="H105" s="52">
        <v>0</v>
      </c>
      <c r="I105" s="52">
        <v>0</v>
      </c>
      <c r="J105" s="52">
        <v>0</v>
      </c>
      <c r="K105" s="52">
        <v>0</v>
      </c>
      <c r="L105" s="52">
        <v>0</v>
      </c>
      <c r="M105" s="52">
        <v>0</v>
      </c>
      <c r="N105" s="52">
        <v>0</v>
      </c>
      <c r="O105" s="52">
        <v>0</v>
      </c>
      <c r="P105" s="52">
        <v>0</v>
      </c>
      <c r="Q105" s="53">
        <v>6.25E-2</v>
      </c>
      <c r="R105" s="52">
        <v>2.3499998999999998</v>
      </c>
      <c r="S105" s="53">
        <v>0.13999998999999999</v>
      </c>
      <c r="T105" s="52">
        <v>1.8750001000000001</v>
      </c>
      <c r="U105" s="54">
        <v>1</v>
      </c>
    </row>
    <row r="106" spans="1:21" s="3" customFormat="1" ht="18" customHeight="1">
      <c r="A106" s="8" t="s">
        <v>196</v>
      </c>
      <c r="B106" s="52">
        <v>30</v>
      </c>
      <c r="C106" s="52">
        <v>9.9999894999999999</v>
      </c>
      <c r="D106" s="52">
        <v>9.9999894999999999</v>
      </c>
      <c r="E106" s="52">
        <v>10.000021</v>
      </c>
      <c r="F106" s="52">
        <v>0</v>
      </c>
      <c r="G106" s="52">
        <v>0</v>
      </c>
      <c r="H106" s="52">
        <v>0</v>
      </c>
      <c r="I106" s="52">
        <v>0</v>
      </c>
      <c r="J106" s="52">
        <v>0</v>
      </c>
      <c r="K106" s="52">
        <v>0</v>
      </c>
      <c r="L106" s="52">
        <v>0</v>
      </c>
      <c r="M106" s="52">
        <v>0</v>
      </c>
      <c r="N106" s="52">
        <v>0</v>
      </c>
      <c r="O106" s="52">
        <v>0</v>
      </c>
      <c r="P106" s="52">
        <v>0</v>
      </c>
      <c r="Q106" s="53">
        <v>5.9999998999999998E-2</v>
      </c>
      <c r="R106" s="52">
        <v>1.6</v>
      </c>
      <c r="S106" s="53">
        <v>0.18000000999999999</v>
      </c>
      <c r="T106" s="52">
        <v>7.8328986</v>
      </c>
      <c r="U106" s="54">
        <v>1</v>
      </c>
    </row>
    <row r="107" spans="1:21" s="3" customFormat="1" ht="18" customHeight="1">
      <c r="A107" s="8" t="s">
        <v>197</v>
      </c>
      <c r="B107" s="52">
        <v>46</v>
      </c>
      <c r="C107" s="52">
        <v>13.8</v>
      </c>
      <c r="D107" s="52">
        <v>13.8</v>
      </c>
      <c r="E107" s="52">
        <v>18.399999999999999</v>
      </c>
      <c r="F107" s="52">
        <v>0</v>
      </c>
      <c r="G107" s="52">
        <v>0</v>
      </c>
      <c r="H107" s="52">
        <v>0</v>
      </c>
      <c r="I107" s="52">
        <v>0</v>
      </c>
      <c r="J107" s="52">
        <v>0</v>
      </c>
      <c r="K107" s="52">
        <v>0</v>
      </c>
      <c r="L107" s="52">
        <v>0</v>
      </c>
      <c r="M107" s="52">
        <v>0</v>
      </c>
      <c r="N107" s="52">
        <v>0</v>
      </c>
      <c r="O107" s="52">
        <v>0</v>
      </c>
      <c r="P107" s="52">
        <v>0</v>
      </c>
      <c r="Q107" s="53">
        <v>0.18000000999999999</v>
      </c>
      <c r="R107" s="52">
        <v>1.8</v>
      </c>
      <c r="S107" s="53">
        <v>0.30000000999999998</v>
      </c>
      <c r="T107" s="52">
        <v>9.375</v>
      </c>
      <c r="U107" s="54">
        <v>1</v>
      </c>
    </row>
    <row r="108" spans="1:21" s="3" customFormat="1" ht="18" customHeight="1">
      <c r="A108" s="8" t="s">
        <v>198</v>
      </c>
      <c r="B108" s="52">
        <v>60</v>
      </c>
      <c r="C108" s="52">
        <v>30</v>
      </c>
      <c r="D108" s="52">
        <v>24</v>
      </c>
      <c r="E108" s="52">
        <v>6.0000014000000004</v>
      </c>
      <c r="F108" s="52">
        <v>0</v>
      </c>
      <c r="G108" s="52">
        <v>0</v>
      </c>
      <c r="H108" s="52">
        <v>0</v>
      </c>
      <c r="I108" s="52">
        <v>0</v>
      </c>
      <c r="J108" s="52">
        <v>0</v>
      </c>
      <c r="K108" s="52">
        <v>0</v>
      </c>
      <c r="L108" s="52">
        <v>0</v>
      </c>
      <c r="M108" s="52">
        <v>0</v>
      </c>
      <c r="N108" s="52">
        <v>0</v>
      </c>
      <c r="O108" s="52">
        <v>0</v>
      </c>
      <c r="P108" s="52">
        <v>0</v>
      </c>
      <c r="Q108" s="53">
        <v>0.23</v>
      </c>
      <c r="R108" s="52">
        <v>2.5</v>
      </c>
      <c r="S108" s="53">
        <v>0.20999998</v>
      </c>
      <c r="T108" s="52">
        <v>6.2500004999999996</v>
      </c>
      <c r="U108" s="54">
        <v>1</v>
      </c>
    </row>
    <row r="109" spans="1:21" s="3" customFormat="1" ht="18" customHeight="1">
      <c r="A109" s="8" t="s">
        <v>199</v>
      </c>
      <c r="B109" s="52">
        <v>130</v>
      </c>
      <c r="C109" s="52">
        <v>70</v>
      </c>
      <c r="D109" s="52">
        <v>0</v>
      </c>
      <c r="E109" s="52">
        <v>0</v>
      </c>
      <c r="F109" s="52">
        <v>0</v>
      </c>
      <c r="G109" s="52">
        <v>0</v>
      </c>
      <c r="H109" s="52">
        <v>60</v>
      </c>
      <c r="I109" s="52">
        <v>0</v>
      </c>
      <c r="J109" s="52">
        <v>0</v>
      </c>
      <c r="K109" s="52">
        <v>0</v>
      </c>
      <c r="L109" s="52">
        <v>0</v>
      </c>
      <c r="M109" s="52">
        <v>0</v>
      </c>
      <c r="N109" s="52">
        <v>0</v>
      </c>
      <c r="O109" s="52">
        <v>0</v>
      </c>
      <c r="P109" s="52">
        <v>0</v>
      </c>
      <c r="Q109" s="53">
        <v>0.15000000999999999</v>
      </c>
      <c r="R109" s="52">
        <v>2</v>
      </c>
      <c r="S109" s="53">
        <v>0.25</v>
      </c>
      <c r="T109" s="52">
        <v>1</v>
      </c>
      <c r="U109" s="54">
        <v>0</v>
      </c>
    </row>
    <row r="110" spans="1:21" s="3" customFormat="1" ht="18" customHeight="1">
      <c r="A110" s="8" t="s">
        <v>200</v>
      </c>
      <c r="B110" s="52">
        <v>90</v>
      </c>
      <c r="C110" s="52">
        <v>0</v>
      </c>
      <c r="D110" s="52">
        <v>27.000001999999999</v>
      </c>
      <c r="E110" s="52">
        <v>63</v>
      </c>
      <c r="F110" s="52">
        <v>0</v>
      </c>
      <c r="G110" s="52">
        <v>0</v>
      </c>
      <c r="H110" s="52">
        <v>0</v>
      </c>
      <c r="I110" s="52">
        <v>0</v>
      </c>
      <c r="J110" s="52">
        <v>0</v>
      </c>
      <c r="K110" s="52">
        <v>0</v>
      </c>
      <c r="L110" s="52">
        <v>0</v>
      </c>
      <c r="M110" s="52">
        <v>0</v>
      </c>
      <c r="N110" s="52">
        <v>0</v>
      </c>
      <c r="O110" s="52">
        <v>0</v>
      </c>
      <c r="P110" s="52">
        <v>0</v>
      </c>
      <c r="Q110" s="53">
        <v>0.18000000999999999</v>
      </c>
      <c r="R110" s="52">
        <v>2</v>
      </c>
      <c r="S110" s="53">
        <v>0.22000003000000001</v>
      </c>
      <c r="T110" s="52">
        <v>3.3333335000000002</v>
      </c>
      <c r="U110" s="54">
        <v>1</v>
      </c>
    </row>
    <row r="111" spans="1:21" s="3" customFormat="1" ht="18" customHeight="1">
      <c r="A111" s="8" t="s">
        <v>201</v>
      </c>
      <c r="B111" s="52">
        <v>0</v>
      </c>
      <c r="C111" s="52">
        <v>0</v>
      </c>
      <c r="D111" s="52">
        <v>0</v>
      </c>
      <c r="E111" s="52">
        <v>0</v>
      </c>
      <c r="F111" s="52">
        <v>0</v>
      </c>
      <c r="G111" s="52">
        <v>0</v>
      </c>
      <c r="H111" s="52">
        <v>0</v>
      </c>
      <c r="I111" s="52">
        <v>0</v>
      </c>
      <c r="J111" s="52">
        <v>0</v>
      </c>
      <c r="K111" s="52">
        <v>0</v>
      </c>
      <c r="L111" s="52">
        <v>0</v>
      </c>
      <c r="M111" s="52">
        <v>0</v>
      </c>
      <c r="N111" s="52">
        <v>0</v>
      </c>
      <c r="O111" s="52">
        <v>0</v>
      </c>
      <c r="P111" s="52">
        <v>0</v>
      </c>
      <c r="Q111" s="53">
        <v>0</v>
      </c>
      <c r="R111" s="52">
        <v>0</v>
      </c>
      <c r="S111" s="53">
        <v>0</v>
      </c>
      <c r="T111" s="52">
        <v>0</v>
      </c>
      <c r="U111" s="54">
        <v>0</v>
      </c>
    </row>
    <row r="112" spans="1:21" s="3" customFormat="1" ht="18" customHeight="1">
      <c r="A112" s="8" t="s">
        <v>202</v>
      </c>
      <c r="B112" s="52">
        <v>425</v>
      </c>
      <c r="C112" s="52">
        <v>75</v>
      </c>
      <c r="D112" s="52">
        <v>0</v>
      </c>
      <c r="E112" s="52">
        <v>0</v>
      </c>
      <c r="F112" s="52">
        <v>0</v>
      </c>
      <c r="G112" s="52">
        <v>0</v>
      </c>
      <c r="H112" s="52">
        <v>0</v>
      </c>
      <c r="I112" s="52">
        <v>0</v>
      </c>
      <c r="J112" s="52">
        <v>350</v>
      </c>
      <c r="K112" s="52">
        <v>0</v>
      </c>
      <c r="L112" s="52">
        <v>0</v>
      </c>
      <c r="M112" s="52">
        <v>0</v>
      </c>
      <c r="N112" s="52">
        <v>0</v>
      </c>
      <c r="O112" s="52">
        <v>0</v>
      </c>
      <c r="P112" s="52">
        <v>0</v>
      </c>
      <c r="Q112" s="53">
        <v>0.1</v>
      </c>
      <c r="R112" s="52">
        <v>2</v>
      </c>
      <c r="S112" s="53">
        <v>0.10000002</v>
      </c>
      <c r="T112" s="52">
        <v>2.6666666999999999</v>
      </c>
      <c r="U112" s="54">
        <v>1</v>
      </c>
    </row>
    <row r="113" spans="1:21" s="3" customFormat="1" ht="18" customHeight="1">
      <c r="A113" s="8" t="s">
        <v>203</v>
      </c>
      <c r="B113" s="52">
        <v>188</v>
      </c>
      <c r="C113" s="52">
        <v>41.360000999999997</v>
      </c>
      <c r="D113" s="52">
        <v>63.920001999999997</v>
      </c>
      <c r="E113" s="52">
        <v>82.720000999999996</v>
      </c>
      <c r="F113" s="52">
        <v>0</v>
      </c>
      <c r="G113" s="52">
        <v>0</v>
      </c>
      <c r="H113" s="52">
        <v>0</v>
      </c>
      <c r="I113" s="52">
        <v>0</v>
      </c>
      <c r="J113" s="52">
        <v>0</v>
      </c>
      <c r="K113" s="52">
        <v>0</v>
      </c>
      <c r="L113" s="52">
        <v>0</v>
      </c>
      <c r="M113" s="52">
        <v>0</v>
      </c>
      <c r="N113" s="52">
        <v>0</v>
      </c>
      <c r="O113" s="52">
        <v>0</v>
      </c>
      <c r="P113" s="52">
        <v>0</v>
      </c>
      <c r="Q113" s="53">
        <v>5.9999998999999998E-2</v>
      </c>
      <c r="R113" s="52">
        <v>1.4</v>
      </c>
      <c r="S113" s="53">
        <v>0.27999996999999999</v>
      </c>
      <c r="T113" s="52">
        <v>1.1666666999999999</v>
      </c>
      <c r="U113" s="54">
        <v>0</v>
      </c>
    </row>
    <row r="114" spans="1:21" s="3" customFormat="1" ht="18" customHeight="1">
      <c r="A114" s="8" t="s">
        <v>204</v>
      </c>
      <c r="B114" s="52">
        <v>160</v>
      </c>
      <c r="C114" s="52">
        <v>0</v>
      </c>
      <c r="D114" s="52">
        <v>0</v>
      </c>
      <c r="E114" s="52">
        <v>0</v>
      </c>
      <c r="F114" s="52">
        <v>0</v>
      </c>
      <c r="G114" s="52">
        <v>0</v>
      </c>
      <c r="H114" s="52">
        <v>160</v>
      </c>
      <c r="I114" s="52">
        <v>0</v>
      </c>
      <c r="J114" s="52">
        <v>0</v>
      </c>
      <c r="K114" s="52">
        <v>0</v>
      </c>
      <c r="L114" s="52">
        <v>0</v>
      </c>
      <c r="M114" s="52">
        <v>0</v>
      </c>
      <c r="N114" s="52">
        <v>0</v>
      </c>
      <c r="O114" s="52">
        <v>0</v>
      </c>
      <c r="P114" s="52">
        <v>0</v>
      </c>
      <c r="Q114" s="53">
        <v>7.9999998000000003E-2</v>
      </c>
      <c r="R114" s="52">
        <v>1.5</v>
      </c>
      <c r="S114" s="53">
        <v>0.22000003000000001</v>
      </c>
      <c r="T114" s="52">
        <v>3.3333335000000002</v>
      </c>
      <c r="U114" s="54">
        <v>1</v>
      </c>
    </row>
    <row r="115" spans="1:21" s="3" customFormat="1" ht="18" customHeight="1">
      <c r="A115" s="8" t="s">
        <v>205</v>
      </c>
      <c r="B115" s="52">
        <v>53</v>
      </c>
      <c r="C115" s="52">
        <v>0</v>
      </c>
      <c r="D115" s="52">
        <v>0</v>
      </c>
      <c r="E115" s="52">
        <v>0</v>
      </c>
      <c r="F115" s="52">
        <v>0</v>
      </c>
      <c r="G115" s="52">
        <v>0</v>
      </c>
      <c r="H115" s="52">
        <v>0</v>
      </c>
      <c r="I115" s="52">
        <v>0</v>
      </c>
      <c r="J115" s="52">
        <v>0</v>
      </c>
      <c r="K115" s="52">
        <v>0</v>
      </c>
      <c r="L115" s="52">
        <v>0</v>
      </c>
      <c r="M115" s="52">
        <v>0</v>
      </c>
      <c r="N115" s="52">
        <v>0</v>
      </c>
      <c r="O115" s="52">
        <v>53</v>
      </c>
      <c r="P115" s="52">
        <v>0</v>
      </c>
      <c r="Q115" s="53">
        <v>0.11</v>
      </c>
      <c r="R115" s="52">
        <v>2.9000001000000002</v>
      </c>
      <c r="S115" s="53">
        <v>0.43000000999999999</v>
      </c>
      <c r="T115" s="52">
        <v>12.000000999999999</v>
      </c>
      <c r="U115" s="54">
        <v>1</v>
      </c>
    </row>
    <row r="116" spans="1:21" s="3" customFormat="1" ht="18" customHeight="1">
      <c r="A116" s="8" t="s">
        <v>206</v>
      </c>
      <c r="B116" s="52">
        <v>0</v>
      </c>
      <c r="C116" s="52">
        <v>0</v>
      </c>
      <c r="D116" s="52">
        <v>0</v>
      </c>
      <c r="E116" s="52">
        <v>0</v>
      </c>
      <c r="F116" s="52">
        <v>0</v>
      </c>
      <c r="G116" s="52">
        <v>0</v>
      </c>
      <c r="H116" s="52">
        <v>0</v>
      </c>
      <c r="I116" s="52">
        <v>0</v>
      </c>
      <c r="J116" s="52">
        <v>0</v>
      </c>
      <c r="K116" s="52">
        <v>0</v>
      </c>
      <c r="L116" s="52">
        <v>0</v>
      </c>
      <c r="M116" s="52">
        <v>0</v>
      </c>
      <c r="N116" s="52">
        <v>0</v>
      </c>
      <c r="O116" s="52">
        <v>0</v>
      </c>
      <c r="P116" s="52">
        <v>0</v>
      </c>
      <c r="Q116" s="53">
        <v>0</v>
      </c>
      <c r="R116" s="52">
        <v>0</v>
      </c>
      <c r="S116" s="53">
        <v>0</v>
      </c>
      <c r="T116" s="52">
        <v>0</v>
      </c>
      <c r="U116" s="54">
        <v>0</v>
      </c>
    </row>
    <row r="117" spans="1:21" s="3" customFormat="1" ht="18" customHeight="1">
      <c r="A117" s="8" t="s">
        <v>207</v>
      </c>
      <c r="B117" s="52">
        <v>260</v>
      </c>
      <c r="C117" s="52">
        <v>17</v>
      </c>
      <c r="D117" s="52">
        <v>71</v>
      </c>
      <c r="E117" s="52">
        <v>69</v>
      </c>
      <c r="F117" s="52">
        <v>0</v>
      </c>
      <c r="G117" s="52">
        <v>0</v>
      </c>
      <c r="H117" s="52">
        <v>0</v>
      </c>
      <c r="I117" s="52">
        <v>0</v>
      </c>
      <c r="J117" s="52">
        <v>0</v>
      </c>
      <c r="K117" s="52">
        <v>0</v>
      </c>
      <c r="L117" s="52">
        <v>0</v>
      </c>
      <c r="M117" s="52">
        <v>0</v>
      </c>
      <c r="N117" s="52">
        <v>0</v>
      </c>
      <c r="O117" s="52">
        <v>103</v>
      </c>
      <c r="P117" s="52">
        <v>0</v>
      </c>
      <c r="Q117" s="53">
        <v>9.0000003999999995E-2</v>
      </c>
      <c r="R117" s="52">
        <v>2</v>
      </c>
      <c r="S117" s="53">
        <v>0.37</v>
      </c>
      <c r="T117" s="52">
        <v>1</v>
      </c>
      <c r="U117" s="54">
        <v>0</v>
      </c>
    </row>
    <row r="118" spans="1:21" s="3" customFormat="1" ht="18" customHeight="1">
      <c r="A118" s="8" t="s">
        <v>208</v>
      </c>
      <c r="B118" s="52">
        <v>30</v>
      </c>
      <c r="C118" s="52">
        <v>0</v>
      </c>
      <c r="D118" s="52">
        <v>30</v>
      </c>
      <c r="E118" s="52">
        <v>0</v>
      </c>
      <c r="F118" s="52">
        <v>0</v>
      </c>
      <c r="G118" s="52">
        <v>0</v>
      </c>
      <c r="H118" s="52">
        <v>0</v>
      </c>
      <c r="I118" s="52">
        <v>0</v>
      </c>
      <c r="J118" s="52">
        <v>0</v>
      </c>
      <c r="K118" s="52">
        <v>0</v>
      </c>
      <c r="L118" s="52">
        <v>0</v>
      </c>
      <c r="M118" s="52">
        <v>0</v>
      </c>
      <c r="N118" s="52">
        <v>0</v>
      </c>
      <c r="O118" s="52">
        <v>0</v>
      </c>
      <c r="P118" s="52">
        <v>0</v>
      </c>
      <c r="Q118" s="53">
        <v>0.2</v>
      </c>
      <c r="R118" s="52">
        <v>2.4000001000000002</v>
      </c>
      <c r="S118" s="53">
        <v>3.3333301999999999E-3</v>
      </c>
      <c r="T118" s="52">
        <v>3.8333335000000002</v>
      </c>
      <c r="U118" s="54">
        <v>6</v>
      </c>
    </row>
    <row r="119" spans="1:21" s="3" customFormat="1" ht="18" customHeight="1">
      <c r="A119" s="8" t="s">
        <v>209</v>
      </c>
      <c r="B119" s="52">
        <v>0</v>
      </c>
      <c r="C119" s="52">
        <v>0</v>
      </c>
      <c r="D119" s="52">
        <v>0</v>
      </c>
      <c r="E119" s="52">
        <v>0</v>
      </c>
      <c r="F119" s="52">
        <v>0</v>
      </c>
      <c r="G119" s="52">
        <v>0</v>
      </c>
      <c r="H119" s="52">
        <v>0</v>
      </c>
      <c r="I119" s="52">
        <v>0</v>
      </c>
      <c r="J119" s="52">
        <v>0</v>
      </c>
      <c r="K119" s="52">
        <v>0</v>
      </c>
      <c r="L119" s="52">
        <v>0</v>
      </c>
      <c r="M119" s="52">
        <v>0</v>
      </c>
      <c r="N119" s="52">
        <v>0</v>
      </c>
      <c r="O119" s="52">
        <v>0</v>
      </c>
      <c r="P119" s="52">
        <v>0</v>
      </c>
      <c r="Q119" s="53">
        <v>0</v>
      </c>
      <c r="R119" s="52">
        <v>0</v>
      </c>
      <c r="S119" s="53">
        <v>0</v>
      </c>
      <c r="T119" s="52">
        <v>0</v>
      </c>
      <c r="U119" s="54">
        <v>0</v>
      </c>
    </row>
    <row r="120" spans="1:21" s="3" customFormat="1" ht="18" customHeight="1">
      <c r="A120" s="8" t="s">
        <v>210</v>
      </c>
      <c r="B120" s="52">
        <v>376</v>
      </c>
      <c r="C120" s="52">
        <v>37.600002000000003</v>
      </c>
      <c r="D120" s="52">
        <v>75.200005000000004</v>
      </c>
      <c r="E120" s="52">
        <v>263.19997999999998</v>
      </c>
      <c r="F120" s="52">
        <v>0</v>
      </c>
      <c r="G120" s="52">
        <v>0</v>
      </c>
      <c r="H120" s="52">
        <v>0</v>
      </c>
      <c r="I120" s="52">
        <v>0</v>
      </c>
      <c r="J120" s="52">
        <v>0</v>
      </c>
      <c r="K120" s="52">
        <v>0</v>
      </c>
      <c r="L120" s="52">
        <v>0</v>
      </c>
      <c r="M120" s="52">
        <v>0</v>
      </c>
      <c r="N120" s="52">
        <v>0</v>
      </c>
      <c r="O120" s="52">
        <v>0</v>
      </c>
      <c r="P120" s="52">
        <v>0</v>
      </c>
      <c r="Q120" s="53">
        <v>0.25</v>
      </c>
      <c r="R120" s="52">
        <v>2</v>
      </c>
      <c r="S120" s="53">
        <v>0.19999998999999999</v>
      </c>
      <c r="T120" s="52">
        <v>1.0833333999999999</v>
      </c>
      <c r="U120" s="54">
        <v>0</v>
      </c>
    </row>
    <row r="121" spans="1:21" s="3" customFormat="1" ht="18" customHeight="1">
      <c r="A121" s="8" t="s">
        <v>211</v>
      </c>
      <c r="B121" s="52">
        <v>140</v>
      </c>
      <c r="C121" s="52">
        <v>14</v>
      </c>
      <c r="D121" s="52">
        <v>126</v>
      </c>
      <c r="E121" s="52">
        <v>0</v>
      </c>
      <c r="F121" s="52">
        <v>0</v>
      </c>
      <c r="G121" s="52">
        <v>0</v>
      </c>
      <c r="H121" s="52">
        <v>0</v>
      </c>
      <c r="I121" s="52">
        <v>0</v>
      </c>
      <c r="J121" s="52">
        <v>0</v>
      </c>
      <c r="K121" s="52">
        <v>0</v>
      </c>
      <c r="L121" s="52">
        <v>0</v>
      </c>
      <c r="M121" s="52">
        <v>0</v>
      </c>
      <c r="N121" s="52">
        <v>0</v>
      </c>
      <c r="O121" s="52">
        <v>0</v>
      </c>
      <c r="P121" s="52">
        <v>0</v>
      </c>
      <c r="Q121" s="53">
        <v>0.1</v>
      </c>
      <c r="R121" s="52">
        <v>1.5</v>
      </c>
      <c r="S121" s="53">
        <v>0.19999998999999999</v>
      </c>
      <c r="T121" s="52">
        <v>1</v>
      </c>
      <c r="U121" s="54">
        <v>0</v>
      </c>
    </row>
    <row r="122" spans="1:21" s="3" customFormat="1" ht="18" customHeight="1">
      <c r="A122" s="8" t="s">
        <v>212</v>
      </c>
      <c r="B122" s="52">
        <v>183</v>
      </c>
      <c r="C122" s="52">
        <v>19</v>
      </c>
      <c r="D122" s="52">
        <v>36</v>
      </c>
      <c r="E122" s="52">
        <v>52</v>
      </c>
      <c r="F122" s="52">
        <v>0</v>
      </c>
      <c r="G122" s="52">
        <v>0</v>
      </c>
      <c r="H122" s="52">
        <v>0</v>
      </c>
      <c r="I122" s="52">
        <v>76</v>
      </c>
      <c r="J122" s="52">
        <v>0</v>
      </c>
      <c r="K122" s="52">
        <v>0</v>
      </c>
      <c r="L122" s="52">
        <v>0</v>
      </c>
      <c r="M122" s="52">
        <v>0</v>
      </c>
      <c r="N122" s="52">
        <v>0</v>
      </c>
      <c r="O122" s="52">
        <v>0</v>
      </c>
      <c r="P122" s="52">
        <v>0</v>
      </c>
      <c r="Q122" s="53">
        <v>0.15000000999999999</v>
      </c>
      <c r="R122" s="52">
        <v>2</v>
      </c>
      <c r="S122" s="53">
        <v>0.30000000999999998</v>
      </c>
      <c r="T122" s="52">
        <v>1</v>
      </c>
      <c r="U122" s="54">
        <v>0</v>
      </c>
    </row>
    <row r="123" spans="1:21" s="3" customFormat="1" ht="18" customHeight="1">
      <c r="A123" s="8" t="s">
        <v>213</v>
      </c>
      <c r="B123" s="52">
        <v>380</v>
      </c>
      <c r="C123" s="52">
        <v>342</v>
      </c>
      <c r="D123" s="52">
        <v>19</v>
      </c>
      <c r="E123" s="52">
        <v>19.000004000000001</v>
      </c>
      <c r="F123" s="52">
        <v>0</v>
      </c>
      <c r="G123" s="52">
        <v>0</v>
      </c>
      <c r="H123" s="52">
        <v>0</v>
      </c>
      <c r="I123" s="52">
        <v>0</v>
      </c>
      <c r="J123" s="52">
        <v>0</v>
      </c>
      <c r="K123" s="52">
        <v>0</v>
      </c>
      <c r="L123" s="52">
        <v>0</v>
      </c>
      <c r="M123" s="52">
        <v>0</v>
      </c>
      <c r="N123" s="52">
        <v>0</v>
      </c>
      <c r="O123" s="52">
        <v>0</v>
      </c>
      <c r="P123" s="52">
        <v>0</v>
      </c>
      <c r="Q123" s="53">
        <v>0.36000000999999998</v>
      </c>
      <c r="R123" s="52">
        <v>2</v>
      </c>
      <c r="S123" s="53">
        <v>0.18000000999999999</v>
      </c>
      <c r="T123" s="52">
        <v>1</v>
      </c>
      <c r="U123" s="54">
        <v>1</v>
      </c>
    </row>
    <row r="124" spans="1:21" s="3" customFormat="1" ht="18" customHeight="1">
      <c r="A124" s="8" t="s">
        <v>214</v>
      </c>
      <c r="B124" s="52">
        <v>183.99997999999999</v>
      </c>
      <c r="C124" s="52">
        <v>165.59998999999999</v>
      </c>
      <c r="D124" s="52">
        <v>9.1999998000000005</v>
      </c>
      <c r="E124" s="52">
        <v>9.2000027000000006</v>
      </c>
      <c r="F124" s="52">
        <v>0</v>
      </c>
      <c r="G124" s="52">
        <v>0</v>
      </c>
      <c r="H124" s="52">
        <v>0</v>
      </c>
      <c r="I124" s="52">
        <v>0</v>
      </c>
      <c r="J124" s="52">
        <v>0</v>
      </c>
      <c r="K124" s="52">
        <v>0</v>
      </c>
      <c r="L124" s="52">
        <v>0</v>
      </c>
      <c r="M124" s="52">
        <v>0</v>
      </c>
      <c r="N124" s="52">
        <v>0</v>
      </c>
      <c r="O124" s="52">
        <v>0</v>
      </c>
      <c r="P124" s="52">
        <v>0</v>
      </c>
      <c r="Q124" s="53">
        <v>0.34999998999999998</v>
      </c>
      <c r="R124" s="52">
        <v>2</v>
      </c>
      <c r="S124" s="53">
        <v>0.30000000999999998</v>
      </c>
      <c r="T124" s="52">
        <v>1</v>
      </c>
      <c r="U124" s="54">
        <v>3</v>
      </c>
    </row>
    <row r="125" spans="1:21" s="3" customFormat="1" ht="18" customHeight="1">
      <c r="A125" s="8" t="s">
        <v>215</v>
      </c>
      <c r="B125" s="52">
        <v>0</v>
      </c>
      <c r="C125" s="52">
        <v>0</v>
      </c>
      <c r="D125" s="52">
        <v>0</v>
      </c>
      <c r="E125" s="52">
        <v>0</v>
      </c>
      <c r="F125" s="52">
        <v>0</v>
      </c>
      <c r="G125" s="52">
        <v>0</v>
      </c>
      <c r="H125" s="52">
        <v>0</v>
      </c>
      <c r="I125" s="52">
        <v>0</v>
      </c>
      <c r="J125" s="52">
        <v>0</v>
      </c>
      <c r="K125" s="52">
        <v>0</v>
      </c>
      <c r="L125" s="52">
        <v>0</v>
      </c>
      <c r="M125" s="52">
        <v>0</v>
      </c>
      <c r="N125" s="52">
        <v>0</v>
      </c>
      <c r="O125" s="52">
        <v>0</v>
      </c>
      <c r="P125" s="52">
        <v>0</v>
      </c>
      <c r="Q125" s="53">
        <v>0</v>
      </c>
      <c r="R125" s="52">
        <v>0</v>
      </c>
      <c r="S125" s="53">
        <v>0</v>
      </c>
      <c r="T125" s="52">
        <v>0</v>
      </c>
      <c r="U125" s="54">
        <v>0</v>
      </c>
    </row>
    <row r="126" spans="1:21" s="3" customFormat="1" ht="18" customHeight="1">
      <c r="A126" s="8" t="s">
        <v>216</v>
      </c>
      <c r="B126" s="52">
        <v>26.000001999999999</v>
      </c>
      <c r="C126" s="52">
        <v>5.2000003000000001</v>
      </c>
      <c r="D126" s="52">
        <v>20.800001000000002</v>
      </c>
      <c r="E126" s="52">
        <v>0</v>
      </c>
      <c r="F126" s="52">
        <v>0</v>
      </c>
      <c r="G126" s="52">
        <v>0</v>
      </c>
      <c r="H126" s="52">
        <v>0</v>
      </c>
      <c r="I126" s="52">
        <v>0</v>
      </c>
      <c r="J126" s="52">
        <v>0</v>
      </c>
      <c r="K126" s="52">
        <v>0</v>
      </c>
      <c r="L126" s="52">
        <v>0</v>
      </c>
      <c r="M126" s="52">
        <v>0</v>
      </c>
      <c r="N126" s="52">
        <v>0</v>
      </c>
      <c r="O126" s="52">
        <v>0</v>
      </c>
      <c r="P126" s="52">
        <v>0</v>
      </c>
      <c r="Q126" s="53">
        <v>5.9999998999999998E-2</v>
      </c>
      <c r="R126" s="52">
        <v>1.6</v>
      </c>
      <c r="S126" s="53">
        <v>0.19999998999999999</v>
      </c>
      <c r="T126" s="52">
        <v>8.3333340000000007</v>
      </c>
      <c r="U126" s="54">
        <v>1</v>
      </c>
    </row>
    <row r="127" spans="1:21" s="3" customFormat="1" ht="18" customHeight="1">
      <c r="A127" s="8" t="s">
        <v>217</v>
      </c>
      <c r="B127" s="52">
        <v>216</v>
      </c>
      <c r="C127" s="52">
        <v>12</v>
      </c>
      <c r="D127" s="52">
        <v>38</v>
      </c>
      <c r="E127" s="52">
        <v>66</v>
      </c>
      <c r="F127" s="52">
        <v>0</v>
      </c>
      <c r="G127" s="52">
        <v>0</v>
      </c>
      <c r="H127" s="52">
        <v>100</v>
      </c>
      <c r="I127" s="52">
        <v>0</v>
      </c>
      <c r="J127" s="52">
        <v>0</v>
      </c>
      <c r="K127" s="52">
        <v>0</v>
      </c>
      <c r="L127" s="52">
        <v>0</v>
      </c>
      <c r="M127" s="52">
        <v>0</v>
      </c>
      <c r="N127" s="52">
        <v>0</v>
      </c>
      <c r="O127" s="52">
        <v>0</v>
      </c>
      <c r="P127" s="52">
        <v>0</v>
      </c>
      <c r="Q127" s="53">
        <v>0.2</v>
      </c>
      <c r="R127" s="52">
        <v>2</v>
      </c>
      <c r="S127" s="53">
        <v>0.39999997999999998</v>
      </c>
      <c r="T127" s="52">
        <v>1.0833333999999999</v>
      </c>
      <c r="U127" s="54">
        <v>0</v>
      </c>
    </row>
    <row r="128" spans="1:21" s="3" customFormat="1" ht="18" customHeight="1">
      <c r="A128" s="8" t="s">
        <v>218</v>
      </c>
      <c r="B128" s="52">
        <v>0</v>
      </c>
      <c r="C128" s="52">
        <v>0</v>
      </c>
      <c r="D128" s="52">
        <v>0</v>
      </c>
      <c r="E128" s="52">
        <v>0</v>
      </c>
      <c r="F128" s="52">
        <v>0</v>
      </c>
      <c r="G128" s="52">
        <v>0</v>
      </c>
      <c r="H128" s="52">
        <v>0</v>
      </c>
      <c r="I128" s="52">
        <v>0</v>
      </c>
      <c r="J128" s="52">
        <v>0</v>
      </c>
      <c r="K128" s="52">
        <v>0</v>
      </c>
      <c r="L128" s="52">
        <v>0</v>
      </c>
      <c r="M128" s="52">
        <v>0</v>
      </c>
      <c r="N128" s="52">
        <v>0</v>
      </c>
      <c r="O128" s="52">
        <v>0</v>
      </c>
      <c r="P128" s="52">
        <v>0</v>
      </c>
      <c r="Q128" s="53">
        <v>0</v>
      </c>
      <c r="R128" s="52">
        <v>0</v>
      </c>
      <c r="S128" s="53">
        <v>0</v>
      </c>
      <c r="T128" s="52">
        <v>0</v>
      </c>
      <c r="U128" s="54">
        <v>0</v>
      </c>
    </row>
    <row r="129" spans="1:21" s="3" customFormat="1" ht="18" customHeight="1">
      <c r="A129" s="8" t="s">
        <v>219</v>
      </c>
      <c r="B129" s="52">
        <v>800</v>
      </c>
      <c r="C129" s="52">
        <v>0</v>
      </c>
      <c r="D129" s="52">
        <v>640</v>
      </c>
      <c r="E129" s="52">
        <v>159.99997999999999</v>
      </c>
      <c r="F129" s="52">
        <v>0</v>
      </c>
      <c r="G129" s="52">
        <v>0</v>
      </c>
      <c r="H129" s="52">
        <v>0</v>
      </c>
      <c r="I129" s="52">
        <v>0</v>
      </c>
      <c r="J129" s="52">
        <v>0</v>
      </c>
      <c r="K129" s="52">
        <v>0</v>
      </c>
      <c r="L129" s="52">
        <v>0</v>
      </c>
      <c r="M129" s="52">
        <v>0</v>
      </c>
      <c r="N129" s="52">
        <v>0</v>
      </c>
      <c r="O129" s="52">
        <v>0</v>
      </c>
      <c r="P129" s="52">
        <v>0</v>
      </c>
      <c r="Q129" s="53">
        <v>0.2</v>
      </c>
      <c r="R129" s="52">
        <v>2</v>
      </c>
      <c r="S129" s="53">
        <v>0.31999999000000001</v>
      </c>
      <c r="T129" s="52">
        <v>0.66666669000000001</v>
      </c>
      <c r="U129" s="54">
        <v>1</v>
      </c>
    </row>
    <row r="130" spans="1:21" s="3" customFormat="1" ht="18" customHeight="1">
      <c r="A130" s="8" t="s">
        <v>220</v>
      </c>
      <c r="B130" s="52">
        <v>0</v>
      </c>
      <c r="C130" s="52">
        <v>0</v>
      </c>
      <c r="D130" s="52">
        <v>0</v>
      </c>
      <c r="E130" s="52">
        <v>0</v>
      </c>
      <c r="F130" s="52">
        <v>0</v>
      </c>
      <c r="G130" s="52">
        <v>0</v>
      </c>
      <c r="H130" s="52">
        <v>0</v>
      </c>
      <c r="I130" s="52">
        <v>0</v>
      </c>
      <c r="J130" s="52">
        <v>0</v>
      </c>
      <c r="K130" s="52">
        <v>0</v>
      </c>
      <c r="L130" s="52">
        <v>0</v>
      </c>
      <c r="M130" s="52">
        <v>0</v>
      </c>
      <c r="N130" s="52">
        <v>0</v>
      </c>
      <c r="O130" s="52">
        <v>0</v>
      </c>
      <c r="P130" s="52">
        <v>0</v>
      </c>
      <c r="Q130" s="53">
        <v>0</v>
      </c>
      <c r="R130" s="52">
        <v>0</v>
      </c>
      <c r="S130" s="53">
        <v>0</v>
      </c>
      <c r="T130" s="52">
        <v>0</v>
      </c>
      <c r="U130" s="54">
        <v>0</v>
      </c>
    </row>
    <row r="131" spans="1:21" s="3" customFormat="1" ht="18" customHeight="1">
      <c r="A131" s="8" t="s">
        <v>221</v>
      </c>
      <c r="B131" s="52">
        <v>296</v>
      </c>
      <c r="C131" s="52">
        <v>207.2</v>
      </c>
      <c r="D131" s="52">
        <v>88.800003000000004</v>
      </c>
      <c r="E131" s="52">
        <v>0</v>
      </c>
      <c r="F131" s="52">
        <v>0</v>
      </c>
      <c r="G131" s="52">
        <v>0</v>
      </c>
      <c r="H131" s="52">
        <v>0</v>
      </c>
      <c r="I131" s="52">
        <v>0</v>
      </c>
      <c r="J131" s="52">
        <v>0</v>
      </c>
      <c r="K131" s="52">
        <v>0</v>
      </c>
      <c r="L131" s="52">
        <v>0</v>
      </c>
      <c r="M131" s="52">
        <v>0</v>
      </c>
      <c r="N131" s="52">
        <v>0</v>
      </c>
      <c r="O131" s="52">
        <v>0</v>
      </c>
      <c r="P131" s="52">
        <v>0</v>
      </c>
      <c r="Q131" s="53">
        <v>0.15000000999999999</v>
      </c>
      <c r="R131" s="52">
        <v>1.5</v>
      </c>
      <c r="S131" s="53">
        <v>0.36000000999999998</v>
      </c>
      <c r="T131" s="52">
        <v>0.91666669000000001</v>
      </c>
      <c r="U131" s="54">
        <v>0</v>
      </c>
    </row>
    <row r="132" spans="1:21" s="3" customFormat="1" ht="18" customHeight="1">
      <c r="A132" s="8" t="s">
        <v>222</v>
      </c>
      <c r="B132" s="52">
        <v>300</v>
      </c>
      <c r="C132" s="52">
        <v>210</v>
      </c>
      <c r="D132" s="52">
        <v>90</v>
      </c>
      <c r="E132" s="52">
        <v>0</v>
      </c>
      <c r="F132" s="52">
        <v>0</v>
      </c>
      <c r="G132" s="52">
        <v>0</v>
      </c>
      <c r="H132" s="52">
        <v>0</v>
      </c>
      <c r="I132" s="52">
        <v>0</v>
      </c>
      <c r="J132" s="52">
        <v>0</v>
      </c>
      <c r="K132" s="52">
        <v>0</v>
      </c>
      <c r="L132" s="52">
        <v>0</v>
      </c>
      <c r="M132" s="52">
        <v>0</v>
      </c>
      <c r="N132" s="52">
        <v>0</v>
      </c>
      <c r="O132" s="52">
        <v>0</v>
      </c>
      <c r="P132" s="52">
        <v>0</v>
      </c>
      <c r="Q132" s="53">
        <v>0.18000000999999999</v>
      </c>
      <c r="R132" s="52">
        <v>2</v>
      </c>
      <c r="S132" s="53">
        <v>0.38</v>
      </c>
      <c r="T132" s="52">
        <v>1</v>
      </c>
      <c r="U132" s="54">
        <v>0</v>
      </c>
    </row>
    <row r="133" spans="1:21" s="3" customFormat="1" ht="18" customHeight="1">
      <c r="A133" s="8" t="s">
        <v>223</v>
      </c>
      <c r="B133" s="52">
        <v>0</v>
      </c>
      <c r="C133" s="52">
        <v>0</v>
      </c>
      <c r="D133" s="52">
        <v>0</v>
      </c>
      <c r="E133" s="52">
        <v>0</v>
      </c>
      <c r="F133" s="52">
        <v>0</v>
      </c>
      <c r="G133" s="52">
        <v>0</v>
      </c>
      <c r="H133" s="52">
        <v>0</v>
      </c>
      <c r="I133" s="52">
        <v>0</v>
      </c>
      <c r="J133" s="52">
        <v>0</v>
      </c>
      <c r="K133" s="52">
        <v>0</v>
      </c>
      <c r="L133" s="52">
        <v>0</v>
      </c>
      <c r="M133" s="52">
        <v>0</v>
      </c>
      <c r="N133" s="52">
        <v>0</v>
      </c>
      <c r="O133" s="52">
        <v>0</v>
      </c>
      <c r="P133" s="52">
        <v>0</v>
      </c>
      <c r="Q133" s="53">
        <v>0</v>
      </c>
      <c r="R133" s="52">
        <v>0</v>
      </c>
      <c r="S133" s="53">
        <v>0</v>
      </c>
      <c r="T133" s="52">
        <v>0</v>
      </c>
      <c r="U133" s="54">
        <v>0</v>
      </c>
    </row>
    <row r="134" spans="1:21" s="3" customFormat="1" ht="18" customHeight="1">
      <c r="A134" s="8" t="s">
        <v>224</v>
      </c>
      <c r="B134" s="52">
        <v>12</v>
      </c>
      <c r="C134" s="52">
        <v>1.2</v>
      </c>
      <c r="D134" s="52">
        <v>1.2</v>
      </c>
      <c r="E134" s="52">
        <v>9.6000004000000008</v>
      </c>
      <c r="F134" s="52">
        <v>0</v>
      </c>
      <c r="G134" s="52">
        <v>0</v>
      </c>
      <c r="H134" s="52">
        <v>0</v>
      </c>
      <c r="I134" s="52">
        <v>0</v>
      </c>
      <c r="J134" s="52">
        <v>0</v>
      </c>
      <c r="K134" s="52">
        <v>0</v>
      </c>
      <c r="L134" s="52">
        <v>0</v>
      </c>
      <c r="M134" s="52">
        <v>0</v>
      </c>
      <c r="N134" s="52">
        <v>0</v>
      </c>
      <c r="O134" s="52">
        <v>0</v>
      </c>
      <c r="P134" s="52">
        <v>0</v>
      </c>
      <c r="Q134" s="53">
        <v>0.16</v>
      </c>
      <c r="R134" s="52">
        <v>2.4000001000000002</v>
      </c>
      <c r="S134" s="53">
        <v>0.44999999000000002</v>
      </c>
      <c r="T134" s="52">
        <v>12.000000999999999</v>
      </c>
      <c r="U134" s="54">
        <v>2</v>
      </c>
    </row>
    <row r="135" spans="1:21" s="3" customFormat="1" ht="18" customHeight="1">
      <c r="A135" s="8" t="s">
        <v>225</v>
      </c>
      <c r="B135" s="52">
        <v>90</v>
      </c>
      <c r="C135" s="52">
        <v>25.200001</v>
      </c>
      <c r="D135" s="52">
        <v>37.799999</v>
      </c>
      <c r="E135" s="52">
        <v>27.000001999999999</v>
      </c>
      <c r="F135" s="52">
        <v>0</v>
      </c>
      <c r="G135" s="52">
        <v>0</v>
      </c>
      <c r="H135" s="52">
        <v>0</v>
      </c>
      <c r="I135" s="52">
        <v>0</v>
      </c>
      <c r="J135" s="52">
        <v>0</v>
      </c>
      <c r="K135" s="52">
        <v>0</v>
      </c>
      <c r="L135" s="52">
        <v>0</v>
      </c>
      <c r="M135" s="52">
        <v>0</v>
      </c>
      <c r="N135" s="52">
        <v>0</v>
      </c>
      <c r="O135" s="52">
        <v>0</v>
      </c>
      <c r="P135" s="52">
        <v>0</v>
      </c>
      <c r="Q135" s="53">
        <v>0.30000000999999998</v>
      </c>
      <c r="R135" s="52">
        <v>2.8</v>
      </c>
      <c r="S135" s="53">
        <v>6.0000001999999997E-2</v>
      </c>
      <c r="T135" s="52">
        <v>1.1666666999999999</v>
      </c>
      <c r="U135" s="54">
        <v>6</v>
      </c>
    </row>
    <row r="136" spans="1:21" s="3" customFormat="1" ht="18" customHeight="1">
      <c r="A136" s="8" t="s">
        <v>226</v>
      </c>
      <c r="B136" s="52">
        <v>90</v>
      </c>
      <c r="C136" s="52">
        <v>25.200001</v>
      </c>
      <c r="D136" s="52">
        <v>37.799999</v>
      </c>
      <c r="E136" s="52">
        <v>27.000001999999999</v>
      </c>
      <c r="F136" s="52">
        <v>0</v>
      </c>
      <c r="G136" s="52">
        <v>0</v>
      </c>
      <c r="H136" s="52">
        <v>0</v>
      </c>
      <c r="I136" s="52">
        <v>0</v>
      </c>
      <c r="J136" s="52">
        <v>0</v>
      </c>
      <c r="K136" s="52">
        <v>0</v>
      </c>
      <c r="L136" s="52">
        <v>0</v>
      </c>
      <c r="M136" s="52">
        <v>0</v>
      </c>
      <c r="N136" s="52">
        <v>0</v>
      </c>
      <c r="O136" s="52">
        <v>0</v>
      </c>
      <c r="P136" s="52">
        <v>0</v>
      </c>
      <c r="Q136" s="53">
        <v>0.30000000999999998</v>
      </c>
      <c r="R136" s="52">
        <v>2.8</v>
      </c>
      <c r="S136" s="53">
        <v>9.0000032999999993E-2</v>
      </c>
      <c r="T136" s="52">
        <v>1.4166666999999999</v>
      </c>
      <c r="U136" s="54">
        <v>6</v>
      </c>
    </row>
    <row r="137" spans="1:21" s="3" customFormat="1" ht="18" customHeight="1">
      <c r="A137" s="8" t="s">
        <v>227</v>
      </c>
      <c r="B137" s="52">
        <v>90</v>
      </c>
      <c r="C137" s="52">
        <v>0</v>
      </c>
      <c r="D137" s="52">
        <v>0</v>
      </c>
      <c r="E137" s="52">
        <v>0</v>
      </c>
      <c r="F137" s="52">
        <v>90</v>
      </c>
      <c r="G137" s="52">
        <v>0</v>
      </c>
      <c r="H137" s="52">
        <v>0</v>
      </c>
      <c r="I137" s="52">
        <v>0</v>
      </c>
      <c r="J137" s="52">
        <v>0</v>
      </c>
      <c r="K137" s="52">
        <v>0</v>
      </c>
      <c r="L137" s="52">
        <v>0</v>
      </c>
      <c r="M137" s="52">
        <v>0</v>
      </c>
      <c r="N137" s="52">
        <v>0</v>
      </c>
      <c r="O137" s="52">
        <v>0</v>
      </c>
      <c r="P137" s="52">
        <v>0</v>
      </c>
      <c r="Q137" s="53">
        <v>0.2</v>
      </c>
      <c r="R137" s="52">
        <v>1.9</v>
      </c>
      <c r="S137" s="53">
        <v>0.39999997999999998</v>
      </c>
      <c r="T137" s="52">
        <v>12.000000999999999</v>
      </c>
      <c r="U137" s="54">
        <v>1</v>
      </c>
    </row>
    <row r="138" spans="1:21" s="3" customFormat="1" ht="18" customHeight="1">
      <c r="A138" s="8" t="s">
        <v>228</v>
      </c>
      <c r="B138" s="52">
        <v>200</v>
      </c>
      <c r="C138" s="52">
        <v>96</v>
      </c>
      <c r="D138" s="52">
        <v>68</v>
      </c>
      <c r="E138" s="52">
        <v>36</v>
      </c>
      <c r="F138" s="52">
        <v>0</v>
      </c>
      <c r="G138" s="52">
        <v>0</v>
      </c>
      <c r="H138" s="52">
        <v>0</v>
      </c>
      <c r="I138" s="52">
        <v>0</v>
      </c>
      <c r="J138" s="52">
        <v>0</v>
      </c>
      <c r="K138" s="52">
        <v>0</v>
      </c>
      <c r="L138" s="52">
        <v>0</v>
      </c>
      <c r="M138" s="52">
        <v>0</v>
      </c>
      <c r="N138" s="52">
        <v>0</v>
      </c>
      <c r="O138" s="52">
        <v>0</v>
      </c>
      <c r="P138" s="52">
        <v>0</v>
      </c>
      <c r="Q138" s="53">
        <v>0.25999999000000001</v>
      </c>
      <c r="R138" s="52">
        <v>2.4000001000000002</v>
      </c>
      <c r="S138" s="53">
        <v>0.13999998999999999</v>
      </c>
      <c r="T138" s="52">
        <v>1</v>
      </c>
      <c r="U138" s="54">
        <v>0</v>
      </c>
    </row>
    <row r="139" spans="1:21" s="3" customFormat="1" ht="18" customHeight="1">
      <c r="A139" s="8" t="s">
        <v>229</v>
      </c>
      <c r="B139" s="52">
        <v>880</v>
      </c>
      <c r="C139" s="52">
        <v>400</v>
      </c>
      <c r="D139" s="52">
        <v>0</v>
      </c>
      <c r="E139" s="52">
        <v>0</v>
      </c>
      <c r="F139" s="52">
        <v>480</v>
      </c>
      <c r="G139" s="52">
        <v>0</v>
      </c>
      <c r="H139" s="52">
        <v>0</v>
      </c>
      <c r="I139" s="52">
        <v>0</v>
      </c>
      <c r="J139" s="52">
        <v>0</v>
      </c>
      <c r="K139" s="52">
        <v>0</v>
      </c>
      <c r="L139" s="52">
        <v>0</v>
      </c>
      <c r="M139" s="52">
        <v>0</v>
      </c>
      <c r="N139" s="52">
        <v>0</v>
      </c>
      <c r="O139" s="52">
        <v>0</v>
      </c>
      <c r="P139" s="52">
        <v>0</v>
      </c>
      <c r="Q139" s="53">
        <v>0.40000001000000002</v>
      </c>
      <c r="R139" s="52">
        <v>2.5999998999999998</v>
      </c>
      <c r="S139" s="53">
        <v>0.13</v>
      </c>
      <c r="T139" s="52">
        <v>2</v>
      </c>
      <c r="U139" s="54">
        <v>1</v>
      </c>
    </row>
    <row r="140" spans="1:21" s="3" customFormat="1" ht="18" customHeight="1">
      <c r="A140" s="8" t="s">
        <v>230</v>
      </c>
      <c r="B140" s="52">
        <v>960</v>
      </c>
      <c r="C140" s="52">
        <v>430</v>
      </c>
      <c r="D140" s="52">
        <v>0</v>
      </c>
      <c r="E140" s="52">
        <v>0</v>
      </c>
      <c r="F140" s="52">
        <v>530</v>
      </c>
      <c r="G140" s="52">
        <v>0</v>
      </c>
      <c r="H140" s="52">
        <v>0</v>
      </c>
      <c r="I140" s="52">
        <v>0</v>
      </c>
      <c r="J140" s="52">
        <v>0</v>
      </c>
      <c r="K140" s="52">
        <v>0</v>
      </c>
      <c r="L140" s="52">
        <v>0</v>
      </c>
      <c r="M140" s="52">
        <v>0</v>
      </c>
      <c r="N140" s="52">
        <v>0</v>
      </c>
      <c r="O140" s="52">
        <v>0</v>
      </c>
      <c r="P140" s="52">
        <v>0</v>
      </c>
      <c r="Q140" s="53">
        <v>0.44</v>
      </c>
      <c r="R140" s="52">
        <v>3</v>
      </c>
      <c r="S140" s="53">
        <v>0.30000000999999998</v>
      </c>
      <c r="T140" s="52">
        <v>2</v>
      </c>
      <c r="U140" s="54">
        <v>1</v>
      </c>
    </row>
    <row r="141" spans="1:21" s="3" customFormat="1" ht="18" customHeight="1">
      <c r="A141" s="8" t="s">
        <v>231</v>
      </c>
      <c r="B141" s="52">
        <v>0</v>
      </c>
      <c r="C141" s="52">
        <v>0</v>
      </c>
      <c r="D141" s="52">
        <v>0</v>
      </c>
      <c r="E141" s="52">
        <v>0</v>
      </c>
      <c r="F141" s="52">
        <v>0</v>
      </c>
      <c r="G141" s="52">
        <v>0</v>
      </c>
      <c r="H141" s="52">
        <v>0</v>
      </c>
      <c r="I141" s="52">
        <v>0</v>
      </c>
      <c r="J141" s="52">
        <v>0</v>
      </c>
      <c r="K141" s="52">
        <v>0</v>
      </c>
      <c r="L141" s="52">
        <v>0</v>
      </c>
      <c r="M141" s="52">
        <v>0</v>
      </c>
      <c r="N141" s="52">
        <v>0</v>
      </c>
      <c r="O141" s="52">
        <v>0</v>
      </c>
      <c r="P141" s="52">
        <v>0</v>
      </c>
      <c r="Q141" s="53">
        <v>0</v>
      </c>
      <c r="R141" s="52">
        <v>0</v>
      </c>
      <c r="S141" s="53">
        <v>0</v>
      </c>
      <c r="T141" s="52">
        <v>0</v>
      </c>
      <c r="U141" s="54">
        <v>0</v>
      </c>
    </row>
    <row r="142" spans="1:21" s="3" customFormat="1" ht="18" customHeight="1">
      <c r="A142" s="8" t="s">
        <v>232</v>
      </c>
      <c r="B142" s="52">
        <v>106</v>
      </c>
      <c r="C142" s="52">
        <v>31.800001000000002</v>
      </c>
      <c r="D142" s="52">
        <v>15.900001</v>
      </c>
      <c r="E142" s="52">
        <v>58.299995000000003</v>
      </c>
      <c r="F142" s="52">
        <v>0</v>
      </c>
      <c r="G142" s="52">
        <v>0</v>
      </c>
      <c r="H142" s="52">
        <v>0</v>
      </c>
      <c r="I142" s="52">
        <v>0</v>
      </c>
      <c r="J142" s="52">
        <v>0</v>
      </c>
      <c r="K142" s="52">
        <v>0</v>
      </c>
      <c r="L142" s="52">
        <v>0</v>
      </c>
      <c r="M142" s="52">
        <v>0</v>
      </c>
      <c r="N142" s="52">
        <v>0</v>
      </c>
      <c r="O142" s="52">
        <v>0</v>
      </c>
      <c r="P142" s="52">
        <v>0</v>
      </c>
      <c r="Q142" s="53">
        <v>5.9999998999999998E-2</v>
      </c>
      <c r="R142" s="52">
        <v>1.5</v>
      </c>
      <c r="S142" s="53">
        <v>0.18000000999999999</v>
      </c>
      <c r="T142" s="52">
        <v>0.91666669000000001</v>
      </c>
      <c r="U142" s="54">
        <v>0</v>
      </c>
    </row>
    <row r="143" spans="1:21" s="3" customFormat="1" ht="18" customHeight="1">
      <c r="A143" s="8" t="s">
        <v>233</v>
      </c>
      <c r="B143" s="52">
        <v>10</v>
      </c>
      <c r="C143" s="52">
        <v>0</v>
      </c>
      <c r="D143" s="52">
        <v>0</v>
      </c>
      <c r="E143" s="52">
        <v>0</v>
      </c>
      <c r="F143" s="52">
        <v>0</v>
      </c>
      <c r="G143" s="52">
        <v>10</v>
      </c>
      <c r="H143" s="52">
        <v>0</v>
      </c>
      <c r="I143" s="52">
        <v>0</v>
      </c>
      <c r="J143" s="52">
        <v>0</v>
      </c>
      <c r="K143" s="52">
        <v>0</v>
      </c>
      <c r="L143" s="52">
        <v>0</v>
      </c>
      <c r="M143" s="52">
        <v>0</v>
      </c>
      <c r="N143" s="52">
        <v>0</v>
      </c>
      <c r="O143" s="52">
        <v>0</v>
      </c>
      <c r="P143" s="52">
        <v>0</v>
      </c>
      <c r="Q143" s="53">
        <v>5.0000001000000002E-2</v>
      </c>
      <c r="R143" s="52">
        <v>2</v>
      </c>
      <c r="S143" s="53">
        <v>0.35000002000000002</v>
      </c>
      <c r="T143" s="52">
        <v>1</v>
      </c>
      <c r="U143" s="54">
        <v>1</v>
      </c>
    </row>
    <row r="144" spans="1:21" s="3" customFormat="1" ht="18" customHeight="1">
      <c r="A144" s="8" t="s">
        <v>234</v>
      </c>
      <c r="B144" s="52">
        <v>91</v>
      </c>
      <c r="C144" s="52">
        <v>50</v>
      </c>
      <c r="D144" s="52">
        <v>0</v>
      </c>
      <c r="E144" s="52">
        <v>0</v>
      </c>
      <c r="F144" s="52">
        <v>0</v>
      </c>
      <c r="G144" s="52">
        <v>0</v>
      </c>
      <c r="H144" s="52">
        <v>0</v>
      </c>
      <c r="I144" s="52">
        <v>0</v>
      </c>
      <c r="J144" s="52">
        <v>0</v>
      </c>
      <c r="K144" s="52">
        <v>0</v>
      </c>
      <c r="L144" s="52">
        <v>41</v>
      </c>
      <c r="M144" s="52">
        <v>0</v>
      </c>
      <c r="N144" s="52">
        <v>0</v>
      </c>
      <c r="O144" s="52">
        <v>0</v>
      </c>
      <c r="P144" s="52">
        <v>0</v>
      </c>
      <c r="Q144" s="53">
        <v>7.9999998000000003E-2</v>
      </c>
      <c r="R144" s="52">
        <v>1.4</v>
      </c>
      <c r="S144" s="53">
        <v>0.31999999000000001</v>
      </c>
      <c r="T144" s="52">
        <v>4.6666670000000003</v>
      </c>
      <c r="U144" s="54">
        <v>1</v>
      </c>
    </row>
    <row r="145" spans="1:21" s="3" customFormat="1" ht="18" customHeight="1">
      <c r="A145" s="8" t="s">
        <v>235</v>
      </c>
      <c r="B145" s="52">
        <v>0</v>
      </c>
      <c r="C145" s="52">
        <v>0</v>
      </c>
      <c r="D145" s="52">
        <v>0</v>
      </c>
      <c r="E145" s="52">
        <v>0</v>
      </c>
      <c r="F145" s="52">
        <v>0</v>
      </c>
      <c r="G145" s="52">
        <v>0</v>
      </c>
      <c r="H145" s="52">
        <v>0</v>
      </c>
      <c r="I145" s="52">
        <v>0</v>
      </c>
      <c r="J145" s="52">
        <v>0</v>
      </c>
      <c r="K145" s="52">
        <v>0</v>
      </c>
      <c r="L145" s="52">
        <v>0</v>
      </c>
      <c r="M145" s="52">
        <v>0</v>
      </c>
      <c r="N145" s="52">
        <v>0</v>
      </c>
      <c r="O145" s="52">
        <v>0</v>
      </c>
      <c r="P145" s="52">
        <v>0</v>
      </c>
      <c r="Q145" s="53">
        <v>0</v>
      </c>
      <c r="R145" s="52">
        <v>0</v>
      </c>
      <c r="S145" s="53">
        <v>0</v>
      </c>
      <c r="T145" s="52">
        <v>0</v>
      </c>
      <c r="U145" s="54">
        <v>0</v>
      </c>
    </row>
    <row r="146" spans="1:21" s="3" customFormat="1" ht="18" customHeight="1">
      <c r="A146" s="8" t="s">
        <v>235</v>
      </c>
      <c r="B146" s="52">
        <v>0</v>
      </c>
      <c r="C146" s="52">
        <v>0</v>
      </c>
      <c r="D146" s="52">
        <v>0</v>
      </c>
      <c r="E146" s="52">
        <v>0</v>
      </c>
      <c r="F146" s="52">
        <v>0</v>
      </c>
      <c r="G146" s="52">
        <v>0</v>
      </c>
      <c r="H146" s="52">
        <v>0</v>
      </c>
      <c r="I146" s="52">
        <v>0</v>
      </c>
      <c r="J146" s="52">
        <v>0</v>
      </c>
      <c r="K146" s="52">
        <v>0</v>
      </c>
      <c r="L146" s="52">
        <v>0</v>
      </c>
      <c r="M146" s="52">
        <v>0</v>
      </c>
      <c r="N146" s="52">
        <v>0</v>
      </c>
      <c r="O146" s="52">
        <v>0</v>
      </c>
      <c r="P146" s="52">
        <v>0</v>
      </c>
      <c r="Q146" s="53">
        <v>0</v>
      </c>
      <c r="R146" s="52">
        <v>0</v>
      </c>
      <c r="S146" s="53">
        <v>0</v>
      </c>
      <c r="T146" s="52">
        <v>0</v>
      </c>
      <c r="U146" s="54">
        <v>0</v>
      </c>
    </row>
    <row r="147" spans="1:21" s="3" customFormat="1" ht="18" customHeight="1">
      <c r="A147" s="8" t="s">
        <v>236</v>
      </c>
      <c r="B147" s="52">
        <v>23</v>
      </c>
      <c r="C147" s="52">
        <v>0</v>
      </c>
      <c r="D147" s="52">
        <v>8</v>
      </c>
      <c r="E147" s="52">
        <v>5</v>
      </c>
      <c r="F147" s="52">
        <v>0</v>
      </c>
      <c r="G147" s="52">
        <v>0</v>
      </c>
      <c r="H147" s="52">
        <v>0</v>
      </c>
      <c r="I147" s="52">
        <v>0</v>
      </c>
      <c r="J147" s="52">
        <v>0</v>
      </c>
      <c r="K147" s="52">
        <v>10</v>
      </c>
      <c r="L147" s="52">
        <v>0</v>
      </c>
      <c r="M147" s="52">
        <v>0</v>
      </c>
      <c r="N147" s="52">
        <v>0</v>
      </c>
      <c r="O147" s="52">
        <v>0</v>
      </c>
      <c r="P147" s="52">
        <v>0</v>
      </c>
      <c r="Q147" s="53">
        <v>0.12</v>
      </c>
      <c r="R147" s="52">
        <v>1.8</v>
      </c>
      <c r="S147" s="53">
        <v>0.30000000999999998</v>
      </c>
      <c r="T147" s="52">
        <v>12.000000999999999</v>
      </c>
      <c r="U147" s="54">
        <v>1</v>
      </c>
    </row>
    <row r="148" spans="1:21" s="3" customFormat="1" ht="18" customHeight="1">
      <c r="A148" s="8" t="s">
        <v>237</v>
      </c>
      <c r="B148" s="52">
        <v>120</v>
      </c>
      <c r="C148" s="52">
        <v>39.600002000000003</v>
      </c>
      <c r="D148" s="52">
        <v>39.600002000000003</v>
      </c>
      <c r="E148" s="52">
        <v>40.799995000000003</v>
      </c>
      <c r="F148" s="52">
        <v>0</v>
      </c>
      <c r="G148" s="52">
        <v>0</v>
      </c>
      <c r="H148" s="52">
        <v>0</v>
      </c>
      <c r="I148" s="52">
        <v>0</v>
      </c>
      <c r="J148" s="52">
        <v>0</v>
      </c>
      <c r="K148" s="52">
        <v>0</v>
      </c>
      <c r="L148" s="52">
        <v>0</v>
      </c>
      <c r="M148" s="52">
        <v>0</v>
      </c>
      <c r="N148" s="52">
        <v>0</v>
      </c>
      <c r="O148" s="52">
        <v>0</v>
      </c>
      <c r="P148" s="52">
        <v>0</v>
      </c>
      <c r="Q148" s="53">
        <v>0.2</v>
      </c>
      <c r="R148" s="52">
        <v>2.2000000000000002</v>
      </c>
      <c r="S148" s="53">
        <v>0.30000000999999998</v>
      </c>
      <c r="T148" s="52">
        <v>9.0909099999999992</v>
      </c>
      <c r="U148" s="54">
        <v>1</v>
      </c>
    </row>
    <row r="149" spans="1:21" s="3" customFormat="1" ht="18" customHeight="1">
      <c r="A149" s="8" t="s">
        <v>238</v>
      </c>
      <c r="B149" s="52">
        <v>700</v>
      </c>
      <c r="C149" s="52">
        <v>210.00002000000001</v>
      </c>
      <c r="D149" s="52">
        <v>280</v>
      </c>
      <c r="E149" s="52">
        <v>209.99996999999999</v>
      </c>
      <c r="F149" s="52">
        <v>0</v>
      </c>
      <c r="G149" s="52">
        <v>0</v>
      </c>
      <c r="H149" s="52">
        <v>0</v>
      </c>
      <c r="I149" s="52">
        <v>0</v>
      </c>
      <c r="J149" s="52">
        <v>0</v>
      </c>
      <c r="K149" s="52">
        <v>0</v>
      </c>
      <c r="L149" s="52">
        <v>0</v>
      </c>
      <c r="M149" s="52">
        <v>0</v>
      </c>
      <c r="N149" s="52">
        <v>0</v>
      </c>
      <c r="O149" s="52">
        <v>0</v>
      </c>
      <c r="P149" s="52">
        <v>0</v>
      </c>
      <c r="Q149" s="53">
        <v>0.34</v>
      </c>
      <c r="R149" s="52">
        <v>2</v>
      </c>
      <c r="S149" s="53">
        <v>0.46000004</v>
      </c>
      <c r="T149" s="52">
        <v>1</v>
      </c>
      <c r="U149" s="54">
        <v>1</v>
      </c>
    </row>
    <row r="150" spans="1:21" s="3" customFormat="1" ht="18" customHeight="1">
      <c r="A150" s="8" t="s">
        <v>239</v>
      </c>
      <c r="B150" s="52">
        <v>170</v>
      </c>
      <c r="C150" s="52">
        <v>17</v>
      </c>
      <c r="D150" s="52">
        <v>17</v>
      </c>
      <c r="E150" s="52">
        <v>136</v>
      </c>
      <c r="F150" s="52">
        <v>0</v>
      </c>
      <c r="G150" s="52">
        <v>0</v>
      </c>
      <c r="H150" s="52">
        <v>0</v>
      </c>
      <c r="I150" s="52">
        <v>0</v>
      </c>
      <c r="J150" s="52">
        <v>0</v>
      </c>
      <c r="K150" s="52">
        <v>0</v>
      </c>
      <c r="L150" s="52">
        <v>0</v>
      </c>
      <c r="M150" s="52">
        <v>0</v>
      </c>
      <c r="N150" s="52">
        <v>0</v>
      </c>
      <c r="O150" s="52">
        <v>0</v>
      </c>
      <c r="P150" s="52">
        <v>0</v>
      </c>
      <c r="Q150" s="53">
        <v>0.36000000999999998</v>
      </c>
      <c r="R150" s="52">
        <v>2.4000001000000002</v>
      </c>
      <c r="S150" s="53">
        <v>0.18000000999999999</v>
      </c>
      <c r="T150" s="52">
        <v>1</v>
      </c>
      <c r="U150" s="54">
        <v>0</v>
      </c>
    </row>
    <row r="151" spans="1:21" s="3" customFormat="1" ht="18" customHeight="1">
      <c r="A151" s="8" t="s">
        <v>240</v>
      </c>
      <c r="B151" s="52">
        <v>154</v>
      </c>
      <c r="C151" s="52">
        <v>0</v>
      </c>
      <c r="D151" s="52">
        <v>57.999996000000003</v>
      </c>
      <c r="E151" s="52">
        <v>36</v>
      </c>
      <c r="F151" s="52">
        <v>0</v>
      </c>
      <c r="G151" s="52">
        <v>0</v>
      </c>
      <c r="H151" s="52">
        <v>0</v>
      </c>
      <c r="I151" s="52">
        <v>0</v>
      </c>
      <c r="J151" s="52">
        <v>0</v>
      </c>
      <c r="K151" s="52">
        <v>60</v>
      </c>
      <c r="L151" s="52">
        <v>0</v>
      </c>
      <c r="M151" s="52">
        <v>0</v>
      </c>
      <c r="N151" s="52">
        <v>0</v>
      </c>
      <c r="O151" s="52">
        <v>0</v>
      </c>
      <c r="P151" s="52">
        <v>0</v>
      </c>
      <c r="Q151" s="53">
        <v>7.9999998000000003E-2</v>
      </c>
      <c r="R151" s="52">
        <v>1.5</v>
      </c>
      <c r="S151" s="53">
        <v>0.22000003000000001</v>
      </c>
      <c r="T151" s="52">
        <v>0.91666669000000001</v>
      </c>
      <c r="U151" s="54">
        <v>0</v>
      </c>
    </row>
    <row r="152" spans="1:21" s="3" customFormat="1" ht="18" customHeight="1">
      <c r="A152" s="8" t="s">
        <v>241</v>
      </c>
      <c r="B152" s="52">
        <v>10</v>
      </c>
      <c r="C152" s="52">
        <v>3.3333298999999998</v>
      </c>
      <c r="D152" s="52">
        <v>3.3333298999999998</v>
      </c>
      <c r="E152" s="52">
        <v>3.3333401999999999</v>
      </c>
      <c r="F152" s="52">
        <v>0</v>
      </c>
      <c r="G152" s="52">
        <v>0</v>
      </c>
      <c r="H152" s="52">
        <v>0</v>
      </c>
      <c r="I152" s="52">
        <v>0</v>
      </c>
      <c r="J152" s="52">
        <v>0</v>
      </c>
      <c r="K152" s="52">
        <v>0</v>
      </c>
      <c r="L152" s="52">
        <v>0</v>
      </c>
      <c r="M152" s="52">
        <v>0</v>
      </c>
      <c r="N152" s="52">
        <v>0</v>
      </c>
      <c r="O152" s="52">
        <v>0</v>
      </c>
      <c r="P152" s="52">
        <v>0</v>
      </c>
      <c r="Q152" s="53">
        <v>0</v>
      </c>
      <c r="R152" s="52">
        <v>2</v>
      </c>
      <c r="S152" s="53">
        <v>0.10000002</v>
      </c>
      <c r="T152" s="52">
        <v>1</v>
      </c>
      <c r="U152" s="54">
        <v>0</v>
      </c>
    </row>
    <row r="153" spans="1:21" s="3" customFormat="1" ht="18" customHeight="1">
      <c r="A153" s="8" t="s">
        <v>242</v>
      </c>
      <c r="B153" s="52">
        <v>260</v>
      </c>
      <c r="C153" s="52">
        <v>0</v>
      </c>
      <c r="D153" s="52">
        <v>120</v>
      </c>
      <c r="E153" s="52">
        <v>60</v>
      </c>
      <c r="F153" s="52">
        <v>0</v>
      </c>
      <c r="G153" s="52">
        <v>0</v>
      </c>
      <c r="H153" s="52">
        <v>0</v>
      </c>
      <c r="I153" s="52">
        <v>0</v>
      </c>
      <c r="J153" s="52">
        <v>0</v>
      </c>
      <c r="K153" s="52">
        <v>80</v>
      </c>
      <c r="L153" s="52">
        <v>0</v>
      </c>
      <c r="M153" s="52">
        <v>0</v>
      </c>
      <c r="N153" s="52">
        <v>0</v>
      </c>
      <c r="O153" s="52">
        <v>0</v>
      </c>
      <c r="P153" s="52">
        <v>0</v>
      </c>
      <c r="Q153" s="53">
        <v>5.0000001000000002E-2</v>
      </c>
      <c r="R153" s="52">
        <v>1.5</v>
      </c>
      <c r="S153" s="53">
        <v>0.39999997999999998</v>
      </c>
      <c r="T153" s="52">
        <v>0.83333336999999996</v>
      </c>
      <c r="U153" s="54">
        <v>0</v>
      </c>
    </row>
    <row r="154" spans="1:21" s="3" customFormat="1" ht="18" customHeight="1">
      <c r="A154" s="8" t="s">
        <v>243</v>
      </c>
      <c r="B154" s="52">
        <v>50</v>
      </c>
      <c r="C154" s="52">
        <v>50</v>
      </c>
      <c r="D154" s="52">
        <v>0</v>
      </c>
      <c r="E154" s="52">
        <v>0</v>
      </c>
      <c r="F154" s="52">
        <v>0</v>
      </c>
      <c r="G154" s="52">
        <v>0</v>
      </c>
      <c r="H154" s="52">
        <v>0</v>
      </c>
      <c r="I154" s="52">
        <v>0</v>
      </c>
      <c r="J154" s="52">
        <v>0</v>
      </c>
      <c r="K154" s="52">
        <v>0</v>
      </c>
      <c r="L154" s="52">
        <v>0</v>
      </c>
      <c r="M154" s="52">
        <v>0</v>
      </c>
      <c r="N154" s="52">
        <v>0</v>
      </c>
      <c r="O154" s="52">
        <v>0</v>
      </c>
      <c r="P154" s="52">
        <v>0</v>
      </c>
      <c r="Q154" s="53">
        <v>0</v>
      </c>
      <c r="R154" s="52">
        <v>1</v>
      </c>
      <c r="S154" s="53">
        <v>0.25</v>
      </c>
      <c r="T154" s="52">
        <v>1.3333333999999999</v>
      </c>
      <c r="U154" s="54">
        <v>0</v>
      </c>
    </row>
    <row r="155" spans="1:21" s="3" customFormat="1" ht="18" customHeight="1">
      <c r="A155" s="8" t="s">
        <v>244</v>
      </c>
      <c r="B155" s="52">
        <v>75</v>
      </c>
      <c r="C155" s="52">
        <v>75</v>
      </c>
      <c r="D155" s="52">
        <v>0</v>
      </c>
      <c r="E155" s="52">
        <v>0</v>
      </c>
      <c r="F155" s="52">
        <v>0</v>
      </c>
      <c r="G155" s="52">
        <v>0</v>
      </c>
      <c r="H155" s="52">
        <v>0</v>
      </c>
      <c r="I155" s="52">
        <v>0</v>
      </c>
      <c r="J155" s="52">
        <v>0</v>
      </c>
      <c r="K155" s="52">
        <v>0</v>
      </c>
      <c r="L155" s="52">
        <v>0</v>
      </c>
      <c r="M155" s="52">
        <v>0</v>
      </c>
      <c r="N155" s="52">
        <v>0</v>
      </c>
      <c r="O155" s="52">
        <v>0</v>
      </c>
      <c r="P155" s="52">
        <v>0</v>
      </c>
      <c r="Q155" s="53">
        <v>0</v>
      </c>
      <c r="R155" s="52">
        <v>1</v>
      </c>
      <c r="S155" s="53">
        <v>0.25</v>
      </c>
      <c r="T155" s="52">
        <v>1.3333333999999999</v>
      </c>
      <c r="U155" s="54">
        <v>0</v>
      </c>
    </row>
    <row r="156" spans="1:21" s="3" customFormat="1" ht="18" customHeight="1">
      <c r="A156" s="8" t="s">
        <v>245</v>
      </c>
      <c r="B156" s="52">
        <v>0</v>
      </c>
      <c r="C156" s="52">
        <v>0</v>
      </c>
      <c r="D156" s="52">
        <v>0</v>
      </c>
      <c r="E156" s="52">
        <v>0</v>
      </c>
      <c r="F156" s="52">
        <v>0</v>
      </c>
      <c r="G156" s="52">
        <v>0</v>
      </c>
      <c r="H156" s="52">
        <v>0</v>
      </c>
      <c r="I156" s="52">
        <v>0</v>
      </c>
      <c r="J156" s="52">
        <v>0</v>
      </c>
      <c r="K156" s="52">
        <v>0</v>
      </c>
      <c r="L156" s="52">
        <v>0</v>
      </c>
      <c r="M156" s="52">
        <v>0</v>
      </c>
      <c r="N156" s="52">
        <v>0</v>
      </c>
      <c r="O156" s="52">
        <v>0</v>
      </c>
      <c r="P156" s="52">
        <v>0</v>
      </c>
      <c r="Q156" s="53">
        <v>0</v>
      </c>
      <c r="R156" s="52">
        <v>0</v>
      </c>
      <c r="S156" s="53">
        <v>0</v>
      </c>
      <c r="T156" s="52">
        <v>0</v>
      </c>
      <c r="U156" s="54">
        <v>0</v>
      </c>
    </row>
    <row r="157" spans="1:21" s="3" customFormat="1" ht="18" customHeight="1">
      <c r="A157" s="8" t="s">
        <v>246</v>
      </c>
      <c r="B157" s="52">
        <v>0</v>
      </c>
      <c r="C157" s="52">
        <v>0</v>
      </c>
      <c r="D157" s="52">
        <v>0</v>
      </c>
      <c r="E157" s="52">
        <v>0</v>
      </c>
      <c r="F157" s="52">
        <v>0</v>
      </c>
      <c r="G157" s="52">
        <v>0</v>
      </c>
      <c r="H157" s="52">
        <v>0</v>
      </c>
      <c r="I157" s="52">
        <v>0</v>
      </c>
      <c r="J157" s="52">
        <v>0</v>
      </c>
      <c r="K157" s="52">
        <v>0</v>
      </c>
      <c r="L157" s="52">
        <v>0</v>
      </c>
      <c r="M157" s="52">
        <v>0</v>
      </c>
      <c r="N157" s="52">
        <v>0</v>
      </c>
      <c r="O157" s="52">
        <v>0</v>
      </c>
      <c r="P157" s="52">
        <v>0</v>
      </c>
      <c r="Q157" s="53">
        <v>0</v>
      </c>
      <c r="R157" s="52">
        <v>0</v>
      </c>
      <c r="S157" s="53">
        <v>0</v>
      </c>
      <c r="T157" s="52">
        <v>0</v>
      </c>
      <c r="U157" s="54">
        <v>0</v>
      </c>
    </row>
    <row r="158" spans="1:21" s="3" customFormat="1" ht="18" customHeight="1">
      <c r="A158" s="8" t="s">
        <v>246</v>
      </c>
      <c r="B158" s="52">
        <v>0</v>
      </c>
      <c r="C158" s="52">
        <v>0</v>
      </c>
      <c r="D158" s="52">
        <v>0</v>
      </c>
      <c r="E158" s="52">
        <v>0</v>
      </c>
      <c r="F158" s="52">
        <v>0</v>
      </c>
      <c r="G158" s="52">
        <v>0</v>
      </c>
      <c r="H158" s="52">
        <v>0</v>
      </c>
      <c r="I158" s="52">
        <v>0</v>
      </c>
      <c r="J158" s="52">
        <v>0</v>
      </c>
      <c r="K158" s="52">
        <v>0</v>
      </c>
      <c r="L158" s="52">
        <v>0</v>
      </c>
      <c r="M158" s="52">
        <v>0</v>
      </c>
      <c r="N158" s="52">
        <v>0</v>
      </c>
      <c r="O158" s="52">
        <v>0</v>
      </c>
      <c r="P158" s="52">
        <v>0</v>
      </c>
      <c r="Q158" s="53">
        <v>0</v>
      </c>
      <c r="R158" s="52">
        <v>0</v>
      </c>
      <c r="S158" s="53">
        <v>0</v>
      </c>
      <c r="T158" s="52">
        <v>0</v>
      </c>
      <c r="U158" s="54">
        <v>0</v>
      </c>
    </row>
    <row r="159" spans="1:21" s="3" customFormat="1" ht="18" customHeight="1">
      <c r="A159" s="8" t="s">
        <v>247</v>
      </c>
      <c r="B159" s="52">
        <v>30</v>
      </c>
      <c r="C159" s="52">
        <v>6</v>
      </c>
      <c r="D159" s="52">
        <v>22.5</v>
      </c>
      <c r="E159" s="52">
        <v>1.5000004</v>
      </c>
      <c r="F159" s="52">
        <v>0</v>
      </c>
      <c r="G159" s="52">
        <v>0</v>
      </c>
      <c r="H159" s="52">
        <v>0</v>
      </c>
      <c r="I159" s="52">
        <v>0</v>
      </c>
      <c r="J159" s="52">
        <v>0</v>
      </c>
      <c r="K159" s="52">
        <v>0</v>
      </c>
      <c r="L159" s="52">
        <v>0</v>
      </c>
      <c r="M159" s="52">
        <v>0</v>
      </c>
      <c r="N159" s="52">
        <v>0</v>
      </c>
      <c r="O159" s="52">
        <v>0</v>
      </c>
      <c r="P159" s="52">
        <v>0</v>
      </c>
      <c r="Q159" s="53">
        <v>7.9999998000000003E-2</v>
      </c>
      <c r="R159" s="52">
        <v>1.6</v>
      </c>
      <c r="S159" s="53">
        <v>0.22000003000000001</v>
      </c>
      <c r="T159" s="52">
        <v>11.250000999999999</v>
      </c>
      <c r="U159" s="54">
        <v>1</v>
      </c>
    </row>
    <row r="160" spans="1:21" s="3" customFormat="1" ht="18" customHeight="1">
      <c r="A160" s="8" t="s">
        <v>248</v>
      </c>
      <c r="B160" s="52">
        <v>32</v>
      </c>
      <c r="C160" s="52">
        <v>6.4000000999999997</v>
      </c>
      <c r="D160" s="52">
        <v>24</v>
      </c>
      <c r="E160" s="52">
        <v>1.6000004000000001</v>
      </c>
      <c r="F160" s="52">
        <v>0</v>
      </c>
      <c r="G160" s="52">
        <v>0</v>
      </c>
      <c r="H160" s="52">
        <v>0</v>
      </c>
      <c r="I160" s="52">
        <v>0</v>
      </c>
      <c r="J160" s="52">
        <v>0</v>
      </c>
      <c r="K160" s="52">
        <v>0</v>
      </c>
      <c r="L160" s="52">
        <v>0</v>
      </c>
      <c r="M160" s="52">
        <v>0</v>
      </c>
      <c r="N160" s="52">
        <v>0</v>
      </c>
      <c r="O160" s="52">
        <v>0</v>
      </c>
      <c r="P160" s="52">
        <v>0</v>
      </c>
      <c r="Q160" s="53">
        <v>7.9999998000000003E-2</v>
      </c>
      <c r="R160" s="52">
        <v>2</v>
      </c>
      <c r="S160" s="53">
        <v>0.30000000999999998</v>
      </c>
      <c r="T160" s="52">
        <v>11.250000999999999</v>
      </c>
      <c r="U160" s="54">
        <v>1</v>
      </c>
    </row>
    <row r="161" spans="1:21" s="3" customFormat="1" ht="18" customHeight="1">
      <c r="A161" s="8" t="s">
        <v>249</v>
      </c>
      <c r="B161" s="52">
        <v>249.99997999999999</v>
      </c>
      <c r="C161" s="52">
        <v>83.324996999999996</v>
      </c>
      <c r="D161" s="52">
        <v>83.333243999999993</v>
      </c>
      <c r="E161" s="52">
        <v>83.341751000000002</v>
      </c>
      <c r="F161" s="52">
        <v>0</v>
      </c>
      <c r="G161" s="52">
        <v>0</v>
      </c>
      <c r="H161" s="52">
        <v>0</v>
      </c>
      <c r="I161" s="52">
        <v>0</v>
      </c>
      <c r="J161" s="52">
        <v>0</v>
      </c>
      <c r="K161" s="52">
        <v>0</v>
      </c>
      <c r="L161" s="52">
        <v>0</v>
      </c>
      <c r="M161" s="52">
        <v>0</v>
      </c>
      <c r="N161" s="52">
        <v>0</v>
      </c>
      <c r="O161" s="52">
        <v>0</v>
      </c>
      <c r="P161" s="52">
        <v>0</v>
      </c>
      <c r="Q161" s="53">
        <v>0.5</v>
      </c>
      <c r="R161" s="52">
        <v>2</v>
      </c>
      <c r="S161" s="53">
        <v>0</v>
      </c>
      <c r="T161" s="52">
        <v>1</v>
      </c>
      <c r="U161" s="54">
        <v>0</v>
      </c>
    </row>
    <row r="162" spans="1:21" s="3" customFormat="1" ht="18" customHeight="1">
      <c r="A162" s="8" t="s">
        <v>250</v>
      </c>
      <c r="B162" s="52">
        <v>249.99997999999999</v>
      </c>
      <c r="C162" s="52">
        <v>83.324996999999996</v>
      </c>
      <c r="D162" s="52">
        <v>83.333243999999993</v>
      </c>
      <c r="E162" s="52">
        <v>83.341751000000002</v>
      </c>
      <c r="F162" s="52">
        <v>0</v>
      </c>
      <c r="G162" s="52">
        <v>0</v>
      </c>
      <c r="H162" s="52">
        <v>0</v>
      </c>
      <c r="I162" s="52">
        <v>0</v>
      </c>
      <c r="J162" s="52">
        <v>0</v>
      </c>
      <c r="K162" s="52">
        <v>0</v>
      </c>
      <c r="L162" s="52">
        <v>0</v>
      </c>
      <c r="M162" s="52">
        <v>0</v>
      </c>
      <c r="N162" s="52">
        <v>0</v>
      </c>
      <c r="O162" s="52">
        <v>0</v>
      </c>
      <c r="P162" s="52">
        <v>0</v>
      </c>
      <c r="Q162" s="53">
        <v>0.5</v>
      </c>
      <c r="R162" s="52">
        <v>2</v>
      </c>
      <c r="S162" s="53">
        <v>0</v>
      </c>
      <c r="T162" s="52">
        <v>1</v>
      </c>
      <c r="U162" s="54">
        <v>0</v>
      </c>
    </row>
    <row r="163" spans="1:21" s="3" customFormat="1" ht="18" customHeight="1">
      <c r="A163" s="8" t="s">
        <v>251</v>
      </c>
      <c r="B163" s="52">
        <v>58</v>
      </c>
      <c r="C163" s="52">
        <v>2.9000001000000002</v>
      </c>
      <c r="D163" s="52">
        <v>46.400002000000001</v>
      </c>
      <c r="E163" s="52">
        <v>8.6999989000000006</v>
      </c>
      <c r="F163" s="52">
        <v>0</v>
      </c>
      <c r="G163" s="52">
        <v>0</v>
      </c>
      <c r="H163" s="52">
        <v>0</v>
      </c>
      <c r="I163" s="52">
        <v>0</v>
      </c>
      <c r="J163" s="52">
        <v>0</v>
      </c>
      <c r="K163" s="52">
        <v>0</v>
      </c>
      <c r="L163" s="52">
        <v>0</v>
      </c>
      <c r="M163" s="52">
        <v>0</v>
      </c>
      <c r="N163" s="52">
        <v>0</v>
      </c>
      <c r="O163" s="52">
        <v>0</v>
      </c>
      <c r="P163" s="52">
        <v>0</v>
      </c>
      <c r="Q163" s="53">
        <v>0.16</v>
      </c>
      <c r="R163" s="52">
        <v>1.6</v>
      </c>
      <c r="S163" s="53">
        <v>0.15999996999999999</v>
      </c>
      <c r="T163" s="52">
        <v>3.3333335000000002</v>
      </c>
      <c r="U163" s="54">
        <v>1</v>
      </c>
    </row>
    <row r="164" spans="1:21" s="3" customFormat="1" ht="18" customHeight="1">
      <c r="A164" s="8" t="s">
        <v>252</v>
      </c>
      <c r="B164" s="52">
        <v>158</v>
      </c>
      <c r="C164" s="52">
        <v>3.95</v>
      </c>
      <c r="D164" s="52">
        <v>134.30000000000001</v>
      </c>
      <c r="E164" s="52">
        <v>19.75</v>
      </c>
      <c r="F164" s="52">
        <v>0</v>
      </c>
      <c r="G164" s="52">
        <v>0</v>
      </c>
      <c r="H164" s="52">
        <v>0</v>
      </c>
      <c r="I164" s="52">
        <v>0</v>
      </c>
      <c r="J164" s="52">
        <v>0</v>
      </c>
      <c r="K164" s="52">
        <v>0</v>
      </c>
      <c r="L164" s="52">
        <v>0</v>
      </c>
      <c r="M164" s="52">
        <v>0</v>
      </c>
      <c r="N164" s="52">
        <v>0</v>
      </c>
      <c r="O164" s="52">
        <v>0</v>
      </c>
      <c r="P164" s="52">
        <v>0</v>
      </c>
      <c r="Q164" s="53">
        <v>0.28000000000000003</v>
      </c>
      <c r="R164" s="52">
        <v>2</v>
      </c>
      <c r="S164" s="53">
        <v>0.13999998999999999</v>
      </c>
      <c r="T164" s="52">
        <v>1</v>
      </c>
      <c r="U164" s="54">
        <v>0</v>
      </c>
    </row>
    <row r="165" spans="1:21" s="3" customFormat="1" ht="18" customHeight="1">
      <c r="A165" s="8" t="s">
        <v>253</v>
      </c>
      <c r="B165" s="52">
        <v>170</v>
      </c>
      <c r="C165" s="52">
        <v>20.399999999999999</v>
      </c>
      <c r="D165" s="52">
        <v>119</v>
      </c>
      <c r="E165" s="52">
        <v>30.6</v>
      </c>
      <c r="F165" s="52">
        <v>0</v>
      </c>
      <c r="G165" s="52">
        <v>0</v>
      </c>
      <c r="H165" s="52">
        <v>0</v>
      </c>
      <c r="I165" s="52">
        <v>0</v>
      </c>
      <c r="J165" s="52">
        <v>0</v>
      </c>
      <c r="K165" s="52">
        <v>0</v>
      </c>
      <c r="L165" s="52">
        <v>0</v>
      </c>
      <c r="M165" s="52">
        <v>0</v>
      </c>
      <c r="N165" s="52">
        <v>0</v>
      </c>
      <c r="O165" s="52">
        <v>0</v>
      </c>
      <c r="P165" s="52">
        <v>0</v>
      </c>
      <c r="Q165" s="53">
        <v>0.31999999000000001</v>
      </c>
      <c r="R165" s="52">
        <v>3</v>
      </c>
      <c r="S165" s="53">
        <v>0.19999998999999999</v>
      </c>
      <c r="T165" s="52">
        <v>0.91666669000000001</v>
      </c>
      <c r="U165" s="54">
        <v>0</v>
      </c>
    </row>
    <row r="166" spans="1:21" s="3" customFormat="1" ht="18" customHeight="1">
      <c r="A166" s="8" t="s">
        <v>254</v>
      </c>
      <c r="B166" s="52">
        <v>0</v>
      </c>
      <c r="C166" s="52">
        <v>0</v>
      </c>
      <c r="D166" s="52">
        <v>0</v>
      </c>
      <c r="E166" s="52">
        <v>0</v>
      </c>
      <c r="F166" s="52">
        <v>0</v>
      </c>
      <c r="G166" s="52">
        <v>0</v>
      </c>
      <c r="H166" s="52">
        <v>0</v>
      </c>
      <c r="I166" s="52">
        <v>0</v>
      </c>
      <c r="J166" s="52">
        <v>0</v>
      </c>
      <c r="K166" s="52">
        <v>0</v>
      </c>
      <c r="L166" s="52">
        <v>0</v>
      </c>
      <c r="M166" s="52">
        <v>0</v>
      </c>
      <c r="N166" s="52">
        <v>0</v>
      </c>
      <c r="O166" s="52">
        <v>0</v>
      </c>
      <c r="P166" s="52">
        <v>0</v>
      </c>
      <c r="Q166" s="53">
        <v>0</v>
      </c>
      <c r="R166" s="52">
        <v>0</v>
      </c>
      <c r="S166" s="53">
        <v>0</v>
      </c>
      <c r="T166" s="52">
        <v>0</v>
      </c>
      <c r="U166" s="54">
        <v>0</v>
      </c>
    </row>
    <row r="167" spans="1:21" s="3" customFormat="1" ht="18" customHeight="1">
      <c r="A167" s="8" t="s">
        <v>255</v>
      </c>
      <c r="B167" s="52">
        <v>5</v>
      </c>
      <c r="C167" s="52">
        <v>0.5</v>
      </c>
      <c r="D167" s="52">
        <v>0.25</v>
      </c>
      <c r="E167" s="52">
        <v>4.25</v>
      </c>
      <c r="F167" s="52">
        <v>0</v>
      </c>
      <c r="G167" s="52">
        <v>0</v>
      </c>
      <c r="H167" s="52">
        <v>0</v>
      </c>
      <c r="I167" s="52">
        <v>0</v>
      </c>
      <c r="J167" s="52">
        <v>0</v>
      </c>
      <c r="K167" s="52">
        <v>0</v>
      </c>
      <c r="L167" s="52">
        <v>0</v>
      </c>
      <c r="M167" s="52">
        <v>0</v>
      </c>
      <c r="N167" s="52">
        <v>0</v>
      </c>
      <c r="O167" s="52">
        <v>0</v>
      </c>
      <c r="P167" s="52">
        <v>0</v>
      </c>
      <c r="Q167" s="53">
        <v>5.0000001000000002E-2</v>
      </c>
      <c r="R167" s="52">
        <v>2</v>
      </c>
      <c r="S167" s="53">
        <v>9.9999905E-3</v>
      </c>
      <c r="T167" s="52">
        <v>8.3333340000000007</v>
      </c>
      <c r="U167" s="54">
        <v>1</v>
      </c>
    </row>
    <row r="168" spans="1:21" s="3" customFormat="1" ht="18" customHeight="1">
      <c r="A168" s="8" t="s">
        <v>256</v>
      </c>
      <c r="B168" s="52">
        <v>7</v>
      </c>
      <c r="C168" s="52">
        <v>0.69999999000000002</v>
      </c>
      <c r="D168" s="52">
        <v>0.34999998999999998</v>
      </c>
      <c r="E168" s="52">
        <v>5.9500003000000001</v>
      </c>
      <c r="F168" s="52">
        <v>0</v>
      </c>
      <c r="G168" s="52">
        <v>0</v>
      </c>
      <c r="H168" s="52">
        <v>0</v>
      </c>
      <c r="I168" s="52">
        <v>0</v>
      </c>
      <c r="J168" s="52">
        <v>0</v>
      </c>
      <c r="K168" s="52">
        <v>0</v>
      </c>
      <c r="L168" s="52">
        <v>0</v>
      </c>
      <c r="M168" s="52">
        <v>0</v>
      </c>
      <c r="N168" s="52">
        <v>0</v>
      </c>
      <c r="O168" s="52">
        <v>0</v>
      </c>
      <c r="P168" s="52">
        <v>0</v>
      </c>
      <c r="Q168" s="53">
        <v>0.1</v>
      </c>
      <c r="R168" s="52">
        <v>2</v>
      </c>
      <c r="S168" s="53">
        <v>4.0000020999999997E-2</v>
      </c>
      <c r="T168" s="52">
        <v>10.000000999999999</v>
      </c>
      <c r="U168" s="54">
        <v>1</v>
      </c>
    </row>
    <row r="169" spans="1:21" s="3" customFormat="1" ht="18" customHeight="1">
      <c r="A169" s="8" t="s">
        <v>257</v>
      </c>
      <c r="B169" s="52">
        <v>40</v>
      </c>
      <c r="C169" s="52">
        <v>0</v>
      </c>
      <c r="D169" s="52">
        <v>0</v>
      </c>
      <c r="E169" s="52">
        <v>0</v>
      </c>
      <c r="F169" s="52">
        <v>0</v>
      </c>
      <c r="G169" s="52">
        <v>0</v>
      </c>
      <c r="H169" s="52">
        <v>0</v>
      </c>
      <c r="I169" s="52">
        <v>0</v>
      </c>
      <c r="J169" s="52">
        <v>0</v>
      </c>
      <c r="K169" s="52">
        <v>40</v>
      </c>
      <c r="L169" s="52">
        <v>0</v>
      </c>
      <c r="M169" s="52">
        <v>0</v>
      </c>
      <c r="N169" s="52">
        <v>0</v>
      </c>
      <c r="O169" s="52">
        <v>0</v>
      </c>
      <c r="P169" s="52">
        <v>0</v>
      </c>
      <c r="Q169" s="53">
        <v>3.9999999000000001E-2</v>
      </c>
      <c r="R169" s="52">
        <v>1.5</v>
      </c>
      <c r="S169" s="53">
        <v>0.12857145</v>
      </c>
      <c r="T169" s="52">
        <v>3.3333335000000002</v>
      </c>
      <c r="U169" s="54">
        <v>7</v>
      </c>
    </row>
    <row r="170" spans="1:21" s="3" customFormat="1" ht="18" customHeight="1">
      <c r="A170" s="8" t="s">
        <v>258</v>
      </c>
      <c r="B170" s="52">
        <v>142</v>
      </c>
      <c r="C170" s="52">
        <v>14.2</v>
      </c>
      <c r="D170" s="52">
        <v>14.2</v>
      </c>
      <c r="E170" s="52">
        <v>113.6</v>
      </c>
      <c r="F170" s="52">
        <v>0</v>
      </c>
      <c r="G170" s="52">
        <v>0</v>
      </c>
      <c r="H170" s="52">
        <v>0</v>
      </c>
      <c r="I170" s="52">
        <v>0</v>
      </c>
      <c r="J170" s="52">
        <v>0</v>
      </c>
      <c r="K170" s="52">
        <v>0</v>
      </c>
      <c r="L170" s="52">
        <v>0</v>
      </c>
      <c r="M170" s="52">
        <v>0</v>
      </c>
      <c r="N170" s="52">
        <v>0</v>
      </c>
      <c r="O170" s="52">
        <v>0</v>
      </c>
      <c r="P170" s="52">
        <v>0</v>
      </c>
      <c r="Q170" s="53">
        <v>0.16</v>
      </c>
      <c r="R170" s="52">
        <v>2</v>
      </c>
      <c r="S170" s="53">
        <v>0.24000001000000001</v>
      </c>
      <c r="T170" s="52">
        <v>0.88333337999999995</v>
      </c>
      <c r="U170" s="54">
        <v>0</v>
      </c>
    </row>
    <row r="171" spans="1:21" s="3" customFormat="1" ht="18" customHeight="1">
      <c r="A171" s="8" t="s">
        <v>259</v>
      </c>
      <c r="B171" s="52">
        <v>16</v>
      </c>
      <c r="C171" s="52">
        <v>2.4000001000000002</v>
      </c>
      <c r="D171" s="52">
        <v>11.2</v>
      </c>
      <c r="E171" s="52">
        <v>2.3999996000000001</v>
      </c>
      <c r="F171" s="52">
        <v>0</v>
      </c>
      <c r="G171" s="52">
        <v>0</v>
      </c>
      <c r="H171" s="52">
        <v>0</v>
      </c>
      <c r="I171" s="52">
        <v>0</v>
      </c>
      <c r="J171" s="52">
        <v>0</v>
      </c>
      <c r="K171" s="52">
        <v>0</v>
      </c>
      <c r="L171" s="52">
        <v>0</v>
      </c>
      <c r="M171" s="52">
        <v>0</v>
      </c>
      <c r="N171" s="52">
        <v>0</v>
      </c>
      <c r="O171" s="52">
        <v>0</v>
      </c>
      <c r="P171" s="52">
        <v>0</v>
      </c>
      <c r="Q171" s="53">
        <v>0.14000000000000001</v>
      </c>
      <c r="R171" s="52">
        <v>2</v>
      </c>
      <c r="S171" s="53">
        <v>0.27999996999999999</v>
      </c>
      <c r="T171" s="52">
        <v>20.000001999999999</v>
      </c>
      <c r="U171" s="54">
        <v>1</v>
      </c>
    </row>
    <row r="172" spans="1:21" s="3" customFormat="1" ht="18" customHeight="1">
      <c r="A172" s="8" t="s">
        <v>260</v>
      </c>
      <c r="B172" s="52">
        <v>168</v>
      </c>
      <c r="C172" s="52">
        <v>16.800001000000002</v>
      </c>
      <c r="D172" s="52">
        <v>25.200001</v>
      </c>
      <c r="E172" s="52">
        <v>126</v>
      </c>
      <c r="F172" s="52">
        <v>0</v>
      </c>
      <c r="G172" s="52">
        <v>0</v>
      </c>
      <c r="H172" s="52">
        <v>0</v>
      </c>
      <c r="I172" s="52">
        <v>0</v>
      </c>
      <c r="J172" s="52">
        <v>0</v>
      </c>
      <c r="K172" s="52">
        <v>0</v>
      </c>
      <c r="L172" s="52">
        <v>0</v>
      </c>
      <c r="M172" s="52">
        <v>0</v>
      </c>
      <c r="N172" s="52">
        <v>0</v>
      </c>
      <c r="O172" s="52">
        <v>0</v>
      </c>
      <c r="P172" s="52">
        <v>0</v>
      </c>
      <c r="Q172" s="53">
        <v>0.23999999</v>
      </c>
      <c r="R172" s="52">
        <v>2.5999998999999998</v>
      </c>
      <c r="S172" s="53">
        <v>0.18000000999999999</v>
      </c>
      <c r="T172" s="52">
        <v>1</v>
      </c>
      <c r="U172" s="54">
        <v>0</v>
      </c>
    </row>
    <row r="173" spans="1:21" s="3" customFormat="1" ht="18" customHeight="1">
      <c r="A173" s="8" t="s">
        <v>261</v>
      </c>
      <c r="B173" s="52">
        <v>50</v>
      </c>
      <c r="C173" s="52">
        <v>5</v>
      </c>
      <c r="D173" s="52">
        <v>5</v>
      </c>
      <c r="E173" s="52">
        <v>40</v>
      </c>
      <c r="F173" s="52">
        <v>0</v>
      </c>
      <c r="G173" s="52">
        <v>0</v>
      </c>
      <c r="H173" s="52">
        <v>0</v>
      </c>
      <c r="I173" s="52">
        <v>0</v>
      </c>
      <c r="J173" s="52">
        <v>0</v>
      </c>
      <c r="K173" s="52">
        <v>0</v>
      </c>
      <c r="L173" s="52">
        <v>0</v>
      </c>
      <c r="M173" s="52">
        <v>0</v>
      </c>
      <c r="N173" s="52">
        <v>0</v>
      </c>
      <c r="O173" s="52">
        <v>0</v>
      </c>
      <c r="P173" s="52">
        <v>0</v>
      </c>
      <c r="Q173" s="53">
        <v>0.1</v>
      </c>
      <c r="R173" s="52">
        <v>2</v>
      </c>
      <c r="S173" s="53">
        <v>0.25</v>
      </c>
      <c r="T173" s="52">
        <v>5.8333335000000002</v>
      </c>
      <c r="U173" s="54">
        <v>1</v>
      </c>
    </row>
    <row r="174" spans="1:21" s="3" customFormat="1" ht="18" customHeight="1">
      <c r="A174" s="8" t="s">
        <v>262</v>
      </c>
      <c r="B174" s="52">
        <v>50</v>
      </c>
      <c r="C174" s="52">
        <v>5</v>
      </c>
      <c r="D174" s="52">
        <v>5</v>
      </c>
      <c r="E174" s="52">
        <v>40</v>
      </c>
      <c r="F174" s="52">
        <v>0</v>
      </c>
      <c r="G174" s="52">
        <v>0</v>
      </c>
      <c r="H174" s="52">
        <v>0</v>
      </c>
      <c r="I174" s="52">
        <v>0</v>
      </c>
      <c r="J174" s="52">
        <v>0</v>
      </c>
      <c r="K174" s="52">
        <v>0</v>
      </c>
      <c r="L174" s="52">
        <v>0</v>
      </c>
      <c r="M174" s="52">
        <v>0</v>
      </c>
      <c r="N174" s="52">
        <v>0</v>
      </c>
      <c r="O174" s="52">
        <v>0</v>
      </c>
      <c r="P174" s="52">
        <v>0</v>
      </c>
      <c r="Q174" s="53">
        <v>0.1</v>
      </c>
      <c r="R174" s="52">
        <v>2</v>
      </c>
      <c r="S174" s="53">
        <v>0.25</v>
      </c>
      <c r="T174" s="52">
        <v>5.8333335000000002</v>
      </c>
      <c r="U174" s="54">
        <v>1</v>
      </c>
    </row>
    <row r="175" spans="1:21" s="3" customFormat="1" ht="18" customHeight="1">
      <c r="A175" s="8" t="s">
        <v>263</v>
      </c>
      <c r="B175" s="52">
        <v>75</v>
      </c>
      <c r="C175" s="52">
        <v>22.5</v>
      </c>
      <c r="D175" s="52">
        <v>18.75</v>
      </c>
      <c r="E175" s="52">
        <v>33.75</v>
      </c>
      <c r="F175" s="52">
        <v>0</v>
      </c>
      <c r="G175" s="52">
        <v>0</v>
      </c>
      <c r="H175" s="52">
        <v>0</v>
      </c>
      <c r="I175" s="52">
        <v>0</v>
      </c>
      <c r="J175" s="52">
        <v>0</v>
      </c>
      <c r="K175" s="52">
        <v>0</v>
      </c>
      <c r="L175" s="52">
        <v>0</v>
      </c>
      <c r="M175" s="52">
        <v>0</v>
      </c>
      <c r="N175" s="52">
        <v>0</v>
      </c>
      <c r="O175" s="52">
        <v>0</v>
      </c>
      <c r="P175" s="52">
        <v>0</v>
      </c>
      <c r="Q175" s="53">
        <v>0.34999998999999998</v>
      </c>
      <c r="R175" s="52">
        <v>2</v>
      </c>
      <c r="S175" s="53">
        <v>0.10000002</v>
      </c>
      <c r="T175" s="52">
        <v>4.1666670000000003</v>
      </c>
      <c r="U175" s="54">
        <v>1</v>
      </c>
    </row>
    <row r="176" spans="1:21" s="3" customFormat="1" ht="18" customHeight="1">
      <c r="A176" s="8" t="s">
        <v>264</v>
      </c>
      <c r="B176" s="52">
        <v>0</v>
      </c>
      <c r="C176" s="52">
        <v>0</v>
      </c>
      <c r="D176" s="52">
        <v>0</v>
      </c>
      <c r="E176" s="52">
        <v>0</v>
      </c>
      <c r="F176" s="52">
        <v>0</v>
      </c>
      <c r="G176" s="52">
        <v>0</v>
      </c>
      <c r="H176" s="52">
        <v>0</v>
      </c>
      <c r="I176" s="52">
        <v>0</v>
      </c>
      <c r="J176" s="52">
        <v>0</v>
      </c>
      <c r="K176" s="52">
        <v>0</v>
      </c>
      <c r="L176" s="52">
        <v>0</v>
      </c>
      <c r="M176" s="52">
        <v>0</v>
      </c>
      <c r="N176" s="52">
        <v>0</v>
      </c>
      <c r="O176" s="52">
        <v>0</v>
      </c>
      <c r="P176" s="52">
        <v>0</v>
      </c>
      <c r="Q176" s="53">
        <v>0</v>
      </c>
      <c r="R176" s="52">
        <v>0</v>
      </c>
      <c r="S176" s="53">
        <v>0</v>
      </c>
      <c r="T176" s="52">
        <v>0</v>
      </c>
      <c r="U176" s="54">
        <v>0</v>
      </c>
    </row>
    <row r="177" spans="1:21" s="3" customFormat="1" ht="18" customHeight="1">
      <c r="A177" s="8" t="s">
        <v>265</v>
      </c>
      <c r="B177" s="52">
        <v>0</v>
      </c>
      <c r="C177" s="52">
        <v>0</v>
      </c>
      <c r="D177" s="52">
        <v>0</v>
      </c>
      <c r="E177" s="52">
        <v>0</v>
      </c>
      <c r="F177" s="52">
        <v>0</v>
      </c>
      <c r="G177" s="52">
        <v>0</v>
      </c>
      <c r="H177" s="52">
        <v>0</v>
      </c>
      <c r="I177" s="52">
        <v>0</v>
      </c>
      <c r="J177" s="52">
        <v>0</v>
      </c>
      <c r="K177" s="52">
        <v>0</v>
      </c>
      <c r="L177" s="52">
        <v>0</v>
      </c>
      <c r="M177" s="52">
        <v>0</v>
      </c>
      <c r="N177" s="52">
        <v>0</v>
      </c>
      <c r="O177" s="52">
        <v>0</v>
      </c>
      <c r="P177" s="52">
        <v>0</v>
      </c>
      <c r="Q177" s="53">
        <v>0</v>
      </c>
      <c r="R177" s="52">
        <v>0</v>
      </c>
      <c r="S177" s="53">
        <v>0</v>
      </c>
      <c r="T177" s="52">
        <v>0</v>
      </c>
      <c r="U177" s="54">
        <v>0</v>
      </c>
    </row>
    <row r="178" spans="1:21" s="3" customFormat="1" ht="18" customHeight="1">
      <c r="A178" s="8" t="s">
        <v>266</v>
      </c>
      <c r="B178" s="52">
        <v>50</v>
      </c>
      <c r="C178" s="52">
        <v>7.5000004999999996</v>
      </c>
      <c r="D178" s="52">
        <v>37.5</v>
      </c>
      <c r="E178" s="52">
        <v>5.0000010000000001</v>
      </c>
      <c r="F178" s="52">
        <v>0</v>
      </c>
      <c r="G178" s="52">
        <v>0</v>
      </c>
      <c r="H178" s="52">
        <v>0</v>
      </c>
      <c r="I178" s="52">
        <v>0</v>
      </c>
      <c r="J178" s="52">
        <v>0</v>
      </c>
      <c r="K178" s="52">
        <v>0</v>
      </c>
      <c r="L178" s="52">
        <v>0</v>
      </c>
      <c r="M178" s="52">
        <v>0</v>
      </c>
      <c r="N178" s="52">
        <v>0</v>
      </c>
      <c r="O178" s="52">
        <v>0</v>
      </c>
      <c r="P178" s="52">
        <v>0</v>
      </c>
      <c r="Q178" s="53">
        <v>0.2</v>
      </c>
      <c r="R178" s="52">
        <v>2</v>
      </c>
      <c r="S178" s="53">
        <v>0.10000002</v>
      </c>
      <c r="T178" s="52">
        <v>1.0833333999999999</v>
      </c>
      <c r="U178" s="54">
        <v>0</v>
      </c>
    </row>
    <row r="179" spans="1:21" s="3" customFormat="1" ht="18" customHeight="1">
      <c r="A179" s="8" t="s">
        <v>267</v>
      </c>
      <c r="B179" s="52">
        <v>50</v>
      </c>
      <c r="C179" s="52">
        <v>7.5000004999999996</v>
      </c>
      <c r="D179" s="52">
        <v>37.5</v>
      </c>
      <c r="E179" s="52">
        <v>5.0000010000000001</v>
      </c>
      <c r="F179" s="52">
        <v>0</v>
      </c>
      <c r="G179" s="52">
        <v>0</v>
      </c>
      <c r="H179" s="52">
        <v>0</v>
      </c>
      <c r="I179" s="52">
        <v>0</v>
      </c>
      <c r="J179" s="52">
        <v>0</v>
      </c>
      <c r="K179" s="52">
        <v>0</v>
      </c>
      <c r="L179" s="52">
        <v>0</v>
      </c>
      <c r="M179" s="52">
        <v>0</v>
      </c>
      <c r="N179" s="52">
        <v>0</v>
      </c>
      <c r="O179" s="52">
        <v>0</v>
      </c>
      <c r="P179" s="52">
        <v>0</v>
      </c>
      <c r="Q179" s="53">
        <v>0.2</v>
      </c>
      <c r="R179" s="52">
        <v>2</v>
      </c>
      <c r="S179" s="53">
        <v>0.10000002</v>
      </c>
      <c r="T179" s="52">
        <v>1.0833333999999999</v>
      </c>
      <c r="U179" s="54">
        <v>0</v>
      </c>
    </row>
    <row r="180" spans="1:21" s="3" customFormat="1" ht="18" customHeight="1">
      <c r="A180" s="8" t="s">
        <v>268</v>
      </c>
      <c r="B180" s="52">
        <v>0</v>
      </c>
      <c r="C180" s="52">
        <v>0</v>
      </c>
      <c r="D180" s="52">
        <v>0</v>
      </c>
      <c r="E180" s="52">
        <v>0</v>
      </c>
      <c r="F180" s="52">
        <v>0</v>
      </c>
      <c r="G180" s="52">
        <v>0</v>
      </c>
      <c r="H180" s="52">
        <v>0</v>
      </c>
      <c r="I180" s="52">
        <v>0</v>
      </c>
      <c r="J180" s="52">
        <v>0</v>
      </c>
      <c r="K180" s="52">
        <v>0</v>
      </c>
      <c r="L180" s="52">
        <v>0</v>
      </c>
      <c r="M180" s="52">
        <v>0</v>
      </c>
      <c r="N180" s="52">
        <v>0</v>
      </c>
      <c r="O180" s="52">
        <v>0</v>
      </c>
      <c r="P180" s="52">
        <v>0</v>
      </c>
      <c r="Q180" s="53">
        <v>0</v>
      </c>
      <c r="R180" s="52">
        <v>0</v>
      </c>
      <c r="S180" s="53">
        <v>0</v>
      </c>
      <c r="T180" s="52">
        <v>0</v>
      </c>
      <c r="U180" s="54">
        <v>0</v>
      </c>
    </row>
    <row r="181" spans="1:21" s="3" customFormat="1" ht="18" customHeight="1">
      <c r="A181" s="8" t="s">
        <v>269</v>
      </c>
      <c r="B181" s="52">
        <v>0</v>
      </c>
      <c r="C181" s="52">
        <v>0</v>
      </c>
      <c r="D181" s="52">
        <v>0</v>
      </c>
      <c r="E181" s="52">
        <v>0</v>
      </c>
      <c r="F181" s="52">
        <v>0</v>
      </c>
      <c r="G181" s="52">
        <v>0</v>
      </c>
      <c r="H181" s="52">
        <v>0</v>
      </c>
      <c r="I181" s="52">
        <v>0</v>
      </c>
      <c r="J181" s="52">
        <v>0</v>
      </c>
      <c r="K181" s="52">
        <v>0</v>
      </c>
      <c r="L181" s="52">
        <v>0</v>
      </c>
      <c r="M181" s="52">
        <v>0</v>
      </c>
      <c r="N181" s="52">
        <v>0</v>
      </c>
      <c r="O181" s="52">
        <v>0</v>
      </c>
      <c r="P181" s="52">
        <v>0</v>
      </c>
      <c r="Q181" s="53">
        <v>0</v>
      </c>
      <c r="R181" s="52">
        <v>0</v>
      </c>
      <c r="S181" s="53">
        <v>0</v>
      </c>
      <c r="T181" s="52">
        <v>0</v>
      </c>
      <c r="U181" s="54">
        <v>0</v>
      </c>
    </row>
    <row r="182" spans="1:21" s="3" customFormat="1" ht="18" customHeight="1">
      <c r="A182" s="8" t="s">
        <v>270</v>
      </c>
      <c r="B182" s="52">
        <v>222</v>
      </c>
      <c r="C182" s="52">
        <v>0</v>
      </c>
      <c r="D182" s="52">
        <v>0</v>
      </c>
      <c r="E182" s="52">
        <v>222</v>
      </c>
      <c r="F182" s="52">
        <v>0</v>
      </c>
      <c r="G182" s="52">
        <v>0</v>
      </c>
      <c r="H182" s="52">
        <v>0</v>
      </c>
      <c r="I182" s="52">
        <v>0</v>
      </c>
      <c r="J182" s="52">
        <v>0</v>
      </c>
      <c r="K182" s="52">
        <v>0</v>
      </c>
      <c r="L182" s="52">
        <v>0</v>
      </c>
      <c r="M182" s="52">
        <v>0</v>
      </c>
      <c r="N182" s="52">
        <v>0</v>
      </c>
      <c r="O182" s="52">
        <v>0</v>
      </c>
      <c r="P182" s="52">
        <v>0</v>
      </c>
      <c r="Q182" s="53">
        <v>0.25999999000000001</v>
      </c>
      <c r="R182" s="52">
        <v>2.2000000000000002</v>
      </c>
      <c r="S182" s="53">
        <v>0.24000001000000001</v>
      </c>
      <c r="T182" s="52">
        <v>0.83333336999999996</v>
      </c>
      <c r="U182" s="54">
        <v>0</v>
      </c>
    </row>
    <row r="183" spans="1:21" s="3" customFormat="1" ht="18" customHeight="1">
      <c r="A183" s="8" t="s">
        <v>271</v>
      </c>
      <c r="B183" s="52">
        <v>188</v>
      </c>
      <c r="C183" s="52">
        <v>9.4000006000000003</v>
      </c>
      <c r="D183" s="52">
        <v>18.800001000000002</v>
      </c>
      <c r="E183" s="52">
        <v>159.80000000000001</v>
      </c>
      <c r="F183" s="52">
        <v>0</v>
      </c>
      <c r="G183" s="52">
        <v>0</v>
      </c>
      <c r="H183" s="52">
        <v>0</v>
      </c>
      <c r="I183" s="52">
        <v>0</v>
      </c>
      <c r="J183" s="52">
        <v>0</v>
      </c>
      <c r="K183" s="52">
        <v>0</v>
      </c>
      <c r="L183" s="52">
        <v>0</v>
      </c>
      <c r="M183" s="52">
        <v>0</v>
      </c>
      <c r="N183" s="52">
        <v>0</v>
      </c>
      <c r="O183" s="52">
        <v>0</v>
      </c>
      <c r="P183" s="52">
        <v>0</v>
      </c>
      <c r="Q183" s="53">
        <v>0.22</v>
      </c>
      <c r="R183" s="52">
        <v>2</v>
      </c>
      <c r="S183" s="53">
        <v>0.22000003000000001</v>
      </c>
      <c r="T183" s="52">
        <v>1</v>
      </c>
      <c r="U183" s="54">
        <v>0</v>
      </c>
    </row>
    <row r="184" spans="1:21" s="3" customFormat="1" ht="18" customHeight="1">
      <c r="A184" s="8" t="s">
        <v>272</v>
      </c>
      <c r="B184" s="52">
        <v>70</v>
      </c>
      <c r="C184" s="52">
        <v>7</v>
      </c>
      <c r="D184" s="52">
        <v>7</v>
      </c>
      <c r="E184" s="52">
        <v>56</v>
      </c>
      <c r="F184" s="52">
        <v>0</v>
      </c>
      <c r="G184" s="52">
        <v>0</v>
      </c>
      <c r="H184" s="52">
        <v>0</v>
      </c>
      <c r="I184" s="52">
        <v>0</v>
      </c>
      <c r="J184" s="52">
        <v>0</v>
      </c>
      <c r="K184" s="52">
        <v>0</v>
      </c>
      <c r="L184" s="52">
        <v>0</v>
      </c>
      <c r="M184" s="52">
        <v>0</v>
      </c>
      <c r="N184" s="52">
        <v>0</v>
      </c>
      <c r="O184" s="52">
        <v>0</v>
      </c>
      <c r="P184" s="52">
        <v>0</v>
      </c>
      <c r="Q184" s="53">
        <v>5.0000001000000002E-2</v>
      </c>
      <c r="R184" s="52">
        <v>2</v>
      </c>
      <c r="S184" s="53">
        <v>6.9000006000000003E-2</v>
      </c>
      <c r="T184" s="52">
        <v>3.3333335000000002</v>
      </c>
      <c r="U184" s="54">
        <v>10</v>
      </c>
    </row>
    <row r="185" spans="1:21" s="3" customFormat="1" ht="18" customHeight="1">
      <c r="A185" s="8" t="s">
        <v>273</v>
      </c>
      <c r="B185" s="52">
        <v>336</v>
      </c>
      <c r="C185" s="52">
        <v>16.800001000000002</v>
      </c>
      <c r="D185" s="52">
        <v>16.800001000000002</v>
      </c>
      <c r="E185" s="52">
        <v>302.39999</v>
      </c>
      <c r="F185" s="52">
        <v>0</v>
      </c>
      <c r="G185" s="52">
        <v>0</v>
      </c>
      <c r="H185" s="52">
        <v>0</v>
      </c>
      <c r="I185" s="52">
        <v>0</v>
      </c>
      <c r="J185" s="52">
        <v>0</v>
      </c>
      <c r="K185" s="52">
        <v>0</v>
      </c>
      <c r="L185" s="52">
        <v>0</v>
      </c>
      <c r="M185" s="52">
        <v>0</v>
      </c>
      <c r="N185" s="52">
        <v>0</v>
      </c>
      <c r="O185" s="52">
        <v>0</v>
      </c>
      <c r="P185" s="52">
        <v>0</v>
      </c>
      <c r="Q185" s="53">
        <v>0.5</v>
      </c>
      <c r="R185" s="52">
        <v>2</v>
      </c>
      <c r="S185" s="53">
        <v>0.19999998999999999</v>
      </c>
      <c r="T185" s="52">
        <v>1</v>
      </c>
      <c r="U185" s="54">
        <v>1</v>
      </c>
    </row>
    <row r="186" spans="1:21" s="3" customFormat="1" ht="18" customHeight="1">
      <c r="A186" s="8" t="s">
        <v>274</v>
      </c>
      <c r="B186" s="52">
        <v>0</v>
      </c>
      <c r="C186" s="52">
        <v>0</v>
      </c>
      <c r="D186" s="52">
        <v>0</v>
      </c>
      <c r="E186" s="52">
        <v>0</v>
      </c>
      <c r="F186" s="52">
        <v>0</v>
      </c>
      <c r="G186" s="52">
        <v>0</v>
      </c>
      <c r="H186" s="52">
        <v>0</v>
      </c>
      <c r="I186" s="52">
        <v>0</v>
      </c>
      <c r="J186" s="52">
        <v>0</v>
      </c>
      <c r="K186" s="52">
        <v>0</v>
      </c>
      <c r="L186" s="52">
        <v>0</v>
      </c>
      <c r="M186" s="52">
        <v>0</v>
      </c>
      <c r="N186" s="52">
        <v>0</v>
      </c>
      <c r="O186" s="52">
        <v>0</v>
      </c>
      <c r="P186" s="52">
        <v>0</v>
      </c>
      <c r="Q186" s="53">
        <v>0</v>
      </c>
      <c r="R186" s="52">
        <v>0</v>
      </c>
      <c r="S186" s="53">
        <v>0</v>
      </c>
      <c r="T186" s="52">
        <v>0</v>
      </c>
      <c r="U186" s="54">
        <v>0</v>
      </c>
    </row>
    <row r="187" spans="1:21" s="3" customFormat="1" ht="18" customHeight="1">
      <c r="A187" s="8" t="s">
        <v>275</v>
      </c>
      <c r="B187" s="52">
        <v>0</v>
      </c>
      <c r="C187" s="52">
        <v>0</v>
      </c>
      <c r="D187" s="52">
        <v>0</v>
      </c>
      <c r="E187" s="52">
        <v>0</v>
      </c>
      <c r="F187" s="52">
        <v>0</v>
      </c>
      <c r="G187" s="52">
        <v>0</v>
      </c>
      <c r="H187" s="52">
        <v>0</v>
      </c>
      <c r="I187" s="52">
        <v>0</v>
      </c>
      <c r="J187" s="52">
        <v>0</v>
      </c>
      <c r="K187" s="52">
        <v>0</v>
      </c>
      <c r="L187" s="52">
        <v>0</v>
      </c>
      <c r="M187" s="52">
        <v>0</v>
      </c>
      <c r="N187" s="52">
        <v>0</v>
      </c>
      <c r="O187" s="52">
        <v>0</v>
      </c>
      <c r="P187" s="52">
        <v>0</v>
      </c>
      <c r="Q187" s="53">
        <v>0</v>
      </c>
      <c r="R187" s="52">
        <v>0</v>
      </c>
      <c r="S187" s="53">
        <v>0</v>
      </c>
      <c r="T187" s="52">
        <v>0</v>
      </c>
      <c r="U187" s="54">
        <v>0</v>
      </c>
    </row>
    <row r="188" spans="1:21" s="3" customFormat="1" ht="18" customHeight="1">
      <c r="A188" s="8" t="s">
        <v>276</v>
      </c>
      <c r="B188" s="52">
        <v>26.000001999999999</v>
      </c>
      <c r="C188" s="52">
        <v>5.2000003000000001</v>
      </c>
      <c r="D188" s="52">
        <v>20.800001000000002</v>
      </c>
      <c r="E188" s="52">
        <v>0</v>
      </c>
      <c r="F188" s="52">
        <v>0</v>
      </c>
      <c r="G188" s="52">
        <v>0</v>
      </c>
      <c r="H188" s="52">
        <v>0</v>
      </c>
      <c r="I188" s="52">
        <v>0</v>
      </c>
      <c r="J188" s="52">
        <v>0</v>
      </c>
      <c r="K188" s="52">
        <v>0</v>
      </c>
      <c r="L188" s="52">
        <v>0</v>
      </c>
      <c r="M188" s="52">
        <v>0</v>
      </c>
      <c r="N188" s="52">
        <v>0</v>
      </c>
      <c r="O188" s="52">
        <v>0</v>
      </c>
      <c r="P188" s="52">
        <v>0</v>
      </c>
      <c r="Q188" s="53">
        <v>5.9999998999999998E-2</v>
      </c>
      <c r="R188" s="52">
        <v>1.6</v>
      </c>
      <c r="S188" s="53">
        <v>0.19999998999999999</v>
      </c>
      <c r="T188" s="52">
        <v>18.750001999999999</v>
      </c>
      <c r="U188" s="54">
        <v>1</v>
      </c>
    </row>
    <row r="189" spans="1:21" s="3" customFormat="1" ht="18" customHeight="1">
      <c r="A189" s="8" t="s">
        <v>277</v>
      </c>
      <c r="B189" s="52">
        <v>157</v>
      </c>
      <c r="C189" s="52">
        <v>23.550001000000002</v>
      </c>
      <c r="D189" s="52">
        <v>23.550001000000002</v>
      </c>
      <c r="E189" s="52">
        <v>109.9</v>
      </c>
      <c r="F189" s="52">
        <v>0</v>
      </c>
      <c r="G189" s="52">
        <v>0</v>
      </c>
      <c r="H189" s="52">
        <v>0</v>
      </c>
      <c r="I189" s="52">
        <v>0</v>
      </c>
      <c r="J189" s="52">
        <v>0</v>
      </c>
      <c r="K189" s="52">
        <v>0</v>
      </c>
      <c r="L189" s="52">
        <v>0</v>
      </c>
      <c r="M189" s="52">
        <v>0</v>
      </c>
      <c r="N189" s="52">
        <v>0</v>
      </c>
      <c r="O189" s="52">
        <v>0</v>
      </c>
      <c r="P189" s="52">
        <v>0</v>
      </c>
      <c r="Q189" s="53">
        <v>0.25</v>
      </c>
      <c r="R189" s="52">
        <v>3</v>
      </c>
      <c r="S189" s="53">
        <v>0.10000002</v>
      </c>
      <c r="T189" s="52">
        <v>0.83333336999999996</v>
      </c>
      <c r="U189" s="54">
        <v>0</v>
      </c>
    </row>
    <row r="190" spans="1:21" s="3" customFormat="1" ht="18" customHeight="1">
      <c r="A190" s="8" t="s">
        <v>278</v>
      </c>
      <c r="B190" s="52">
        <v>110</v>
      </c>
      <c r="C190" s="52">
        <v>49.5</v>
      </c>
      <c r="D190" s="52">
        <v>30.25</v>
      </c>
      <c r="E190" s="52">
        <v>30.249998000000001</v>
      </c>
      <c r="F190" s="52">
        <v>0</v>
      </c>
      <c r="G190" s="52">
        <v>0</v>
      </c>
      <c r="H190" s="52">
        <v>0</v>
      </c>
      <c r="I190" s="52">
        <v>0</v>
      </c>
      <c r="J190" s="52">
        <v>0</v>
      </c>
      <c r="K190" s="52">
        <v>0</v>
      </c>
      <c r="L190" s="52">
        <v>0</v>
      </c>
      <c r="M190" s="52">
        <v>0</v>
      </c>
      <c r="N190" s="52">
        <v>0</v>
      </c>
      <c r="O190" s="52">
        <v>0</v>
      </c>
      <c r="P190" s="52">
        <v>0</v>
      </c>
      <c r="Q190" s="53">
        <v>0.28000000000000003</v>
      </c>
      <c r="R190" s="52">
        <v>2.2000000000000002</v>
      </c>
      <c r="S190" s="53">
        <v>0.13999998999999999</v>
      </c>
      <c r="T190" s="52">
        <v>10.416667</v>
      </c>
      <c r="U190" s="54">
        <v>1</v>
      </c>
    </row>
    <row r="191" spans="1:21" s="3" customFormat="1" ht="18" customHeight="1">
      <c r="A191" s="8" t="s">
        <v>279</v>
      </c>
      <c r="B191" s="52">
        <v>180</v>
      </c>
      <c r="C191" s="52">
        <v>27.000001999999999</v>
      </c>
      <c r="D191" s="52">
        <v>27.000001999999999</v>
      </c>
      <c r="E191" s="52">
        <v>126</v>
      </c>
      <c r="F191" s="52">
        <v>0</v>
      </c>
      <c r="G191" s="52">
        <v>0</v>
      </c>
      <c r="H191" s="52">
        <v>0</v>
      </c>
      <c r="I191" s="52">
        <v>0</v>
      </c>
      <c r="J191" s="52">
        <v>0</v>
      </c>
      <c r="K191" s="52">
        <v>0</v>
      </c>
      <c r="L191" s="52">
        <v>0</v>
      </c>
      <c r="M191" s="52">
        <v>0</v>
      </c>
      <c r="N191" s="52">
        <v>0</v>
      </c>
      <c r="O191" s="52">
        <v>0</v>
      </c>
      <c r="P191" s="52">
        <v>0</v>
      </c>
      <c r="Q191" s="53">
        <v>0.2</v>
      </c>
      <c r="R191" s="52">
        <v>2</v>
      </c>
      <c r="S191" s="53">
        <v>0.27999996999999999</v>
      </c>
      <c r="T191" s="52">
        <v>1</v>
      </c>
      <c r="U191" s="54">
        <v>0</v>
      </c>
    </row>
    <row r="192" spans="1:21" s="3" customFormat="1" ht="18" customHeight="1">
      <c r="A192" s="8" t="s">
        <v>280</v>
      </c>
      <c r="B192" s="52">
        <v>147</v>
      </c>
      <c r="C192" s="52">
        <v>22.050001000000002</v>
      </c>
      <c r="D192" s="52">
        <v>22.050001000000002</v>
      </c>
      <c r="E192" s="52">
        <v>102.9</v>
      </c>
      <c r="F192" s="52">
        <v>0</v>
      </c>
      <c r="G192" s="52">
        <v>0</v>
      </c>
      <c r="H192" s="52">
        <v>0</v>
      </c>
      <c r="I192" s="52">
        <v>0</v>
      </c>
      <c r="J192" s="52">
        <v>0</v>
      </c>
      <c r="K192" s="52">
        <v>0</v>
      </c>
      <c r="L192" s="52">
        <v>0</v>
      </c>
      <c r="M192" s="52">
        <v>0</v>
      </c>
      <c r="N192" s="52">
        <v>0</v>
      </c>
      <c r="O192" s="52">
        <v>0</v>
      </c>
      <c r="P192" s="52">
        <v>0</v>
      </c>
      <c r="Q192" s="53">
        <v>5.0000001000000002E-2</v>
      </c>
      <c r="R192" s="52">
        <v>1.5</v>
      </c>
      <c r="S192" s="53">
        <v>0.19999998999999999</v>
      </c>
      <c r="T192" s="52">
        <v>0.91666669000000001</v>
      </c>
      <c r="U192" s="54">
        <v>0</v>
      </c>
    </row>
    <row r="193" spans="1:21" s="3" customFormat="1" ht="18" customHeight="1">
      <c r="A193" s="8" t="s">
        <v>281</v>
      </c>
      <c r="B193" s="52">
        <v>122</v>
      </c>
      <c r="C193" s="52">
        <v>19</v>
      </c>
      <c r="D193" s="52">
        <v>11</v>
      </c>
      <c r="E193" s="52">
        <v>45</v>
      </c>
      <c r="F193" s="52">
        <v>0</v>
      </c>
      <c r="G193" s="52">
        <v>0</v>
      </c>
      <c r="H193" s="52">
        <v>0</v>
      </c>
      <c r="I193" s="52">
        <v>47</v>
      </c>
      <c r="J193" s="52">
        <v>0</v>
      </c>
      <c r="K193" s="52">
        <v>0</v>
      </c>
      <c r="L193" s="52">
        <v>0</v>
      </c>
      <c r="M193" s="52">
        <v>0</v>
      </c>
      <c r="N193" s="52">
        <v>0</v>
      </c>
      <c r="O193" s="52">
        <v>0</v>
      </c>
      <c r="P193" s="52">
        <v>0</v>
      </c>
      <c r="Q193" s="53">
        <v>0.25</v>
      </c>
      <c r="R193" s="52">
        <v>3</v>
      </c>
      <c r="S193" s="53">
        <v>0.14999998</v>
      </c>
      <c r="T193" s="52">
        <v>1.0833333999999999</v>
      </c>
      <c r="U193" s="54">
        <v>0</v>
      </c>
    </row>
    <row r="194" spans="1:21" s="3" customFormat="1" ht="18" customHeight="1">
      <c r="A194" s="8" t="s">
        <v>282</v>
      </c>
      <c r="B194" s="52">
        <v>96.000007999999994</v>
      </c>
      <c r="C194" s="52">
        <v>4.8000002000000004</v>
      </c>
      <c r="D194" s="52">
        <v>9.6000004000000008</v>
      </c>
      <c r="E194" s="52">
        <v>81.600005999999993</v>
      </c>
      <c r="F194" s="52">
        <v>0</v>
      </c>
      <c r="G194" s="52">
        <v>0</v>
      </c>
      <c r="H194" s="52">
        <v>0</v>
      </c>
      <c r="I194" s="52">
        <v>0</v>
      </c>
      <c r="J194" s="52">
        <v>0</v>
      </c>
      <c r="K194" s="52">
        <v>0</v>
      </c>
      <c r="L194" s="52">
        <v>0</v>
      </c>
      <c r="M194" s="52">
        <v>0</v>
      </c>
      <c r="N194" s="52">
        <v>0</v>
      </c>
      <c r="O194" s="52">
        <v>0</v>
      </c>
      <c r="P194" s="52">
        <v>0</v>
      </c>
      <c r="Q194" s="53">
        <v>0.1</v>
      </c>
      <c r="R194" s="52">
        <v>1.5</v>
      </c>
      <c r="S194" s="53">
        <v>0.14999998</v>
      </c>
      <c r="T194" s="52">
        <v>1.1666666999999999</v>
      </c>
      <c r="U194" s="54">
        <v>0</v>
      </c>
    </row>
    <row r="195" spans="1:21" s="3" customFormat="1" ht="18" customHeight="1">
      <c r="A195" s="8" t="s">
        <v>283</v>
      </c>
      <c r="B195" s="52">
        <v>160</v>
      </c>
      <c r="C195" s="52">
        <v>8</v>
      </c>
      <c r="D195" s="52">
        <v>32</v>
      </c>
      <c r="E195" s="52">
        <v>120</v>
      </c>
      <c r="F195" s="52">
        <v>0</v>
      </c>
      <c r="G195" s="52">
        <v>0</v>
      </c>
      <c r="H195" s="52">
        <v>0</v>
      </c>
      <c r="I195" s="52">
        <v>0</v>
      </c>
      <c r="J195" s="52">
        <v>0</v>
      </c>
      <c r="K195" s="52">
        <v>0</v>
      </c>
      <c r="L195" s="52">
        <v>0</v>
      </c>
      <c r="M195" s="52">
        <v>0</v>
      </c>
      <c r="N195" s="52">
        <v>0</v>
      </c>
      <c r="O195" s="52">
        <v>0</v>
      </c>
      <c r="P195" s="52">
        <v>0</v>
      </c>
      <c r="Q195" s="53">
        <v>0.2</v>
      </c>
      <c r="R195" s="52">
        <v>2</v>
      </c>
      <c r="S195" s="53">
        <v>0.25</v>
      </c>
      <c r="T195" s="52">
        <v>1.1666666999999999</v>
      </c>
      <c r="U195" s="54">
        <v>0</v>
      </c>
    </row>
    <row r="196" spans="1:21" s="3" customFormat="1" ht="18" customHeight="1">
      <c r="A196" s="8" t="s">
        <v>284</v>
      </c>
      <c r="B196" s="52">
        <v>115</v>
      </c>
      <c r="C196" s="52">
        <v>13.799999</v>
      </c>
      <c r="D196" s="52">
        <v>34.5</v>
      </c>
      <c r="E196" s="52">
        <v>66.699996999999996</v>
      </c>
      <c r="F196" s="52">
        <v>0</v>
      </c>
      <c r="G196" s="52">
        <v>0</v>
      </c>
      <c r="H196" s="52">
        <v>0</v>
      </c>
      <c r="I196" s="52">
        <v>0</v>
      </c>
      <c r="J196" s="52">
        <v>0</v>
      </c>
      <c r="K196" s="52">
        <v>0</v>
      </c>
      <c r="L196" s="52">
        <v>0</v>
      </c>
      <c r="M196" s="52">
        <v>0</v>
      </c>
      <c r="N196" s="52">
        <v>0</v>
      </c>
      <c r="O196" s="52">
        <v>0</v>
      </c>
      <c r="P196" s="52">
        <v>0</v>
      </c>
      <c r="Q196" s="53">
        <v>0.28000000000000003</v>
      </c>
      <c r="R196" s="52">
        <v>2.5999998999999998</v>
      </c>
      <c r="S196" s="53">
        <v>0.13999998999999999</v>
      </c>
      <c r="T196" s="52">
        <v>1.2500001000000001</v>
      </c>
      <c r="U196" s="54">
        <v>0</v>
      </c>
    </row>
    <row r="197" spans="1:21" s="3" customFormat="1" ht="18" customHeight="1">
      <c r="A197" s="8" t="s">
        <v>285</v>
      </c>
      <c r="B197" s="52">
        <v>180</v>
      </c>
      <c r="C197" s="52">
        <v>21.6</v>
      </c>
      <c r="D197" s="52">
        <v>54.000003999999997</v>
      </c>
      <c r="E197" s="52">
        <v>104.39999</v>
      </c>
      <c r="F197" s="52">
        <v>0</v>
      </c>
      <c r="G197" s="52">
        <v>0</v>
      </c>
      <c r="H197" s="52">
        <v>0</v>
      </c>
      <c r="I197" s="52">
        <v>0</v>
      </c>
      <c r="J197" s="52">
        <v>0</v>
      </c>
      <c r="K197" s="52">
        <v>0</v>
      </c>
      <c r="L197" s="52">
        <v>0</v>
      </c>
      <c r="M197" s="52">
        <v>0</v>
      </c>
      <c r="N197" s="52">
        <v>0</v>
      </c>
      <c r="O197" s="52">
        <v>0</v>
      </c>
      <c r="P197" s="52">
        <v>0</v>
      </c>
      <c r="Q197" s="53">
        <v>0.31999999000000001</v>
      </c>
      <c r="R197" s="52">
        <v>2.5999998999999998</v>
      </c>
      <c r="S197" s="53">
        <v>0.24000001000000001</v>
      </c>
      <c r="T197" s="52">
        <v>1.2500001000000001</v>
      </c>
      <c r="U197" s="54">
        <v>0</v>
      </c>
    </row>
    <row r="198" spans="1:21" s="3" customFormat="1" ht="18" customHeight="1">
      <c r="A198" s="8" t="s">
        <v>286</v>
      </c>
      <c r="B198" s="52">
        <v>110</v>
      </c>
      <c r="C198" s="52">
        <v>11</v>
      </c>
      <c r="D198" s="52">
        <v>33</v>
      </c>
      <c r="E198" s="52">
        <v>66</v>
      </c>
      <c r="F198" s="52">
        <v>0</v>
      </c>
      <c r="G198" s="52">
        <v>0</v>
      </c>
      <c r="H198" s="52">
        <v>0</v>
      </c>
      <c r="I198" s="52">
        <v>0</v>
      </c>
      <c r="J198" s="52">
        <v>0</v>
      </c>
      <c r="K198" s="52">
        <v>0</v>
      </c>
      <c r="L198" s="52">
        <v>0</v>
      </c>
      <c r="M198" s="52">
        <v>0</v>
      </c>
      <c r="N198" s="52">
        <v>0</v>
      </c>
      <c r="O198" s="52">
        <v>0</v>
      </c>
      <c r="P198" s="52">
        <v>0</v>
      </c>
      <c r="Q198" s="53">
        <v>0.25</v>
      </c>
      <c r="R198" s="52">
        <v>3</v>
      </c>
      <c r="S198" s="53">
        <v>0.10000002</v>
      </c>
      <c r="T198" s="52">
        <v>0.91666669000000001</v>
      </c>
      <c r="U198" s="54">
        <v>0</v>
      </c>
    </row>
    <row r="199" spans="1:21" s="3" customFormat="1" ht="18" customHeight="1">
      <c r="A199" s="8" t="s">
        <v>287</v>
      </c>
      <c r="B199" s="52">
        <v>120</v>
      </c>
      <c r="C199" s="52">
        <v>18</v>
      </c>
      <c r="D199" s="52">
        <v>18</v>
      </c>
      <c r="E199" s="52">
        <v>84</v>
      </c>
      <c r="F199" s="52">
        <v>0</v>
      </c>
      <c r="G199" s="52">
        <v>0</v>
      </c>
      <c r="H199" s="52">
        <v>0</v>
      </c>
      <c r="I199" s="52">
        <v>0</v>
      </c>
      <c r="J199" s="52">
        <v>0</v>
      </c>
      <c r="K199" s="52">
        <v>0</v>
      </c>
      <c r="L199" s="52">
        <v>0</v>
      </c>
      <c r="M199" s="52">
        <v>0</v>
      </c>
      <c r="N199" s="52">
        <v>0</v>
      </c>
      <c r="O199" s="52">
        <v>0</v>
      </c>
      <c r="P199" s="52">
        <v>0</v>
      </c>
      <c r="Q199" s="53">
        <v>5.0000001000000002E-2</v>
      </c>
      <c r="R199" s="52">
        <v>1.5</v>
      </c>
      <c r="S199" s="53">
        <v>0.15999996999999999</v>
      </c>
      <c r="T199" s="52">
        <v>0.83333336999999996</v>
      </c>
      <c r="U199" s="54">
        <v>0</v>
      </c>
    </row>
    <row r="200" spans="1:21" s="3" customFormat="1" ht="18" customHeight="1">
      <c r="A200" s="8" t="s">
        <v>288</v>
      </c>
      <c r="B200" s="52">
        <v>75</v>
      </c>
      <c r="C200" s="52">
        <v>7.5</v>
      </c>
      <c r="D200" s="52">
        <v>60</v>
      </c>
      <c r="E200" s="52">
        <v>7.4999970999999999</v>
      </c>
      <c r="F200" s="52">
        <v>0</v>
      </c>
      <c r="G200" s="52">
        <v>0</v>
      </c>
      <c r="H200" s="52">
        <v>0</v>
      </c>
      <c r="I200" s="52">
        <v>0</v>
      </c>
      <c r="J200" s="52">
        <v>0</v>
      </c>
      <c r="K200" s="52">
        <v>0</v>
      </c>
      <c r="L200" s="52">
        <v>0</v>
      </c>
      <c r="M200" s="52">
        <v>0</v>
      </c>
      <c r="N200" s="52">
        <v>0</v>
      </c>
      <c r="O200" s="52">
        <v>0</v>
      </c>
      <c r="P200" s="52">
        <v>0</v>
      </c>
      <c r="Q200" s="53">
        <v>5.0000001000000002E-2</v>
      </c>
      <c r="R200" s="52">
        <v>2</v>
      </c>
      <c r="S200" s="53">
        <v>0.37</v>
      </c>
      <c r="T200" s="52">
        <v>1</v>
      </c>
      <c r="U200" s="54">
        <v>1</v>
      </c>
    </row>
    <row r="201" spans="1:21" s="3" customFormat="1" ht="18" customHeight="1">
      <c r="A201" s="8" t="s">
        <v>289</v>
      </c>
      <c r="B201" s="52">
        <v>70</v>
      </c>
      <c r="C201" s="52">
        <v>3.5</v>
      </c>
      <c r="D201" s="52">
        <v>3.5</v>
      </c>
      <c r="E201" s="52">
        <v>63</v>
      </c>
      <c r="F201" s="52">
        <v>0</v>
      </c>
      <c r="G201" s="52">
        <v>0</v>
      </c>
      <c r="H201" s="52">
        <v>0</v>
      </c>
      <c r="I201" s="52">
        <v>0</v>
      </c>
      <c r="J201" s="52">
        <v>0</v>
      </c>
      <c r="K201" s="52">
        <v>0</v>
      </c>
      <c r="L201" s="52">
        <v>0</v>
      </c>
      <c r="M201" s="52">
        <v>0</v>
      </c>
      <c r="N201" s="52">
        <v>0</v>
      </c>
      <c r="O201" s="52">
        <v>0</v>
      </c>
      <c r="P201" s="52">
        <v>0</v>
      </c>
      <c r="Q201" s="53">
        <v>0.25</v>
      </c>
      <c r="R201" s="52">
        <v>3</v>
      </c>
      <c r="S201" s="53">
        <v>5.0000012000000003E-2</v>
      </c>
      <c r="T201" s="52">
        <v>1.1666666999999999</v>
      </c>
      <c r="U201" s="54">
        <v>0</v>
      </c>
    </row>
    <row r="202" spans="1:21" s="3" customFormat="1" ht="18" customHeight="1">
      <c r="A202" s="8" t="s">
        <v>290</v>
      </c>
      <c r="B202" s="52">
        <v>220</v>
      </c>
      <c r="C202" s="52">
        <v>44</v>
      </c>
      <c r="D202" s="52">
        <v>66</v>
      </c>
      <c r="E202" s="52">
        <v>110</v>
      </c>
      <c r="F202" s="52">
        <v>0</v>
      </c>
      <c r="G202" s="52">
        <v>0</v>
      </c>
      <c r="H202" s="52">
        <v>0</v>
      </c>
      <c r="I202" s="52">
        <v>0</v>
      </c>
      <c r="J202" s="52">
        <v>0</v>
      </c>
      <c r="K202" s="52">
        <v>0</v>
      </c>
      <c r="L202" s="52">
        <v>0</v>
      </c>
      <c r="M202" s="52">
        <v>0</v>
      </c>
      <c r="N202" s="52">
        <v>0</v>
      </c>
      <c r="O202" s="52">
        <v>0</v>
      </c>
      <c r="P202" s="52">
        <v>0</v>
      </c>
      <c r="Q202" s="53">
        <v>0.34</v>
      </c>
      <c r="R202" s="52">
        <v>2.5999998999999998</v>
      </c>
      <c r="S202" s="53">
        <v>0.19999998999999999</v>
      </c>
      <c r="T202" s="52">
        <v>1</v>
      </c>
      <c r="U202" s="54">
        <v>0</v>
      </c>
    </row>
    <row r="203" spans="1:21" s="3" customFormat="1" ht="18" customHeight="1">
      <c r="A203" s="8" t="s">
        <v>291</v>
      </c>
      <c r="B203" s="52">
        <v>340</v>
      </c>
      <c r="C203" s="52">
        <v>340</v>
      </c>
      <c r="D203" s="52">
        <v>0</v>
      </c>
      <c r="E203" s="52">
        <v>0</v>
      </c>
      <c r="F203" s="52">
        <v>0</v>
      </c>
      <c r="G203" s="52">
        <v>0</v>
      </c>
      <c r="H203" s="52">
        <v>0</v>
      </c>
      <c r="I203" s="52">
        <v>0</v>
      </c>
      <c r="J203" s="52">
        <v>0</v>
      </c>
      <c r="K203" s="52">
        <v>0</v>
      </c>
      <c r="L203" s="52">
        <v>0</v>
      </c>
      <c r="M203" s="52">
        <v>0</v>
      </c>
      <c r="N203" s="52">
        <v>0</v>
      </c>
      <c r="O203" s="52">
        <v>0</v>
      </c>
      <c r="P203" s="52">
        <v>0</v>
      </c>
      <c r="Q203" s="53">
        <v>0.30000000999999998</v>
      </c>
      <c r="R203" s="52">
        <v>2.4000001000000002</v>
      </c>
      <c r="S203" s="53">
        <v>0.14999998</v>
      </c>
      <c r="T203" s="52">
        <v>0.76666670999999997</v>
      </c>
      <c r="U203" s="54">
        <v>0</v>
      </c>
    </row>
    <row r="204" spans="1:21" s="3" customFormat="1" ht="18" customHeight="1">
      <c r="A204" s="8" t="s">
        <v>292</v>
      </c>
      <c r="B204" s="52">
        <v>0</v>
      </c>
      <c r="C204" s="52">
        <v>0</v>
      </c>
      <c r="D204" s="52">
        <v>0</v>
      </c>
      <c r="E204" s="52">
        <v>0</v>
      </c>
      <c r="F204" s="52">
        <v>0</v>
      </c>
      <c r="G204" s="52">
        <v>0</v>
      </c>
      <c r="H204" s="52">
        <v>0</v>
      </c>
      <c r="I204" s="52">
        <v>0</v>
      </c>
      <c r="J204" s="52">
        <v>0</v>
      </c>
      <c r="K204" s="52">
        <v>0</v>
      </c>
      <c r="L204" s="52">
        <v>0</v>
      </c>
      <c r="M204" s="52">
        <v>0</v>
      </c>
      <c r="N204" s="52">
        <v>0</v>
      </c>
      <c r="O204" s="52">
        <v>0</v>
      </c>
      <c r="P204" s="52">
        <v>0</v>
      </c>
      <c r="Q204" s="53">
        <v>0</v>
      </c>
      <c r="R204" s="52">
        <v>0</v>
      </c>
      <c r="S204" s="53">
        <v>0</v>
      </c>
      <c r="T204" s="52">
        <v>0</v>
      </c>
      <c r="U204" s="54">
        <v>0</v>
      </c>
    </row>
    <row r="205" spans="1:21" s="3" customFormat="1" ht="18" customHeight="1">
      <c r="A205" s="8" t="s">
        <v>293</v>
      </c>
      <c r="B205" s="52">
        <v>0</v>
      </c>
      <c r="C205" s="52">
        <v>0</v>
      </c>
      <c r="D205" s="52">
        <v>0</v>
      </c>
      <c r="E205" s="52">
        <v>0</v>
      </c>
      <c r="F205" s="52">
        <v>0</v>
      </c>
      <c r="G205" s="52">
        <v>0</v>
      </c>
      <c r="H205" s="52">
        <v>0</v>
      </c>
      <c r="I205" s="52">
        <v>0</v>
      </c>
      <c r="J205" s="52">
        <v>0</v>
      </c>
      <c r="K205" s="52">
        <v>0</v>
      </c>
      <c r="L205" s="52">
        <v>0</v>
      </c>
      <c r="M205" s="52">
        <v>0</v>
      </c>
      <c r="N205" s="52">
        <v>0</v>
      </c>
      <c r="O205" s="52">
        <v>0</v>
      </c>
      <c r="P205" s="52">
        <v>0</v>
      </c>
      <c r="Q205" s="53">
        <v>0</v>
      </c>
      <c r="R205" s="52">
        <v>0</v>
      </c>
      <c r="S205" s="53">
        <v>0</v>
      </c>
      <c r="T205" s="52">
        <v>0</v>
      </c>
      <c r="U205" s="54">
        <v>0</v>
      </c>
    </row>
    <row r="206" spans="1:21" s="3" customFormat="1" ht="18" customHeight="1">
      <c r="A206" s="8" t="s">
        <v>294</v>
      </c>
      <c r="B206" s="52">
        <v>0</v>
      </c>
      <c r="C206" s="52">
        <v>0</v>
      </c>
      <c r="D206" s="52">
        <v>0</v>
      </c>
      <c r="E206" s="52">
        <v>0</v>
      </c>
      <c r="F206" s="52">
        <v>0</v>
      </c>
      <c r="G206" s="52">
        <v>0</v>
      </c>
      <c r="H206" s="52">
        <v>0</v>
      </c>
      <c r="I206" s="52">
        <v>0</v>
      </c>
      <c r="J206" s="52">
        <v>0</v>
      </c>
      <c r="K206" s="52">
        <v>0</v>
      </c>
      <c r="L206" s="52">
        <v>0</v>
      </c>
      <c r="M206" s="52">
        <v>0</v>
      </c>
      <c r="N206" s="52">
        <v>0</v>
      </c>
      <c r="O206" s="52">
        <v>0</v>
      </c>
      <c r="P206" s="52">
        <v>0</v>
      </c>
      <c r="Q206" s="53">
        <v>0</v>
      </c>
      <c r="R206" s="52">
        <v>0</v>
      </c>
      <c r="S206" s="53">
        <v>0</v>
      </c>
      <c r="T206" s="52">
        <v>0</v>
      </c>
      <c r="U206" s="54">
        <v>0</v>
      </c>
    </row>
    <row r="207" spans="1:21" s="3" customFormat="1" ht="18" customHeight="1">
      <c r="A207" s="8" t="s">
        <v>295</v>
      </c>
      <c r="B207" s="52">
        <v>0</v>
      </c>
      <c r="C207" s="52">
        <v>0</v>
      </c>
      <c r="D207" s="52">
        <v>0</v>
      </c>
      <c r="E207" s="52">
        <v>0</v>
      </c>
      <c r="F207" s="52">
        <v>0</v>
      </c>
      <c r="G207" s="52">
        <v>0</v>
      </c>
      <c r="H207" s="52">
        <v>0</v>
      </c>
      <c r="I207" s="52">
        <v>0</v>
      </c>
      <c r="J207" s="52">
        <v>0</v>
      </c>
      <c r="K207" s="52">
        <v>0</v>
      </c>
      <c r="L207" s="52">
        <v>0</v>
      </c>
      <c r="M207" s="52">
        <v>0</v>
      </c>
      <c r="N207" s="52">
        <v>0</v>
      </c>
      <c r="O207" s="52">
        <v>0</v>
      </c>
      <c r="P207" s="52">
        <v>0</v>
      </c>
      <c r="Q207" s="53">
        <v>0</v>
      </c>
      <c r="R207" s="52">
        <v>0</v>
      </c>
      <c r="S207" s="53">
        <v>0</v>
      </c>
      <c r="T207" s="52">
        <v>0</v>
      </c>
      <c r="U207" s="54">
        <v>0</v>
      </c>
    </row>
    <row r="208" spans="1:21" s="3" customFormat="1" ht="18" customHeight="1">
      <c r="A208" s="8" t="s">
        <v>296</v>
      </c>
      <c r="B208" s="52">
        <v>0</v>
      </c>
      <c r="C208" s="52">
        <v>0</v>
      </c>
      <c r="D208" s="52">
        <v>0</v>
      </c>
      <c r="E208" s="52">
        <v>0</v>
      </c>
      <c r="F208" s="52">
        <v>0</v>
      </c>
      <c r="G208" s="52">
        <v>0</v>
      </c>
      <c r="H208" s="52">
        <v>0</v>
      </c>
      <c r="I208" s="52">
        <v>0</v>
      </c>
      <c r="J208" s="52">
        <v>0</v>
      </c>
      <c r="K208" s="52">
        <v>0</v>
      </c>
      <c r="L208" s="52">
        <v>0</v>
      </c>
      <c r="M208" s="52">
        <v>0</v>
      </c>
      <c r="N208" s="52">
        <v>0</v>
      </c>
      <c r="O208" s="52">
        <v>0</v>
      </c>
      <c r="P208" s="52">
        <v>0</v>
      </c>
      <c r="Q208" s="53">
        <v>0</v>
      </c>
      <c r="R208" s="52">
        <v>0</v>
      </c>
      <c r="S208" s="53">
        <v>0</v>
      </c>
      <c r="T208" s="52">
        <v>0</v>
      </c>
      <c r="U208" s="54">
        <v>0</v>
      </c>
    </row>
    <row r="209" spans="1:21" s="3" customFormat="1" ht="18" customHeight="1">
      <c r="A209" s="8" t="s">
        <v>297</v>
      </c>
      <c r="B209" s="52">
        <v>0</v>
      </c>
      <c r="C209" s="52">
        <v>0</v>
      </c>
      <c r="D209" s="52">
        <v>0</v>
      </c>
      <c r="E209" s="52">
        <v>0</v>
      </c>
      <c r="F209" s="52">
        <v>0</v>
      </c>
      <c r="G209" s="52">
        <v>0</v>
      </c>
      <c r="H209" s="52">
        <v>0</v>
      </c>
      <c r="I209" s="52">
        <v>0</v>
      </c>
      <c r="J209" s="52">
        <v>0</v>
      </c>
      <c r="K209" s="52">
        <v>0</v>
      </c>
      <c r="L209" s="52">
        <v>0</v>
      </c>
      <c r="M209" s="52">
        <v>0</v>
      </c>
      <c r="N209" s="52">
        <v>0</v>
      </c>
      <c r="O209" s="52">
        <v>0</v>
      </c>
      <c r="P209" s="52">
        <v>0</v>
      </c>
      <c r="Q209" s="53">
        <v>0</v>
      </c>
      <c r="R209" s="52">
        <v>0</v>
      </c>
      <c r="S209" s="53">
        <v>0</v>
      </c>
      <c r="T209" s="52">
        <v>0</v>
      </c>
      <c r="U209" s="54">
        <v>0</v>
      </c>
    </row>
    <row r="210" spans="1:21" s="3" customFormat="1" ht="18" customHeight="1">
      <c r="A210" s="8" t="s">
        <v>298</v>
      </c>
      <c r="B210" s="52">
        <v>0</v>
      </c>
      <c r="C210" s="52">
        <v>0</v>
      </c>
      <c r="D210" s="52">
        <v>0</v>
      </c>
      <c r="E210" s="52">
        <v>0</v>
      </c>
      <c r="F210" s="52">
        <v>0</v>
      </c>
      <c r="G210" s="52">
        <v>0</v>
      </c>
      <c r="H210" s="52">
        <v>0</v>
      </c>
      <c r="I210" s="52">
        <v>0</v>
      </c>
      <c r="J210" s="52">
        <v>0</v>
      </c>
      <c r="K210" s="52">
        <v>0</v>
      </c>
      <c r="L210" s="52">
        <v>0</v>
      </c>
      <c r="M210" s="52">
        <v>0</v>
      </c>
      <c r="N210" s="52">
        <v>0</v>
      </c>
      <c r="O210" s="52">
        <v>0</v>
      </c>
      <c r="P210" s="52">
        <v>0</v>
      </c>
      <c r="Q210" s="53">
        <v>0</v>
      </c>
      <c r="R210" s="52">
        <v>0</v>
      </c>
      <c r="S210" s="53">
        <v>0</v>
      </c>
      <c r="T210" s="52">
        <v>0</v>
      </c>
      <c r="U210" s="54">
        <v>0</v>
      </c>
    </row>
    <row r="211" spans="1:21" s="3" customFormat="1" ht="18" customHeight="1">
      <c r="A211" s="8" t="s">
        <v>299</v>
      </c>
      <c r="B211" s="52">
        <v>0</v>
      </c>
      <c r="C211" s="52">
        <v>0</v>
      </c>
      <c r="D211" s="52">
        <v>0</v>
      </c>
      <c r="E211" s="52">
        <v>0</v>
      </c>
      <c r="F211" s="52">
        <v>0</v>
      </c>
      <c r="G211" s="52">
        <v>0</v>
      </c>
      <c r="H211" s="52">
        <v>0</v>
      </c>
      <c r="I211" s="52">
        <v>0</v>
      </c>
      <c r="J211" s="52">
        <v>0</v>
      </c>
      <c r="K211" s="52">
        <v>0</v>
      </c>
      <c r="L211" s="52">
        <v>0</v>
      </c>
      <c r="M211" s="52">
        <v>0</v>
      </c>
      <c r="N211" s="52">
        <v>0</v>
      </c>
      <c r="O211" s="52">
        <v>0</v>
      </c>
      <c r="P211" s="52">
        <v>0</v>
      </c>
      <c r="Q211" s="53">
        <v>0</v>
      </c>
      <c r="R211" s="52">
        <v>0</v>
      </c>
      <c r="S211" s="53">
        <v>0</v>
      </c>
      <c r="T211" s="52">
        <v>0</v>
      </c>
      <c r="U211" s="54">
        <v>0</v>
      </c>
    </row>
    <row r="212" spans="1:21" s="3" customFormat="1" ht="18" customHeight="1">
      <c r="A212" s="8" t="s">
        <v>300</v>
      </c>
      <c r="B212" s="52">
        <v>35</v>
      </c>
      <c r="C212" s="52">
        <v>0</v>
      </c>
      <c r="D212" s="52">
        <v>0</v>
      </c>
      <c r="E212" s="52">
        <v>0</v>
      </c>
      <c r="F212" s="52">
        <v>0</v>
      </c>
      <c r="G212" s="52">
        <v>0</v>
      </c>
      <c r="H212" s="52">
        <v>0</v>
      </c>
      <c r="I212" s="52">
        <v>35</v>
      </c>
      <c r="J212" s="52">
        <v>0</v>
      </c>
      <c r="K212" s="52">
        <v>0</v>
      </c>
      <c r="L212" s="52">
        <v>0</v>
      </c>
      <c r="M212" s="52">
        <v>0</v>
      </c>
      <c r="N212" s="52">
        <v>0</v>
      </c>
      <c r="O212" s="52">
        <v>0</v>
      </c>
      <c r="P212" s="52">
        <v>0</v>
      </c>
      <c r="Q212" s="53">
        <v>2.9999998999999999E-2</v>
      </c>
      <c r="R212" s="52">
        <v>1.5</v>
      </c>
      <c r="S212" s="53">
        <v>0.40999996999999999</v>
      </c>
      <c r="T212" s="52">
        <v>8</v>
      </c>
      <c r="U212" s="54">
        <v>1</v>
      </c>
    </row>
    <row r="213" spans="1:21" s="3" customFormat="1" ht="18" customHeight="1">
      <c r="A213" s="8" t="s">
        <v>301</v>
      </c>
      <c r="B213" s="52">
        <v>200</v>
      </c>
      <c r="C213" s="52">
        <v>10</v>
      </c>
      <c r="D213" s="52">
        <v>140</v>
      </c>
      <c r="E213" s="52">
        <v>50</v>
      </c>
      <c r="F213" s="52">
        <v>0</v>
      </c>
      <c r="G213" s="52">
        <v>0</v>
      </c>
      <c r="H213" s="52">
        <v>0</v>
      </c>
      <c r="I213" s="52">
        <v>0</v>
      </c>
      <c r="J213" s="52">
        <v>0</v>
      </c>
      <c r="K213" s="52">
        <v>0</v>
      </c>
      <c r="L213" s="52">
        <v>0</v>
      </c>
      <c r="M213" s="52">
        <v>0</v>
      </c>
      <c r="N213" s="52">
        <v>0</v>
      </c>
      <c r="O213" s="52">
        <v>0</v>
      </c>
      <c r="P213" s="52">
        <v>0</v>
      </c>
      <c r="Q213" s="53">
        <v>0.1</v>
      </c>
      <c r="R213" s="52">
        <v>2</v>
      </c>
      <c r="S213" s="53">
        <v>0.36000000999999998</v>
      </c>
      <c r="T213" s="52">
        <v>0.91666669000000001</v>
      </c>
      <c r="U213" s="54">
        <v>0</v>
      </c>
    </row>
    <row r="214" spans="1:21" s="3" customFormat="1" ht="18" customHeight="1">
      <c r="A214" s="8" t="s">
        <v>302</v>
      </c>
      <c r="B214" s="52">
        <v>300</v>
      </c>
      <c r="C214" s="52">
        <v>120</v>
      </c>
      <c r="D214" s="52">
        <v>45</v>
      </c>
      <c r="E214" s="52">
        <v>135</v>
      </c>
      <c r="F214" s="52">
        <v>0</v>
      </c>
      <c r="G214" s="52">
        <v>0</v>
      </c>
      <c r="H214" s="52">
        <v>0</v>
      </c>
      <c r="I214" s="52">
        <v>0</v>
      </c>
      <c r="J214" s="52">
        <v>0</v>
      </c>
      <c r="K214" s="52">
        <v>0</v>
      </c>
      <c r="L214" s="52">
        <v>0</v>
      </c>
      <c r="M214" s="52">
        <v>0</v>
      </c>
      <c r="N214" s="52">
        <v>0</v>
      </c>
      <c r="O214" s="52">
        <v>0</v>
      </c>
      <c r="P214" s="52">
        <v>0</v>
      </c>
      <c r="Q214" s="53">
        <v>0.02</v>
      </c>
      <c r="R214" s="52">
        <v>1.2</v>
      </c>
      <c r="S214" s="53">
        <v>4.0000020999999997E-2</v>
      </c>
      <c r="T214" s="52">
        <v>1.5000001000000001</v>
      </c>
      <c r="U214" s="54">
        <v>1</v>
      </c>
    </row>
    <row r="215" spans="1:21" s="3" customFormat="1" ht="18" customHeight="1">
      <c r="A215" s="8" t="s">
        <v>303</v>
      </c>
      <c r="B215" s="52">
        <v>315</v>
      </c>
      <c r="C215" s="52">
        <v>126</v>
      </c>
      <c r="D215" s="52">
        <v>47.25</v>
      </c>
      <c r="E215" s="52">
        <v>141.75</v>
      </c>
      <c r="F215" s="52">
        <v>0</v>
      </c>
      <c r="G215" s="52">
        <v>0</v>
      </c>
      <c r="H215" s="52">
        <v>0</v>
      </c>
      <c r="I215" s="52">
        <v>0</v>
      </c>
      <c r="J215" s="52">
        <v>0</v>
      </c>
      <c r="K215" s="52">
        <v>0</v>
      </c>
      <c r="L215" s="52">
        <v>0</v>
      </c>
      <c r="M215" s="52">
        <v>0</v>
      </c>
      <c r="N215" s="52">
        <v>0</v>
      </c>
      <c r="O215" s="52">
        <v>0</v>
      </c>
      <c r="P215" s="52">
        <v>0</v>
      </c>
      <c r="Q215" s="53">
        <v>3.9999999000000001E-2</v>
      </c>
      <c r="R215" s="52">
        <v>1.8</v>
      </c>
      <c r="S215" s="53">
        <v>0.13999998999999999</v>
      </c>
      <c r="T215" s="52">
        <v>1.7500001000000001</v>
      </c>
      <c r="U215" s="54">
        <v>1</v>
      </c>
    </row>
    <row r="216" spans="1:21" s="3" customFormat="1" ht="18" customHeight="1">
      <c r="A216" s="8" t="s">
        <v>304</v>
      </c>
      <c r="B216" s="52">
        <v>224</v>
      </c>
      <c r="C216" s="52">
        <v>33.600002000000003</v>
      </c>
      <c r="D216" s="52">
        <v>33.600002000000003</v>
      </c>
      <c r="E216" s="52">
        <v>156.80000000000001</v>
      </c>
      <c r="F216" s="52">
        <v>0</v>
      </c>
      <c r="G216" s="52">
        <v>0</v>
      </c>
      <c r="H216" s="52">
        <v>0</v>
      </c>
      <c r="I216" s="52">
        <v>0</v>
      </c>
      <c r="J216" s="52">
        <v>0</v>
      </c>
      <c r="K216" s="52">
        <v>0</v>
      </c>
      <c r="L216" s="52">
        <v>0</v>
      </c>
      <c r="M216" s="52">
        <v>0</v>
      </c>
      <c r="N216" s="52">
        <v>0</v>
      </c>
      <c r="O216" s="52">
        <v>0</v>
      </c>
      <c r="P216" s="52">
        <v>0</v>
      </c>
      <c r="Q216" s="53">
        <v>0.1</v>
      </c>
      <c r="R216" s="52">
        <v>1.8</v>
      </c>
      <c r="S216" s="53">
        <v>0.30000000999999998</v>
      </c>
      <c r="T216" s="52">
        <v>0.83333336999999996</v>
      </c>
      <c r="U216" s="54">
        <v>0</v>
      </c>
    </row>
    <row r="217" spans="1:21" s="3" customFormat="1" ht="18" customHeight="1">
      <c r="A217" s="8" t="s">
        <v>305</v>
      </c>
      <c r="B217" s="52">
        <v>180</v>
      </c>
      <c r="C217" s="52">
        <v>27.000001999999999</v>
      </c>
      <c r="D217" s="52">
        <v>27.000001999999999</v>
      </c>
      <c r="E217" s="52">
        <v>126</v>
      </c>
      <c r="F217" s="52">
        <v>0</v>
      </c>
      <c r="G217" s="52">
        <v>0</v>
      </c>
      <c r="H217" s="52">
        <v>0</v>
      </c>
      <c r="I217" s="52">
        <v>0</v>
      </c>
      <c r="J217" s="52">
        <v>0</v>
      </c>
      <c r="K217" s="52">
        <v>0</v>
      </c>
      <c r="L217" s="52">
        <v>0</v>
      </c>
      <c r="M217" s="52">
        <v>0</v>
      </c>
      <c r="N217" s="52">
        <v>0</v>
      </c>
      <c r="O217" s="52">
        <v>0</v>
      </c>
      <c r="P217" s="52">
        <v>0</v>
      </c>
      <c r="Q217" s="53">
        <v>0.2</v>
      </c>
      <c r="R217" s="52">
        <v>2</v>
      </c>
      <c r="S217" s="53">
        <v>0.19999998999999999</v>
      </c>
      <c r="T217" s="52">
        <v>1.0833333999999999</v>
      </c>
      <c r="U217" s="54">
        <v>0</v>
      </c>
    </row>
    <row r="218" spans="1:21" s="3" customFormat="1" ht="18" customHeight="1">
      <c r="A218" s="8" t="s">
        <v>306</v>
      </c>
      <c r="B218" s="52">
        <v>192</v>
      </c>
      <c r="C218" s="52">
        <v>28.800001000000002</v>
      </c>
      <c r="D218" s="52">
        <v>28.800001000000002</v>
      </c>
      <c r="E218" s="52">
        <v>134.39999</v>
      </c>
      <c r="F218" s="52">
        <v>0</v>
      </c>
      <c r="G218" s="52">
        <v>0</v>
      </c>
      <c r="H218" s="52">
        <v>0</v>
      </c>
      <c r="I218" s="52">
        <v>0</v>
      </c>
      <c r="J218" s="52">
        <v>0</v>
      </c>
      <c r="K218" s="52">
        <v>0</v>
      </c>
      <c r="L218" s="52">
        <v>0</v>
      </c>
      <c r="M218" s="52">
        <v>0</v>
      </c>
      <c r="N218" s="52">
        <v>0</v>
      </c>
      <c r="O218" s="52">
        <v>0</v>
      </c>
      <c r="P218" s="52">
        <v>0</v>
      </c>
      <c r="Q218" s="53">
        <v>0.1</v>
      </c>
      <c r="R218" s="52">
        <v>1.5</v>
      </c>
      <c r="S218" s="53">
        <v>0.34000003000000001</v>
      </c>
      <c r="T218" s="52">
        <v>1</v>
      </c>
      <c r="U218" s="54">
        <v>0</v>
      </c>
    </row>
    <row r="219" spans="1:21" s="3" customFormat="1" ht="18" customHeight="1">
      <c r="A219" s="8" t="s">
        <v>307</v>
      </c>
      <c r="B219" s="52">
        <v>325</v>
      </c>
      <c r="C219" s="52">
        <v>292.5</v>
      </c>
      <c r="D219" s="52">
        <v>16.25</v>
      </c>
      <c r="E219" s="52">
        <v>16.250004000000001</v>
      </c>
      <c r="F219" s="52">
        <v>0</v>
      </c>
      <c r="G219" s="52">
        <v>0</v>
      </c>
      <c r="H219" s="52">
        <v>0</v>
      </c>
      <c r="I219" s="52">
        <v>0</v>
      </c>
      <c r="J219" s="52">
        <v>0</v>
      </c>
      <c r="K219" s="52">
        <v>0</v>
      </c>
      <c r="L219" s="52">
        <v>0</v>
      </c>
      <c r="M219" s="52">
        <v>0</v>
      </c>
      <c r="N219" s="52">
        <v>0</v>
      </c>
      <c r="O219" s="52">
        <v>0</v>
      </c>
      <c r="P219" s="52">
        <v>0</v>
      </c>
      <c r="Q219" s="53">
        <v>0.30000000999999998</v>
      </c>
      <c r="R219" s="52">
        <v>2.5</v>
      </c>
      <c r="S219" s="53">
        <v>1.9999981E-2</v>
      </c>
      <c r="T219" s="52">
        <v>1.5000001000000001</v>
      </c>
      <c r="U219" s="54">
        <v>1</v>
      </c>
    </row>
    <row r="220" spans="1:21" s="3" customFormat="1" ht="18" customHeight="1">
      <c r="A220" s="8" t="s">
        <v>308</v>
      </c>
      <c r="B220" s="52">
        <v>650</v>
      </c>
      <c r="C220" s="52">
        <v>0</v>
      </c>
      <c r="D220" s="52">
        <v>195</v>
      </c>
      <c r="E220" s="52">
        <v>455</v>
      </c>
      <c r="F220" s="52">
        <v>0</v>
      </c>
      <c r="G220" s="52">
        <v>0</v>
      </c>
      <c r="H220" s="52">
        <v>0</v>
      </c>
      <c r="I220" s="52">
        <v>0</v>
      </c>
      <c r="J220" s="52">
        <v>0</v>
      </c>
      <c r="K220" s="52">
        <v>0</v>
      </c>
      <c r="L220" s="52">
        <v>0</v>
      </c>
      <c r="M220" s="52">
        <v>0</v>
      </c>
      <c r="N220" s="52">
        <v>0</v>
      </c>
      <c r="O220" s="52">
        <v>0</v>
      </c>
      <c r="P220" s="52">
        <v>0</v>
      </c>
      <c r="Q220" s="53">
        <v>0.25</v>
      </c>
      <c r="R220" s="52">
        <v>2.2000000000000002</v>
      </c>
      <c r="S220" s="53">
        <v>0.38</v>
      </c>
      <c r="T220" s="52">
        <v>1</v>
      </c>
      <c r="U220" s="54">
        <v>1</v>
      </c>
    </row>
    <row r="221" spans="1:21" s="3" customFormat="1" ht="18" customHeight="1">
      <c r="A221" s="8" t="s">
        <v>309</v>
      </c>
      <c r="B221" s="52">
        <v>35</v>
      </c>
      <c r="C221" s="52">
        <v>5.25</v>
      </c>
      <c r="D221" s="52">
        <v>5.25</v>
      </c>
      <c r="E221" s="52">
        <v>24.5</v>
      </c>
      <c r="F221" s="52">
        <v>0</v>
      </c>
      <c r="G221" s="52">
        <v>0</v>
      </c>
      <c r="H221" s="52">
        <v>0</v>
      </c>
      <c r="I221" s="52">
        <v>0</v>
      </c>
      <c r="J221" s="52">
        <v>0</v>
      </c>
      <c r="K221" s="52">
        <v>0</v>
      </c>
      <c r="L221" s="52">
        <v>0</v>
      </c>
      <c r="M221" s="52">
        <v>0</v>
      </c>
      <c r="N221" s="52">
        <v>0</v>
      </c>
      <c r="O221" s="52">
        <v>0</v>
      </c>
      <c r="P221" s="52">
        <v>0</v>
      </c>
      <c r="Q221" s="53">
        <v>0.15000000999999999</v>
      </c>
      <c r="R221" s="52">
        <v>2</v>
      </c>
      <c r="S221" s="53">
        <v>0.14999998</v>
      </c>
      <c r="T221" s="52">
        <v>0.83333336999999996</v>
      </c>
      <c r="U221" s="54">
        <v>0</v>
      </c>
    </row>
    <row r="222" spans="1:21" s="3" customFormat="1" ht="18" customHeight="1">
      <c r="A222" s="8" t="s">
        <v>310</v>
      </c>
      <c r="B222" s="52">
        <v>35</v>
      </c>
      <c r="C222" s="52">
        <v>5.25</v>
      </c>
      <c r="D222" s="52">
        <v>5.25</v>
      </c>
      <c r="E222" s="52">
        <v>24.5</v>
      </c>
      <c r="F222" s="52">
        <v>0</v>
      </c>
      <c r="G222" s="52">
        <v>0</v>
      </c>
      <c r="H222" s="52">
        <v>0</v>
      </c>
      <c r="I222" s="52">
        <v>0</v>
      </c>
      <c r="J222" s="52">
        <v>0</v>
      </c>
      <c r="K222" s="52">
        <v>0</v>
      </c>
      <c r="L222" s="52">
        <v>0</v>
      </c>
      <c r="M222" s="52">
        <v>0</v>
      </c>
      <c r="N222" s="52">
        <v>0</v>
      </c>
      <c r="O222" s="52">
        <v>0</v>
      </c>
      <c r="P222" s="52">
        <v>0</v>
      </c>
      <c r="Q222" s="53">
        <v>0.15000000999999999</v>
      </c>
      <c r="R222" s="52">
        <v>2</v>
      </c>
      <c r="S222" s="53">
        <v>0.14999998</v>
      </c>
      <c r="T222" s="52">
        <v>0.83333336999999996</v>
      </c>
      <c r="U222" s="54">
        <v>0</v>
      </c>
    </row>
    <row r="223" spans="1:21" s="3" customFormat="1" ht="18" customHeight="1">
      <c r="A223" s="8" t="s">
        <v>311</v>
      </c>
      <c r="B223" s="52">
        <v>35</v>
      </c>
      <c r="C223" s="52">
        <v>5.25</v>
      </c>
      <c r="D223" s="52">
        <v>5.25</v>
      </c>
      <c r="E223" s="52">
        <v>24.5</v>
      </c>
      <c r="F223" s="52">
        <v>0</v>
      </c>
      <c r="G223" s="52">
        <v>0</v>
      </c>
      <c r="H223" s="52">
        <v>0</v>
      </c>
      <c r="I223" s="52">
        <v>0</v>
      </c>
      <c r="J223" s="52">
        <v>0</v>
      </c>
      <c r="K223" s="52">
        <v>0</v>
      </c>
      <c r="L223" s="52">
        <v>0</v>
      </c>
      <c r="M223" s="52">
        <v>0</v>
      </c>
      <c r="N223" s="52">
        <v>0</v>
      </c>
      <c r="O223" s="52">
        <v>0</v>
      </c>
      <c r="P223" s="52">
        <v>0</v>
      </c>
      <c r="Q223" s="53">
        <v>0.15000000999999999</v>
      </c>
      <c r="R223" s="52">
        <v>2</v>
      </c>
      <c r="S223" s="53">
        <v>0.14999998</v>
      </c>
      <c r="T223" s="52">
        <v>0.83333336999999996</v>
      </c>
      <c r="U223" s="54">
        <v>0</v>
      </c>
    </row>
    <row r="224" spans="1:21" s="3" customFormat="1" ht="18" customHeight="1">
      <c r="A224" s="8" t="s">
        <v>312</v>
      </c>
      <c r="B224" s="52">
        <v>0</v>
      </c>
      <c r="C224" s="52">
        <v>0</v>
      </c>
      <c r="D224" s="52">
        <v>0</v>
      </c>
      <c r="E224" s="52">
        <v>0</v>
      </c>
      <c r="F224" s="52">
        <v>0</v>
      </c>
      <c r="G224" s="52">
        <v>0</v>
      </c>
      <c r="H224" s="52">
        <v>0</v>
      </c>
      <c r="I224" s="52">
        <v>0</v>
      </c>
      <c r="J224" s="52">
        <v>0</v>
      </c>
      <c r="K224" s="52">
        <v>0</v>
      </c>
      <c r="L224" s="52">
        <v>0</v>
      </c>
      <c r="M224" s="52">
        <v>0</v>
      </c>
      <c r="N224" s="52">
        <v>0</v>
      </c>
      <c r="O224" s="52">
        <v>0</v>
      </c>
      <c r="P224" s="52">
        <v>0</v>
      </c>
      <c r="Q224" s="53">
        <v>0</v>
      </c>
      <c r="R224" s="52">
        <v>0</v>
      </c>
      <c r="S224" s="53">
        <v>0</v>
      </c>
      <c r="T224" s="52">
        <v>0</v>
      </c>
      <c r="U224" s="54">
        <v>0</v>
      </c>
    </row>
    <row r="225" spans="1:21" s="3" customFormat="1" ht="18" customHeight="1">
      <c r="A225" s="8" t="s">
        <v>313</v>
      </c>
      <c r="B225" s="52">
        <v>540</v>
      </c>
      <c r="C225" s="52">
        <v>20</v>
      </c>
      <c r="D225" s="52">
        <v>120</v>
      </c>
      <c r="E225" s="52">
        <v>260</v>
      </c>
      <c r="F225" s="52">
        <v>0</v>
      </c>
      <c r="G225" s="52">
        <v>0</v>
      </c>
      <c r="H225" s="52">
        <v>0</v>
      </c>
      <c r="I225" s="52">
        <v>0</v>
      </c>
      <c r="J225" s="52">
        <v>0</v>
      </c>
      <c r="K225" s="52">
        <v>140</v>
      </c>
      <c r="L225" s="52">
        <v>0</v>
      </c>
      <c r="M225" s="52">
        <v>0</v>
      </c>
      <c r="N225" s="52">
        <v>0</v>
      </c>
      <c r="O225" s="52">
        <v>0</v>
      </c>
      <c r="P225" s="52">
        <v>0</v>
      </c>
      <c r="Q225" s="53">
        <v>7.9999998000000003E-2</v>
      </c>
      <c r="R225" s="52">
        <v>1.4</v>
      </c>
      <c r="S225" s="53">
        <v>0.36000000999999998</v>
      </c>
      <c r="T225" s="52">
        <v>3.3333335000000002</v>
      </c>
      <c r="U225" s="54">
        <v>3</v>
      </c>
    </row>
    <row r="226" spans="1:21" s="3" customFormat="1" ht="18" customHeight="1">
      <c r="A226" s="8" t="s">
        <v>314</v>
      </c>
      <c r="B226" s="52">
        <v>230</v>
      </c>
      <c r="C226" s="52">
        <v>36</v>
      </c>
      <c r="D226" s="52">
        <v>18</v>
      </c>
      <c r="E226" s="52">
        <v>92</v>
      </c>
      <c r="F226" s="52">
        <v>0</v>
      </c>
      <c r="G226" s="52">
        <v>0</v>
      </c>
      <c r="H226" s="52">
        <v>84</v>
      </c>
      <c r="I226" s="52">
        <v>0</v>
      </c>
      <c r="J226" s="52">
        <v>0</v>
      </c>
      <c r="K226" s="52">
        <v>0</v>
      </c>
      <c r="L226" s="52">
        <v>0</v>
      </c>
      <c r="M226" s="52">
        <v>0</v>
      </c>
      <c r="N226" s="52">
        <v>0</v>
      </c>
      <c r="O226" s="52">
        <v>0</v>
      </c>
      <c r="P226" s="52">
        <v>0</v>
      </c>
      <c r="Q226" s="53">
        <v>0.12</v>
      </c>
      <c r="R226" s="52">
        <v>1.6</v>
      </c>
      <c r="S226" s="53">
        <v>0.34000003000000001</v>
      </c>
      <c r="T226" s="52">
        <v>0.83333336999999996</v>
      </c>
      <c r="U226" s="54">
        <v>0</v>
      </c>
    </row>
    <row r="227" spans="1:21" s="3" customFormat="1" ht="18" customHeight="1">
      <c r="A227" s="8" t="s">
        <v>315</v>
      </c>
      <c r="B227" s="52">
        <v>108</v>
      </c>
      <c r="C227" s="52">
        <v>16.200001</v>
      </c>
      <c r="D227" s="52">
        <v>75.599997999999999</v>
      </c>
      <c r="E227" s="52">
        <v>16.199997</v>
      </c>
      <c r="F227" s="52">
        <v>0</v>
      </c>
      <c r="G227" s="52">
        <v>0</v>
      </c>
      <c r="H227" s="52">
        <v>0</v>
      </c>
      <c r="I227" s="52">
        <v>0</v>
      </c>
      <c r="J227" s="52">
        <v>0</v>
      </c>
      <c r="K227" s="52">
        <v>0</v>
      </c>
      <c r="L227" s="52">
        <v>0</v>
      </c>
      <c r="M227" s="52">
        <v>0</v>
      </c>
      <c r="N227" s="52">
        <v>0</v>
      </c>
      <c r="O227" s="52">
        <v>0</v>
      </c>
      <c r="P227" s="52">
        <v>0</v>
      </c>
      <c r="Q227" s="53">
        <v>7.9999998000000003E-2</v>
      </c>
      <c r="R227" s="52">
        <v>1.5</v>
      </c>
      <c r="S227" s="53">
        <v>0.15999996999999999</v>
      </c>
      <c r="T227" s="52">
        <v>0.91666669000000001</v>
      </c>
      <c r="U227" s="54">
        <v>0</v>
      </c>
    </row>
    <row r="228" spans="1:21" s="3" customFormat="1" ht="18" customHeight="1">
      <c r="A228" s="8" t="s">
        <v>316</v>
      </c>
      <c r="B228" s="52">
        <v>178</v>
      </c>
      <c r="C228" s="52">
        <v>26.700001</v>
      </c>
      <c r="D228" s="52">
        <v>124.6</v>
      </c>
      <c r="E228" s="52">
        <v>26.699995000000001</v>
      </c>
      <c r="F228" s="52">
        <v>0</v>
      </c>
      <c r="G228" s="52">
        <v>0</v>
      </c>
      <c r="H228" s="52">
        <v>0</v>
      </c>
      <c r="I228" s="52">
        <v>0</v>
      </c>
      <c r="J228" s="52">
        <v>0</v>
      </c>
      <c r="K228" s="52">
        <v>0</v>
      </c>
      <c r="L228" s="52">
        <v>0</v>
      </c>
      <c r="M228" s="52">
        <v>0</v>
      </c>
      <c r="N228" s="52">
        <v>0</v>
      </c>
      <c r="O228" s="52">
        <v>0</v>
      </c>
      <c r="P228" s="52">
        <v>0</v>
      </c>
      <c r="Q228" s="53">
        <v>0.25999999000000001</v>
      </c>
      <c r="R228" s="52">
        <v>2.5999998999999998</v>
      </c>
      <c r="S228" s="53">
        <v>0.25999999000000001</v>
      </c>
      <c r="T228" s="52">
        <v>1</v>
      </c>
      <c r="U228" s="54">
        <v>0</v>
      </c>
    </row>
    <row r="229" spans="1:21" s="3" customFormat="1" ht="18" customHeight="1">
      <c r="A229" s="8" t="s">
        <v>317</v>
      </c>
      <c r="B229" s="52">
        <v>0</v>
      </c>
      <c r="C229" s="52">
        <v>0</v>
      </c>
      <c r="D229" s="52">
        <v>0</v>
      </c>
      <c r="E229" s="52">
        <v>0</v>
      </c>
      <c r="F229" s="52">
        <v>0</v>
      </c>
      <c r="G229" s="52">
        <v>0</v>
      </c>
      <c r="H229" s="52">
        <v>0</v>
      </c>
      <c r="I229" s="52">
        <v>0</v>
      </c>
      <c r="J229" s="52">
        <v>0</v>
      </c>
      <c r="K229" s="52">
        <v>0</v>
      </c>
      <c r="L229" s="52">
        <v>0</v>
      </c>
      <c r="M229" s="52">
        <v>0</v>
      </c>
      <c r="N229" s="52">
        <v>0</v>
      </c>
      <c r="O229" s="52">
        <v>0</v>
      </c>
      <c r="P229" s="52">
        <v>0</v>
      </c>
      <c r="Q229" s="53">
        <v>0</v>
      </c>
      <c r="R229" s="52">
        <v>0</v>
      </c>
      <c r="S229" s="53">
        <v>0</v>
      </c>
      <c r="T229" s="52">
        <v>0</v>
      </c>
      <c r="U229" s="54">
        <v>0</v>
      </c>
    </row>
    <row r="230" spans="1:21" s="3" customFormat="1" ht="18" customHeight="1">
      <c r="A230" s="8" t="s">
        <v>318</v>
      </c>
      <c r="B230" s="52">
        <v>190</v>
      </c>
      <c r="C230" s="52">
        <v>38</v>
      </c>
      <c r="D230" s="52">
        <v>68.400002000000001</v>
      </c>
      <c r="E230" s="52">
        <v>83.599997999999999</v>
      </c>
      <c r="F230" s="52">
        <v>0</v>
      </c>
      <c r="G230" s="52">
        <v>0</v>
      </c>
      <c r="H230" s="52">
        <v>0</v>
      </c>
      <c r="I230" s="52">
        <v>0</v>
      </c>
      <c r="J230" s="52">
        <v>0</v>
      </c>
      <c r="K230" s="52">
        <v>0</v>
      </c>
      <c r="L230" s="52">
        <v>0</v>
      </c>
      <c r="M230" s="52">
        <v>0</v>
      </c>
      <c r="N230" s="52">
        <v>0</v>
      </c>
      <c r="O230" s="52">
        <v>0</v>
      </c>
      <c r="P230" s="52">
        <v>0</v>
      </c>
      <c r="Q230" s="53">
        <v>0.2</v>
      </c>
      <c r="R230" s="52">
        <v>2</v>
      </c>
      <c r="S230" s="53">
        <v>5.5000006999999997E-2</v>
      </c>
      <c r="T230" s="52">
        <v>3.0000002000000001</v>
      </c>
      <c r="U230" s="54">
        <v>4</v>
      </c>
    </row>
    <row r="231" spans="1:21" s="3" customFormat="1" ht="18" customHeight="1">
      <c r="A231" s="8" t="s">
        <v>319</v>
      </c>
      <c r="B231" s="52">
        <v>350</v>
      </c>
      <c r="C231" s="52">
        <v>35</v>
      </c>
      <c r="D231" s="52">
        <v>245</v>
      </c>
      <c r="E231" s="52">
        <v>69.999992000000006</v>
      </c>
      <c r="F231" s="52">
        <v>0</v>
      </c>
      <c r="G231" s="52">
        <v>0</v>
      </c>
      <c r="H231" s="52">
        <v>0</v>
      </c>
      <c r="I231" s="52">
        <v>0</v>
      </c>
      <c r="J231" s="52">
        <v>0</v>
      </c>
      <c r="K231" s="52">
        <v>0</v>
      </c>
      <c r="L231" s="52">
        <v>0</v>
      </c>
      <c r="M231" s="52">
        <v>0</v>
      </c>
      <c r="N231" s="52">
        <v>0</v>
      </c>
      <c r="O231" s="52">
        <v>0</v>
      </c>
      <c r="P231" s="52">
        <v>0</v>
      </c>
      <c r="Q231" s="53">
        <v>0.31999999000000001</v>
      </c>
      <c r="R231" s="52">
        <v>2.8</v>
      </c>
      <c r="S231" s="53">
        <v>0.10000002</v>
      </c>
      <c r="T231" s="52">
        <v>1.3333333999999999</v>
      </c>
      <c r="U231" s="54">
        <v>1</v>
      </c>
    </row>
    <row r="232" spans="1:21" s="3" customFormat="1" ht="18" customHeight="1">
      <c r="A232" s="8" t="s">
        <v>320</v>
      </c>
      <c r="B232" s="52">
        <v>0</v>
      </c>
      <c r="C232" s="52">
        <v>0</v>
      </c>
      <c r="D232" s="52">
        <v>0</v>
      </c>
      <c r="E232" s="52">
        <v>0</v>
      </c>
      <c r="F232" s="52">
        <v>0</v>
      </c>
      <c r="G232" s="52">
        <v>0</v>
      </c>
      <c r="H232" s="52">
        <v>0</v>
      </c>
      <c r="I232" s="52">
        <v>0</v>
      </c>
      <c r="J232" s="52">
        <v>0</v>
      </c>
      <c r="K232" s="52">
        <v>0</v>
      </c>
      <c r="L232" s="52">
        <v>0</v>
      </c>
      <c r="M232" s="52">
        <v>0</v>
      </c>
      <c r="N232" s="52">
        <v>0</v>
      </c>
      <c r="O232" s="52">
        <v>0</v>
      </c>
      <c r="P232" s="52">
        <v>0</v>
      </c>
      <c r="Q232" s="53">
        <v>0</v>
      </c>
      <c r="R232" s="52">
        <v>0</v>
      </c>
      <c r="S232" s="53">
        <v>0</v>
      </c>
      <c r="T232" s="52">
        <v>0</v>
      </c>
      <c r="U232" s="54">
        <v>0</v>
      </c>
    </row>
    <row r="233" spans="1:21" s="3" customFormat="1" ht="18" customHeight="1">
      <c r="A233" s="8" t="s">
        <v>321</v>
      </c>
      <c r="B233" s="52">
        <v>0</v>
      </c>
      <c r="C233" s="52">
        <v>0</v>
      </c>
      <c r="D233" s="52">
        <v>0</v>
      </c>
      <c r="E233" s="52">
        <v>0</v>
      </c>
      <c r="F233" s="52">
        <v>0</v>
      </c>
      <c r="G233" s="52">
        <v>0</v>
      </c>
      <c r="H233" s="52">
        <v>0</v>
      </c>
      <c r="I233" s="52">
        <v>0</v>
      </c>
      <c r="J233" s="52">
        <v>0</v>
      </c>
      <c r="K233" s="52">
        <v>0</v>
      </c>
      <c r="L233" s="52">
        <v>0</v>
      </c>
      <c r="M233" s="52">
        <v>0</v>
      </c>
      <c r="N233" s="52">
        <v>0</v>
      </c>
      <c r="O233" s="52">
        <v>0</v>
      </c>
      <c r="P233" s="52">
        <v>0</v>
      </c>
      <c r="Q233" s="53">
        <v>0</v>
      </c>
      <c r="R233" s="52">
        <v>0</v>
      </c>
      <c r="S233" s="53">
        <v>0</v>
      </c>
      <c r="T233" s="52">
        <v>0</v>
      </c>
      <c r="U233" s="54">
        <v>0</v>
      </c>
    </row>
    <row r="234" spans="1:21" s="3" customFormat="1" ht="18" customHeight="1">
      <c r="A234" s="8" t="s">
        <v>322</v>
      </c>
      <c r="B234" s="52">
        <v>250</v>
      </c>
      <c r="C234" s="52">
        <v>50</v>
      </c>
      <c r="D234" s="52">
        <v>25</v>
      </c>
      <c r="E234" s="52">
        <v>175</v>
      </c>
      <c r="F234" s="52">
        <v>0</v>
      </c>
      <c r="G234" s="52">
        <v>0</v>
      </c>
      <c r="H234" s="52">
        <v>0</v>
      </c>
      <c r="I234" s="52">
        <v>0</v>
      </c>
      <c r="J234" s="52">
        <v>0</v>
      </c>
      <c r="K234" s="52">
        <v>0</v>
      </c>
      <c r="L234" s="52">
        <v>0</v>
      </c>
      <c r="M234" s="52">
        <v>0</v>
      </c>
      <c r="N234" s="52">
        <v>0</v>
      </c>
      <c r="O234" s="52">
        <v>0</v>
      </c>
      <c r="P234" s="52">
        <v>0</v>
      </c>
      <c r="Q234" s="53">
        <v>0.22</v>
      </c>
      <c r="R234" s="52">
        <v>2</v>
      </c>
      <c r="S234" s="53">
        <v>0.15999996999999999</v>
      </c>
      <c r="T234" s="52">
        <v>5.0000004999999996</v>
      </c>
      <c r="U234" s="54">
        <v>1</v>
      </c>
    </row>
    <row r="235" spans="1:21" s="3" customFormat="1" ht="18" customHeight="1">
      <c r="A235" s="8" t="s">
        <v>323</v>
      </c>
      <c r="B235" s="52">
        <v>0</v>
      </c>
      <c r="C235" s="52">
        <v>0</v>
      </c>
      <c r="D235" s="52">
        <v>0</v>
      </c>
      <c r="E235" s="52">
        <v>0</v>
      </c>
      <c r="F235" s="52">
        <v>0</v>
      </c>
      <c r="G235" s="52">
        <v>0</v>
      </c>
      <c r="H235" s="52">
        <v>0</v>
      </c>
      <c r="I235" s="52">
        <v>0</v>
      </c>
      <c r="J235" s="52">
        <v>0</v>
      </c>
      <c r="K235" s="52">
        <v>0</v>
      </c>
      <c r="L235" s="52">
        <v>0</v>
      </c>
      <c r="M235" s="52">
        <v>0</v>
      </c>
      <c r="N235" s="52">
        <v>0</v>
      </c>
      <c r="O235" s="52">
        <v>0</v>
      </c>
      <c r="P235" s="52">
        <v>0</v>
      </c>
      <c r="Q235" s="53">
        <v>0</v>
      </c>
      <c r="R235" s="52">
        <v>0</v>
      </c>
      <c r="S235" s="53">
        <v>0</v>
      </c>
      <c r="T235" s="52">
        <v>0</v>
      </c>
      <c r="U235" s="54">
        <v>0</v>
      </c>
    </row>
    <row r="236" spans="1:21" s="3" customFormat="1" ht="18" customHeight="1">
      <c r="A236" s="8" t="s">
        <v>324</v>
      </c>
      <c r="B236" s="52">
        <v>22</v>
      </c>
      <c r="C236" s="52">
        <v>0</v>
      </c>
      <c r="D236" s="52">
        <v>4.8400002000000004</v>
      </c>
      <c r="E236" s="52">
        <v>17.16</v>
      </c>
      <c r="F236" s="52">
        <v>0</v>
      </c>
      <c r="G236" s="52">
        <v>0</v>
      </c>
      <c r="H236" s="52">
        <v>0</v>
      </c>
      <c r="I236" s="52">
        <v>0</v>
      </c>
      <c r="J236" s="52">
        <v>0</v>
      </c>
      <c r="K236" s="52">
        <v>0</v>
      </c>
      <c r="L236" s="52">
        <v>0</v>
      </c>
      <c r="M236" s="52">
        <v>0</v>
      </c>
      <c r="N236" s="52">
        <v>0</v>
      </c>
      <c r="O236" s="52">
        <v>0</v>
      </c>
      <c r="P236" s="52">
        <v>0</v>
      </c>
      <c r="Q236" s="53">
        <v>0.1</v>
      </c>
      <c r="R236" s="52">
        <v>2</v>
      </c>
      <c r="S236" s="53">
        <v>0.24000001000000001</v>
      </c>
      <c r="T236" s="52">
        <v>12.000000999999999</v>
      </c>
      <c r="U236" s="54">
        <v>1</v>
      </c>
    </row>
    <row r="237" spans="1:21" s="3" customFormat="1" ht="18" customHeight="1">
      <c r="A237" s="8" t="s">
        <v>325</v>
      </c>
      <c r="B237" s="52">
        <v>200</v>
      </c>
      <c r="C237" s="52">
        <v>140</v>
      </c>
      <c r="D237" s="52">
        <v>30.000001999999999</v>
      </c>
      <c r="E237" s="52">
        <v>29.999995999999999</v>
      </c>
      <c r="F237" s="52">
        <v>0</v>
      </c>
      <c r="G237" s="52">
        <v>0</v>
      </c>
      <c r="H237" s="52">
        <v>0</v>
      </c>
      <c r="I237" s="52">
        <v>0</v>
      </c>
      <c r="J237" s="52">
        <v>0</v>
      </c>
      <c r="K237" s="52">
        <v>0</v>
      </c>
      <c r="L237" s="52">
        <v>0</v>
      </c>
      <c r="M237" s="52">
        <v>0</v>
      </c>
      <c r="N237" s="52">
        <v>0</v>
      </c>
      <c r="O237" s="52">
        <v>0</v>
      </c>
      <c r="P237" s="52">
        <v>0</v>
      </c>
      <c r="Q237" s="53">
        <v>0.2</v>
      </c>
      <c r="R237" s="52">
        <v>2</v>
      </c>
      <c r="S237" s="53">
        <v>0.10000002</v>
      </c>
      <c r="T237" s="52">
        <v>0.83333336999999996</v>
      </c>
      <c r="U237" s="54">
        <v>0</v>
      </c>
    </row>
    <row r="238" spans="1:21" s="3" customFormat="1" ht="18" customHeight="1">
      <c r="A238" s="8" t="s">
        <v>326</v>
      </c>
      <c r="B238" s="52">
        <v>270</v>
      </c>
      <c r="C238" s="52">
        <v>189</v>
      </c>
      <c r="D238" s="52">
        <v>40.5</v>
      </c>
      <c r="E238" s="52">
        <v>40.499991999999999</v>
      </c>
      <c r="F238" s="52">
        <v>0</v>
      </c>
      <c r="G238" s="52">
        <v>0</v>
      </c>
      <c r="H238" s="52">
        <v>0</v>
      </c>
      <c r="I238" s="52">
        <v>0</v>
      </c>
      <c r="J238" s="52">
        <v>0</v>
      </c>
      <c r="K238" s="52">
        <v>0</v>
      </c>
      <c r="L238" s="52">
        <v>0</v>
      </c>
      <c r="M238" s="52">
        <v>0</v>
      </c>
      <c r="N238" s="52">
        <v>0</v>
      </c>
      <c r="O238" s="52">
        <v>0</v>
      </c>
      <c r="P238" s="52">
        <v>0</v>
      </c>
      <c r="Q238" s="53">
        <v>0.40000001000000002</v>
      </c>
      <c r="R238" s="52">
        <v>2.5</v>
      </c>
      <c r="S238" s="53">
        <v>0.18000000999999999</v>
      </c>
      <c r="T238" s="52">
        <v>0.80000006999999995</v>
      </c>
      <c r="U238" s="54">
        <v>0</v>
      </c>
    </row>
    <row r="239" spans="1:21" s="3" customFormat="1" ht="18" customHeight="1">
      <c r="A239" s="8" t="s">
        <v>327</v>
      </c>
      <c r="B239" s="52">
        <v>0</v>
      </c>
      <c r="C239" s="52">
        <v>0</v>
      </c>
      <c r="D239" s="52">
        <v>0</v>
      </c>
      <c r="E239" s="52">
        <v>0</v>
      </c>
      <c r="F239" s="52">
        <v>0</v>
      </c>
      <c r="G239" s="52">
        <v>0</v>
      </c>
      <c r="H239" s="52">
        <v>0</v>
      </c>
      <c r="I239" s="52">
        <v>0</v>
      </c>
      <c r="J239" s="52">
        <v>0</v>
      </c>
      <c r="K239" s="52">
        <v>0</v>
      </c>
      <c r="L239" s="52">
        <v>0</v>
      </c>
      <c r="M239" s="52">
        <v>0</v>
      </c>
      <c r="N239" s="52">
        <v>0</v>
      </c>
      <c r="O239" s="52">
        <v>0</v>
      </c>
      <c r="P239" s="52">
        <v>0</v>
      </c>
      <c r="Q239" s="53">
        <v>0</v>
      </c>
      <c r="R239" s="52">
        <v>0</v>
      </c>
      <c r="S239" s="53">
        <v>0</v>
      </c>
      <c r="T239" s="52">
        <v>0</v>
      </c>
      <c r="U239" s="54">
        <v>0</v>
      </c>
    </row>
    <row r="240" spans="1:21" s="3" customFormat="1" ht="18" customHeight="1">
      <c r="A240" s="8" t="s">
        <v>328</v>
      </c>
      <c r="B240" s="52">
        <v>500</v>
      </c>
      <c r="C240" s="52">
        <v>100</v>
      </c>
      <c r="D240" s="52">
        <v>0</v>
      </c>
      <c r="E240" s="52">
        <v>0</v>
      </c>
      <c r="F240" s="52">
        <v>0</v>
      </c>
      <c r="G240" s="52">
        <v>0</v>
      </c>
      <c r="H240" s="52">
        <v>400</v>
      </c>
      <c r="I240" s="52">
        <v>0</v>
      </c>
      <c r="J240" s="52">
        <v>0</v>
      </c>
      <c r="K240" s="52">
        <v>0</v>
      </c>
      <c r="L240" s="52">
        <v>0</v>
      </c>
      <c r="M240" s="52">
        <v>0</v>
      </c>
      <c r="N240" s="52">
        <v>0</v>
      </c>
      <c r="O240" s="52">
        <v>0</v>
      </c>
      <c r="P240" s="52">
        <v>0</v>
      </c>
      <c r="Q240" s="53">
        <v>0.30000000999999998</v>
      </c>
      <c r="R240" s="52">
        <v>2.2000000000000002</v>
      </c>
      <c r="S240" s="53">
        <v>0.15999996999999999</v>
      </c>
      <c r="T240" s="52">
        <v>2.1666666999999999</v>
      </c>
      <c r="U240" s="54">
        <v>1</v>
      </c>
    </row>
    <row r="241" spans="1:21" s="3" customFormat="1" ht="18" customHeight="1">
      <c r="A241" s="8" t="s">
        <v>329</v>
      </c>
      <c r="B241" s="52">
        <v>550</v>
      </c>
      <c r="C241" s="52">
        <v>110</v>
      </c>
      <c r="D241" s="52">
        <v>0</v>
      </c>
      <c r="E241" s="52">
        <v>0</v>
      </c>
      <c r="F241" s="52">
        <v>0</v>
      </c>
      <c r="G241" s="52">
        <v>0</v>
      </c>
      <c r="H241" s="52">
        <v>440</v>
      </c>
      <c r="I241" s="52">
        <v>0</v>
      </c>
      <c r="J241" s="52">
        <v>0</v>
      </c>
      <c r="K241" s="52">
        <v>0</v>
      </c>
      <c r="L241" s="52">
        <v>0</v>
      </c>
      <c r="M241" s="52">
        <v>0</v>
      </c>
      <c r="N241" s="52">
        <v>0</v>
      </c>
      <c r="O241" s="52">
        <v>0</v>
      </c>
      <c r="P241" s="52">
        <v>0</v>
      </c>
      <c r="Q241" s="53">
        <v>0.30000000999999998</v>
      </c>
      <c r="R241" s="52">
        <v>2.2000000000000002</v>
      </c>
      <c r="S241" s="53">
        <v>0.22000003000000001</v>
      </c>
      <c r="T241" s="52">
        <v>2.1666666999999999</v>
      </c>
      <c r="U241" s="54">
        <v>1</v>
      </c>
    </row>
    <row r="242" spans="1:21" s="3" customFormat="1" ht="18" customHeight="1">
      <c r="A242" s="8" t="s">
        <v>330</v>
      </c>
      <c r="B242" s="52">
        <v>135</v>
      </c>
      <c r="C242" s="52">
        <v>94.5</v>
      </c>
      <c r="D242" s="52">
        <v>20.25</v>
      </c>
      <c r="E242" s="52">
        <v>20.249995999999999</v>
      </c>
      <c r="F242" s="52">
        <v>0</v>
      </c>
      <c r="G242" s="52">
        <v>0</v>
      </c>
      <c r="H242" s="52">
        <v>0</v>
      </c>
      <c r="I242" s="52">
        <v>0</v>
      </c>
      <c r="J242" s="52">
        <v>0</v>
      </c>
      <c r="K242" s="52">
        <v>0</v>
      </c>
      <c r="L242" s="52">
        <v>0</v>
      </c>
      <c r="M242" s="52">
        <v>0</v>
      </c>
      <c r="N242" s="52">
        <v>0</v>
      </c>
      <c r="O242" s="52">
        <v>0</v>
      </c>
      <c r="P242" s="52">
        <v>0</v>
      </c>
      <c r="Q242" s="53">
        <v>0.25</v>
      </c>
      <c r="R242" s="52">
        <v>2.2999999999999998</v>
      </c>
      <c r="S242" s="53">
        <v>0.11000001</v>
      </c>
      <c r="T242" s="52">
        <v>1</v>
      </c>
      <c r="U242" s="54">
        <v>0</v>
      </c>
    </row>
    <row r="243" spans="1:21" s="3" customFormat="1" ht="18" customHeight="1">
      <c r="A243" s="8" t="s">
        <v>331</v>
      </c>
      <c r="B243" s="52">
        <v>138.99997999999999</v>
      </c>
      <c r="C243" s="52">
        <v>97.299994999999996</v>
      </c>
      <c r="D243" s="52">
        <v>20.85</v>
      </c>
      <c r="E243" s="52">
        <v>20.849996999999998</v>
      </c>
      <c r="F243" s="52">
        <v>0</v>
      </c>
      <c r="G243" s="52">
        <v>0</v>
      </c>
      <c r="H243" s="52">
        <v>0</v>
      </c>
      <c r="I243" s="52">
        <v>0</v>
      </c>
      <c r="J243" s="52">
        <v>0</v>
      </c>
      <c r="K243" s="52">
        <v>0</v>
      </c>
      <c r="L243" s="52">
        <v>0</v>
      </c>
      <c r="M243" s="52">
        <v>0</v>
      </c>
      <c r="N243" s="52">
        <v>0</v>
      </c>
      <c r="O243" s="52">
        <v>0</v>
      </c>
      <c r="P243" s="52">
        <v>0</v>
      </c>
      <c r="Q243" s="53">
        <v>0.30000000999999998</v>
      </c>
      <c r="R243" s="52">
        <v>2.7</v>
      </c>
      <c r="S243" s="53">
        <v>0.14999998</v>
      </c>
      <c r="T243" s="52">
        <v>1.0833333999999999</v>
      </c>
      <c r="U243" s="54">
        <v>0</v>
      </c>
    </row>
    <row r="244" spans="1:21" s="3" customFormat="1" ht="18" customHeight="1">
      <c r="A244" s="8" t="s">
        <v>332</v>
      </c>
      <c r="B244" s="52">
        <v>20</v>
      </c>
      <c r="C244" s="52">
        <v>3</v>
      </c>
      <c r="D244" s="52">
        <v>14</v>
      </c>
      <c r="E244" s="52">
        <v>2.9999994999999999</v>
      </c>
      <c r="F244" s="52">
        <v>0</v>
      </c>
      <c r="G244" s="52">
        <v>0</v>
      </c>
      <c r="H244" s="52">
        <v>0</v>
      </c>
      <c r="I244" s="52">
        <v>0</v>
      </c>
      <c r="J244" s="52">
        <v>0</v>
      </c>
      <c r="K244" s="52">
        <v>0</v>
      </c>
      <c r="L244" s="52">
        <v>0</v>
      </c>
      <c r="M244" s="52">
        <v>0</v>
      </c>
      <c r="N244" s="52">
        <v>0</v>
      </c>
      <c r="O244" s="52">
        <v>0</v>
      </c>
      <c r="P244" s="52">
        <v>0</v>
      </c>
      <c r="Q244" s="53">
        <v>5.0000001000000002E-2</v>
      </c>
      <c r="R244" s="52">
        <v>2</v>
      </c>
      <c r="S244" s="53">
        <v>0.12</v>
      </c>
      <c r="T244" s="52">
        <v>10.000000999999999</v>
      </c>
      <c r="U244" s="54">
        <v>1</v>
      </c>
    </row>
    <row r="245" spans="1:21" s="3" customFormat="1" ht="18" customHeight="1">
      <c r="A245" s="8" t="s">
        <v>333</v>
      </c>
      <c r="B245" s="52">
        <v>77</v>
      </c>
      <c r="C245" s="52">
        <v>0</v>
      </c>
      <c r="D245" s="52">
        <v>30.800001000000002</v>
      </c>
      <c r="E245" s="52">
        <v>46.200001</v>
      </c>
      <c r="F245" s="52">
        <v>0</v>
      </c>
      <c r="G245" s="52">
        <v>0</v>
      </c>
      <c r="H245" s="52">
        <v>0</v>
      </c>
      <c r="I245" s="52">
        <v>0</v>
      </c>
      <c r="J245" s="52">
        <v>0</v>
      </c>
      <c r="K245" s="52">
        <v>0</v>
      </c>
      <c r="L245" s="52">
        <v>0</v>
      </c>
      <c r="M245" s="52">
        <v>0</v>
      </c>
      <c r="N245" s="52">
        <v>0</v>
      </c>
      <c r="O245" s="52">
        <v>0</v>
      </c>
      <c r="P245" s="52">
        <v>0</v>
      </c>
      <c r="Q245" s="53">
        <v>0.23</v>
      </c>
      <c r="R245" s="52">
        <v>1.7</v>
      </c>
      <c r="S245" s="53">
        <v>0.28999996</v>
      </c>
      <c r="T245" s="52">
        <v>2.8333335000000002</v>
      </c>
      <c r="U245" s="54">
        <v>1</v>
      </c>
    </row>
    <row r="246" spans="1:21" s="3" customFormat="1" ht="18" customHeight="1">
      <c r="A246" s="8" t="s">
        <v>334</v>
      </c>
      <c r="B246" s="52">
        <v>182</v>
      </c>
      <c r="C246" s="52">
        <v>4.5500002000000004</v>
      </c>
      <c r="D246" s="52">
        <v>4.5500002000000004</v>
      </c>
      <c r="E246" s="52">
        <v>172.89999</v>
      </c>
      <c r="F246" s="52">
        <v>0</v>
      </c>
      <c r="G246" s="52">
        <v>0</v>
      </c>
      <c r="H246" s="52">
        <v>0</v>
      </c>
      <c r="I246" s="52">
        <v>0</v>
      </c>
      <c r="J246" s="52">
        <v>0</v>
      </c>
      <c r="K246" s="52">
        <v>0</v>
      </c>
      <c r="L246" s="52">
        <v>0</v>
      </c>
      <c r="M246" s="52">
        <v>0</v>
      </c>
      <c r="N246" s="52">
        <v>0</v>
      </c>
      <c r="O246" s="52">
        <v>0</v>
      </c>
      <c r="P246" s="52">
        <v>0</v>
      </c>
      <c r="Q246" s="53">
        <v>0.1</v>
      </c>
      <c r="R246" s="52">
        <v>2</v>
      </c>
      <c r="S246" s="53">
        <v>0.19999998999999999</v>
      </c>
      <c r="T246" s="52">
        <v>1</v>
      </c>
      <c r="U246" s="54">
        <v>0</v>
      </c>
    </row>
    <row r="247" spans="1:21" s="3" customFormat="1" ht="18" customHeight="1">
      <c r="A247" s="8" t="s">
        <v>335</v>
      </c>
      <c r="B247" s="52">
        <v>280</v>
      </c>
      <c r="C247" s="52">
        <v>7</v>
      </c>
      <c r="D247" s="52">
        <v>7</v>
      </c>
      <c r="E247" s="52">
        <v>266</v>
      </c>
      <c r="F247" s="52">
        <v>0</v>
      </c>
      <c r="G247" s="52">
        <v>0</v>
      </c>
      <c r="H247" s="52">
        <v>0</v>
      </c>
      <c r="I247" s="52">
        <v>0</v>
      </c>
      <c r="J247" s="52">
        <v>0</v>
      </c>
      <c r="K247" s="52">
        <v>0</v>
      </c>
      <c r="L247" s="52">
        <v>0</v>
      </c>
      <c r="M247" s="52">
        <v>0</v>
      </c>
      <c r="N247" s="52">
        <v>0</v>
      </c>
      <c r="O247" s="52">
        <v>0</v>
      </c>
      <c r="P247" s="52">
        <v>0</v>
      </c>
      <c r="Q247" s="53">
        <v>0.25999999000000001</v>
      </c>
      <c r="R247" s="52">
        <v>2</v>
      </c>
      <c r="S247" s="53">
        <v>0.25999999000000001</v>
      </c>
      <c r="T247" s="52">
        <v>1</v>
      </c>
      <c r="U247" s="54">
        <v>0</v>
      </c>
    </row>
    <row r="248" spans="1:21" s="3" customFormat="1" ht="18" customHeight="1">
      <c r="A248" s="8" t="s">
        <v>336</v>
      </c>
      <c r="B248" s="52">
        <v>210</v>
      </c>
      <c r="C248" s="52">
        <v>12</v>
      </c>
      <c r="D248" s="52">
        <v>38</v>
      </c>
      <c r="E248" s="52">
        <v>64</v>
      </c>
      <c r="F248" s="52">
        <v>0</v>
      </c>
      <c r="G248" s="52">
        <v>0</v>
      </c>
      <c r="H248" s="52">
        <v>96</v>
      </c>
      <c r="I248" s="52">
        <v>0</v>
      </c>
      <c r="J248" s="52">
        <v>0</v>
      </c>
      <c r="K248" s="52">
        <v>0</v>
      </c>
      <c r="L248" s="52">
        <v>0</v>
      </c>
      <c r="M248" s="52">
        <v>0</v>
      </c>
      <c r="N248" s="52">
        <v>0</v>
      </c>
      <c r="O248" s="52">
        <v>0</v>
      </c>
      <c r="P248" s="52">
        <v>0</v>
      </c>
      <c r="Q248" s="53">
        <v>0.12</v>
      </c>
      <c r="R248" s="52">
        <v>1.8</v>
      </c>
      <c r="S248" s="53">
        <v>0.30000000999999998</v>
      </c>
      <c r="T248" s="52">
        <v>0.75000005999999997</v>
      </c>
      <c r="U248" s="54">
        <v>0</v>
      </c>
    </row>
    <row r="249" spans="1:21" s="3" customFormat="1" ht="18" customHeight="1">
      <c r="A249" s="8" t="s">
        <v>337</v>
      </c>
      <c r="B249" s="52">
        <v>16</v>
      </c>
      <c r="C249" s="52">
        <v>0</v>
      </c>
      <c r="D249" s="52">
        <v>0</v>
      </c>
      <c r="E249" s="52">
        <v>0</v>
      </c>
      <c r="F249" s="52">
        <v>0</v>
      </c>
      <c r="G249" s="52">
        <v>0</v>
      </c>
      <c r="H249" s="52">
        <v>0</v>
      </c>
      <c r="I249" s="52">
        <v>0</v>
      </c>
      <c r="J249" s="52">
        <v>0</v>
      </c>
      <c r="K249" s="52">
        <v>0</v>
      </c>
      <c r="L249" s="52">
        <v>0</v>
      </c>
      <c r="M249" s="52">
        <v>16</v>
      </c>
      <c r="N249" s="52">
        <v>0</v>
      </c>
      <c r="O249" s="52">
        <v>0</v>
      </c>
      <c r="P249" s="52">
        <v>0</v>
      </c>
      <c r="Q249" s="53">
        <v>7.9999998000000003E-2</v>
      </c>
      <c r="R249" s="52">
        <v>1.8</v>
      </c>
      <c r="S249" s="53">
        <v>0.19999998999999999</v>
      </c>
      <c r="T249" s="52">
        <v>12.000000999999999</v>
      </c>
      <c r="U249" s="54">
        <v>1</v>
      </c>
    </row>
    <row r="250" spans="1:21" s="3" customFormat="1" ht="18" customHeight="1">
      <c r="A250" s="8" t="s">
        <v>338</v>
      </c>
      <c r="B250" s="52">
        <v>0</v>
      </c>
      <c r="C250" s="52">
        <v>0</v>
      </c>
      <c r="D250" s="52">
        <v>0</v>
      </c>
      <c r="E250" s="52">
        <v>0</v>
      </c>
      <c r="F250" s="52">
        <v>0</v>
      </c>
      <c r="G250" s="52">
        <v>0</v>
      </c>
      <c r="H250" s="52">
        <v>0</v>
      </c>
      <c r="I250" s="52">
        <v>0</v>
      </c>
      <c r="J250" s="52">
        <v>0</v>
      </c>
      <c r="K250" s="52">
        <v>0</v>
      </c>
      <c r="L250" s="52">
        <v>0</v>
      </c>
      <c r="M250" s="52">
        <v>0</v>
      </c>
      <c r="N250" s="52">
        <v>0</v>
      </c>
      <c r="O250" s="52">
        <v>0</v>
      </c>
      <c r="P250" s="52">
        <v>0</v>
      </c>
      <c r="Q250" s="53">
        <v>0</v>
      </c>
      <c r="R250" s="52">
        <v>0</v>
      </c>
      <c r="S250" s="53">
        <v>0</v>
      </c>
      <c r="T250" s="52">
        <v>0</v>
      </c>
      <c r="U250" s="54">
        <v>0</v>
      </c>
    </row>
    <row r="251" spans="1:21" s="3" customFormat="1" ht="18" customHeight="1">
      <c r="A251" s="8" t="s">
        <v>339</v>
      </c>
      <c r="B251" s="52">
        <v>280</v>
      </c>
      <c r="C251" s="52">
        <v>14</v>
      </c>
      <c r="D251" s="52">
        <v>28</v>
      </c>
      <c r="E251" s="52">
        <v>238</v>
      </c>
      <c r="F251" s="52">
        <v>0</v>
      </c>
      <c r="G251" s="52">
        <v>0</v>
      </c>
      <c r="H251" s="52">
        <v>0</v>
      </c>
      <c r="I251" s="52">
        <v>0</v>
      </c>
      <c r="J251" s="52">
        <v>0</v>
      </c>
      <c r="K251" s="52">
        <v>0</v>
      </c>
      <c r="L251" s="52">
        <v>0</v>
      </c>
      <c r="M251" s="52">
        <v>0</v>
      </c>
      <c r="N251" s="52">
        <v>0</v>
      </c>
      <c r="O251" s="52">
        <v>0</v>
      </c>
      <c r="P251" s="52">
        <v>0</v>
      </c>
      <c r="Q251" s="53">
        <v>0.34999998999999998</v>
      </c>
      <c r="R251" s="52">
        <v>2</v>
      </c>
      <c r="S251" s="53">
        <v>0.36000000999999998</v>
      </c>
      <c r="T251" s="52">
        <v>1</v>
      </c>
      <c r="U251" s="54">
        <v>0</v>
      </c>
    </row>
    <row r="252" spans="1:21" s="3" customFormat="1" ht="18" customHeight="1">
      <c r="A252" s="8" t="s">
        <v>340</v>
      </c>
      <c r="B252" s="52">
        <v>248</v>
      </c>
      <c r="C252" s="52">
        <v>19.84</v>
      </c>
      <c r="D252" s="52">
        <v>54.560001</v>
      </c>
      <c r="E252" s="52">
        <v>173.59998999999999</v>
      </c>
      <c r="F252" s="52">
        <v>0</v>
      </c>
      <c r="G252" s="52">
        <v>0</v>
      </c>
      <c r="H252" s="52">
        <v>0</v>
      </c>
      <c r="I252" s="52">
        <v>0</v>
      </c>
      <c r="J252" s="52">
        <v>0</v>
      </c>
      <c r="K252" s="52">
        <v>0</v>
      </c>
      <c r="L252" s="52">
        <v>0</v>
      </c>
      <c r="M252" s="52">
        <v>0</v>
      </c>
      <c r="N252" s="52">
        <v>0</v>
      </c>
      <c r="O252" s="52">
        <v>0</v>
      </c>
      <c r="P252" s="52">
        <v>0</v>
      </c>
      <c r="Q252" s="53">
        <v>0.2</v>
      </c>
      <c r="R252" s="52">
        <v>2</v>
      </c>
      <c r="S252" s="53">
        <v>0.36000000999999998</v>
      </c>
      <c r="T252" s="52">
        <v>1</v>
      </c>
      <c r="U252" s="54">
        <v>0</v>
      </c>
    </row>
    <row r="253" spans="1:21" s="3" customFormat="1" ht="18" customHeight="1">
      <c r="A253" s="8" t="s">
        <v>341</v>
      </c>
      <c r="B253" s="52">
        <v>0</v>
      </c>
      <c r="C253" s="52">
        <v>0</v>
      </c>
      <c r="D253" s="52">
        <v>0</v>
      </c>
      <c r="E253" s="52">
        <v>0</v>
      </c>
      <c r="F253" s="52">
        <v>0</v>
      </c>
      <c r="G253" s="52">
        <v>0</v>
      </c>
      <c r="H253" s="52">
        <v>0</v>
      </c>
      <c r="I253" s="52">
        <v>0</v>
      </c>
      <c r="J253" s="52">
        <v>0</v>
      </c>
      <c r="K253" s="52">
        <v>0</v>
      </c>
      <c r="L253" s="52">
        <v>0</v>
      </c>
      <c r="M253" s="52">
        <v>0</v>
      </c>
      <c r="N253" s="52">
        <v>0</v>
      </c>
      <c r="O253" s="52">
        <v>0</v>
      </c>
      <c r="P253" s="52">
        <v>0</v>
      </c>
      <c r="Q253" s="53">
        <v>0</v>
      </c>
      <c r="R253" s="52">
        <v>0</v>
      </c>
      <c r="S253" s="53">
        <v>0</v>
      </c>
      <c r="T253" s="52">
        <v>0</v>
      </c>
      <c r="U253" s="54">
        <v>0</v>
      </c>
    </row>
    <row r="254" spans="1:21" s="3" customFormat="1" ht="18" customHeight="1">
      <c r="A254" s="8" t="s">
        <v>342</v>
      </c>
      <c r="B254" s="52">
        <v>178</v>
      </c>
      <c r="C254" s="52">
        <v>17.800001000000002</v>
      </c>
      <c r="D254" s="52">
        <v>26.700001</v>
      </c>
      <c r="E254" s="52">
        <v>133.5</v>
      </c>
      <c r="F254" s="52">
        <v>0</v>
      </c>
      <c r="G254" s="52">
        <v>0</v>
      </c>
      <c r="H254" s="52">
        <v>0</v>
      </c>
      <c r="I254" s="52">
        <v>0</v>
      </c>
      <c r="J254" s="52">
        <v>0</v>
      </c>
      <c r="K254" s="52">
        <v>0</v>
      </c>
      <c r="L254" s="52">
        <v>0</v>
      </c>
      <c r="M254" s="52">
        <v>0</v>
      </c>
      <c r="N254" s="52">
        <v>0</v>
      </c>
      <c r="O254" s="52">
        <v>0</v>
      </c>
      <c r="P254" s="52">
        <v>0</v>
      </c>
      <c r="Q254" s="53">
        <v>0.1</v>
      </c>
      <c r="R254" s="52">
        <v>2</v>
      </c>
      <c r="S254" s="53">
        <v>0.30000000999999998</v>
      </c>
      <c r="T254" s="52">
        <v>1</v>
      </c>
      <c r="U254" s="54">
        <v>0</v>
      </c>
    </row>
    <row r="255" spans="1:21" s="3" customFormat="1" ht="18" customHeight="1">
      <c r="A255" s="8" t="s">
        <v>343</v>
      </c>
      <c r="B255" s="52">
        <v>0</v>
      </c>
      <c r="C255" s="52">
        <v>0</v>
      </c>
      <c r="D255" s="52">
        <v>0</v>
      </c>
      <c r="E255" s="52">
        <v>0</v>
      </c>
      <c r="F255" s="52">
        <v>0</v>
      </c>
      <c r="G255" s="52">
        <v>0</v>
      </c>
      <c r="H255" s="52">
        <v>0</v>
      </c>
      <c r="I255" s="52">
        <v>0</v>
      </c>
      <c r="J255" s="52">
        <v>0</v>
      </c>
      <c r="K255" s="52">
        <v>0</v>
      </c>
      <c r="L255" s="52">
        <v>0</v>
      </c>
      <c r="M255" s="52">
        <v>0</v>
      </c>
      <c r="N255" s="52">
        <v>0</v>
      </c>
      <c r="O255" s="52">
        <v>0</v>
      </c>
      <c r="P255" s="52">
        <v>0</v>
      </c>
      <c r="Q255" s="53">
        <v>0</v>
      </c>
      <c r="R255" s="52">
        <v>0</v>
      </c>
      <c r="S255" s="53">
        <v>0</v>
      </c>
      <c r="T255" s="52">
        <v>0</v>
      </c>
      <c r="U255" s="54">
        <v>0</v>
      </c>
    </row>
    <row r="256" spans="1:21" s="3" customFormat="1" ht="18" customHeight="1">
      <c r="A256" s="8" t="s">
        <v>344</v>
      </c>
      <c r="B256" s="52">
        <v>197</v>
      </c>
      <c r="C256" s="52">
        <v>37.43</v>
      </c>
      <c r="D256" s="52">
        <v>45.310001</v>
      </c>
      <c r="E256" s="52">
        <v>114.25999</v>
      </c>
      <c r="F256" s="52">
        <v>0</v>
      </c>
      <c r="G256" s="52">
        <v>0</v>
      </c>
      <c r="H256" s="52">
        <v>0</v>
      </c>
      <c r="I256" s="52">
        <v>0</v>
      </c>
      <c r="J256" s="52">
        <v>0</v>
      </c>
      <c r="K256" s="52">
        <v>0</v>
      </c>
      <c r="L256" s="52">
        <v>0</v>
      </c>
      <c r="M256" s="52">
        <v>0</v>
      </c>
      <c r="N256" s="52">
        <v>0</v>
      </c>
      <c r="O256" s="52">
        <v>0</v>
      </c>
      <c r="P256" s="52">
        <v>0</v>
      </c>
      <c r="Q256" s="53">
        <v>0.15000000999999999</v>
      </c>
      <c r="R256" s="52">
        <v>1.9</v>
      </c>
      <c r="S256" s="53">
        <v>0.26999997999999997</v>
      </c>
      <c r="T256" s="52">
        <v>1</v>
      </c>
      <c r="U256" s="54">
        <v>0</v>
      </c>
    </row>
    <row r="257" spans="1:21" s="3" customFormat="1" ht="18" customHeight="1">
      <c r="A257" s="8" t="s">
        <v>345</v>
      </c>
      <c r="B257" s="52">
        <v>0</v>
      </c>
      <c r="C257" s="52">
        <v>0</v>
      </c>
      <c r="D257" s="52">
        <v>0</v>
      </c>
      <c r="E257" s="52">
        <v>0</v>
      </c>
      <c r="F257" s="52">
        <v>0</v>
      </c>
      <c r="G257" s="52">
        <v>0</v>
      </c>
      <c r="H257" s="52">
        <v>0</v>
      </c>
      <c r="I257" s="52">
        <v>0</v>
      </c>
      <c r="J257" s="52">
        <v>0</v>
      </c>
      <c r="K257" s="52">
        <v>0</v>
      </c>
      <c r="L257" s="52">
        <v>0</v>
      </c>
      <c r="M257" s="52">
        <v>0</v>
      </c>
      <c r="N257" s="52">
        <v>0</v>
      </c>
      <c r="O257" s="52">
        <v>0</v>
      </c>
      <c r="P257" s="52">
        <v>0</v>
      </c>
      <c r="Q257" s="53">
        <v>0</v>
      </c>
      <c r="R257" s="52">
        <v>0</v>
      </c>
      <c r="S257" s="53">
        <v>0</v>
      </c>
      <c r="T257" s="52">
        <v>0</v>
      </c>
      <c r="U257" s="54">
        <v>0</v>
      </c>
    </row>
    <row r="258" spans="1:21" s="3" customFormat="1" ht="18" customHeight="1">
      <c r="A258" s="8" t="s">
        <v>346</v>
      </c>
      <c r="B258" s="52">
        <v>105</v>
      </c>
      <c r="C258" s="52">
        <v>15.750000999999999</v>
      </c>
      <c r="D258" s="52">
        <v>15.750000999999999</v>
      </c>
      <c r="E258" s="52">
        <v>73.5</v>
      </c>
      <c r="F258" s="52">
        <v>0</v>
      </c>
      <c r="G258" s="52">
        <v>0</v>
      </c>
      <c r="H258" s="52">
        <v>0</v>
      </c>
      <c r="I258" s="52">
        <v>0</v>
      </c>
      <c r="J258" s="52">
        <v>0</v>
      </c>
      <c r="K258" s="52">
        <v>0</v>
      </c>
      <c r="L258" s="52">
        <v>0</v>
      </c>
      <c r="M258" s="52">
        <v>0</v>
      </c>
      <c r="N258" s="52">
        <v>0</v>
      </c>
      <c r="O258" s="52">
        <v>0</v>
      </c>
      <c r="P258" s="52">
        <v>0</v>
      </c>
      <c r="Q258" s="53">
        <v>0.12</v>
      </c>
      <c r="R258" s="52">
        <v>2</v>
      </c>
      <c r="S258" s="53">
        <v>0.12</v>
      </c>
      <c r="T258" s="52">
        <v>1</v>
      </c>
      <c r="U258" s="54">
        <v>0</v>
      </c>
    </row>
    <row r="259" spans="1:21" s="3" customFormat="1" ht="18" customHeight="1">
      <c r="A259" s="8" t="s">
        <v>347</v>
      </c>
      <c r="B259" s="52">
        <v>164</v>
      </c>
      <c r="C259" s="52">
        <v>24.6</v>
      </c>
      <c r="D259" s="52">
        <v>24.6</v>
      </c>
      <c r="E259" s="52">
        <v>114.8</v>
      </c>
      <c r="F259" s="52">
        <v>0</v>
      </c>
      <c r="G259" s="52">
        <v>0</v>
      </c>
      <c r="H259" s="52">
        <v>0</v>
      </c>
      <c r="I259" s="52">
        <v>0</v>
      </c>
      <c r="J259" s="52">
        <v>0</v>
      </c>
      <c r="K259" s="52">
        <v>0</v>
      </c>
      <c r="L259" s="52">
        <v>0</v>
      </c>
      <c r="M259" s="52">
        <v>0</v>
      </c>
      <c r="N259" s="52">
        <v>0</v>
      </c>
      <c r="O259" s="52">
        <v>0</v>
      </c>
      <c r="P259" s="52">
        <v>0</v>
      </c>
      <c r="Q259" s="53">
        <v>0.22</v>
      </c>
      <c r="R259" s="52">
        <v>2</v>
      </c>
      <c r="S259" s="53">
        <v>0.30000000999999998</v>
      </c>
      <c r="T259" s="52">
        <v>1.2500001000000001</v>
      </c>
      <c r="U259" s="54">
        <v>0</v>
      </c>
    </row>
    <row r="260" spans="1:21" s="3" customFormat="1" ht="18" customHeight="1">
      <c r="A260" s="8" t="s">
        <v>348</v>
      </c>
      <c r="B260" s="52">
        <v>26</v>
      </c>
      <c r="C260" s="52">
        <v>0</v>
      </c>
      <c r="D260" s="52">
        <v>0</v>
      </c>
      <c r="E260" s="52">
        <v>0</v>
      </c>
      <c r="F260" s="52">
        <v>0</v>
      </c>
      <c r="G260" s="52">
        <v>26</v>
      </c>
      <c r="H260" s="52">
        <v>0</v>
      </c>
      <c r="I260" s="52">
        <v>0</v>
      </c>
      <c r="J260" s="52">
        <v>0</v>
      </c>
      <c r="K260" s="52">
        <v>0</v>
      </c>
      <c r="L260" s="52">
        <v>0</v>
      </c>
      <c r="M260" s="52">
        <v>0</v>
      </c>
      <c r="N260" s="52">
        <v>0</v>
      </c>
      <c r="O260" s="52">
        <v>0</v>
      </c>
      <c r="P260" s="52">
        <v>0</v>
      </c>
      <c r="Q260" s="53">
        <v>7.9999998000000003E-2</v>
      </c>
      <c r="R260" s="52">
        <v>2</v>
      </c>
      <c r="S260" s="53">
        <v>0.34000003000000001</v>
      </c>
      <c r="T260" s="52">
        <v>12.000000999999999</v>
      </c>
      <c r="U260" s="54">
        <v>1</v>
      </c>
    </row>
    <row r="261" spans="1:21" s="3" customFormat="1" ht="18" customHeight="1">
      <c r="A261" s="8" t="s">
        <v>349</v>
      </c>
      <c r="B261" s="52">
        <v>29</v>
      </c>
      <c r="C261" s="52">
        <v>0</v>
      </c>
      <c r="D261" s="52">
        <v>0</v>
      </c>
      <c r="E261" s="52">
        <v>0</v>
      </c>
      <c r="F261" s="52">
        <v>0</v>
      </c>
      <c r="G261" s="52">
        <v>29</v>
      </c>
      <c r="H261" s="52">
        <v>0</v>
      </c>
      <c r="I261" s="52">
        <v>0</v>
      </c>
      <c r="J261" s="52">
        <v>0</v>
      </c>
      <c r="K261" s="52">
        <v>0</v>
      </c>
      <c r="L261" s="52">
        <v>0</v>
      </c>
      <c r="M261" s="52">
        <v>0</v>
      </c>
      <c r="N261" s="52">
        <v>0</v>
      </c>
      <c r="O261" s="52">
        <v>0</v>
      </c>
      <c r="P261" s="52">
        <v>0</v>
      </c>
      <c r="Q261" s="53">
        <v>0.14000000000000001</v>
      </c>
      <c r="R261" s="52">
        <v>2</v>
      </c>
      <c r="S261" s="53">
        <v>0.38</v>
      </c>
      <c r="T261" s="52">
        <v>12.000000999999999</v>
      </c>
      <c r="U261" s="54">
        <v>1</v>
      </c>
    </row>
    <row r="262" spans="1:21" s="3" customFormat="1" ht="18" customHeight="1">
      <c r="A262" s="8" t="s">
        <v>350</v>
      </c>
      <c r="B262" s="52">
        <v>15</v>
      </c>
      <c r="C262" s="52">
        <v>0</v>
      </c>
      <c r="D262" s="52">
        <v>0</v>
      </c>
      <c r="E262" s="52">
        <v>0</v>
      </c>
      <c r="F262" s="52">
        <v>15</v>
      </c>
      <c r="G262" s="52">
        <v>0</v>
      </c>
      <c r="H262" s="52">
        <v>0</v>
      </c>
      <c r="I262" s="52">
        <v>0</v>
      </c>
      <c r="J262" s="52">
        <v>0</v>
      </c>
      <c r="K262" s="52">
        <v>0</v>
      </c>
      <c r="L262" s="52">
        <v>0</v>
      </c>
      <c r="M262" s="52">
        <v>0</v>
      </c>
      <c r="N262" s="52">
        <v>0</v>
      </c>
      <c r="O262" s="52">
        <v>0</v>
      </c>
      <c r="P262" s="52">
        <v>0</v>
      </c>
      <c r="Q262" s="53">
        <v>0.15000000999999999</v>
      </c>
      <c r="R262" s="52">
        <v>2</v>
      </c>
      <c r="S262" s="53">
        <v>0.19999998999999999</v>
      </c>
      <c r="T262" s="52">
        <v>1.6666666999999999</v>
      </c>
      <c r="U262" s="54">
        <v>1</v>
      </c>
    </row>
    <row r="263" spans="1:21" s="3" customFormat="1" ht="18" customHeight="1">
      <c r="A263" s="8" t="s">
        <v>351</v>
      </c>
      <c r="B263" s="52">
        <v>25</v>
      </c>
      <c r="C263" s="52">
        <v>18.75</v>
      </c>
      <c r="D263" s="52">
        <v>3.7500002000000001</v>
      </c>
      <c r="E263" s="52">
        <v>2.5000005000000001</v>
      </c>
      <c r="F263" s="52">
        <v>0</v>
      </c>
      <c r="G263" s="52">
        <v>0</v>
      </c>
      <c r="H263" s="52">
        <v>0</v>
      </c>
      <c r="I263" s="52">
        <v>0</v>
      </c>
      <c r="J263" s="52">
        <v>0</v>
      </c>
      <c r="K263" s="52">
        <v>0</v>
      </c>
      <c r="L263" s="52">
        <v>0</v>
      </c>
      <c r="M263" s="52">
        <v>0</v>
      </c>
      <c r="N263" s="52">
        <v>0</v>
      </c>
      <c r="O263" s="52">
        <v>0</v>
      </c>
      <c r="P263" s="52">
        <v>0</v>
      </c>
      <c r="Q263" s="53">
        <v>0.17</v>
      </c>
      <c r="R263" s="52">
        <v>1.5</v>
      </c>
      <c r="S263" s="53">
        <v>9.0000032999999993E-2</v>
      </c>
      <c r="T263" s="52">
        <v>12.500000999999999</v>
      </c>
      <c r="U263" s="54">
        <v>1</v>
      </c>
    </row>
    <row r="264" spans="1:21" s="3" customFormat="1" ht="18" customHeight="1">
      <c r="A264" s="8" t="s">
        <v>352</v>
      </c>
      <c r="B264" s="52">
        <v>27</v>
      </c>
      <c r="C264" s="52">
        <v>22.950001</v>
      </c>
      <c r="D264" s="52">
        <v>2.7</v>
      </c>
      <c r="E264" s="52">
        <v>1.3499987</v>
      </c>
      <c r="F264" s="52">
        <v>0</v>
      </c>
      <c r="G264" s="52">
        <v>0</v>
      </c>
      <c r="H264" s="52">
        <v>0</v>
      </c>
      <c r="I264" s="52">
        <v>0</v>
      </c>
      <c r="J264" s="52">
        <v>0</v>
      </c>
      <c r="K264" s="52">
        <v>0</v>
      </c>
      <c r="L264" s="52">
        <v>0</v>
      </c>
      <c r="M264" s="52">
        <v>0</v>
      </c>
      <c r="N264" s="52">
        <v>0</v>
      </c>
      <c r="O264" s="52">
        <v>0</v>
      </c>
      <c r="P264" s="52">
        <v>0</v>
      </c>
      <c r="Q264" s="53">
        <v>0.15000000999999999</v>
      </c>
      <c r="R264" s="52">
        <v>1.9</v>
      </c>
      <c r="S264" s="53">
        <v>0.20999998</v>
      </c>
      <c r="T264" s="52">
        <v>13.333334000000001</v>
      </c>
      <c r="U264" s="54">
        <v>1</v>
      </c>
    </row>
    <row r="265" spans="1:21" s="3" customFormat="1" ht="18" customHeight="1">
      <c r="A265" s="8" t="s">
        <v>353</v>
      </c>
      <c r="B265" s="52">
        <v>25</v>
      </c>
      <c r="C265" s="52">
        <v>0</v>
      </c>
      <c r="D265" s="52">
        <v>25</v>
      </c>
      <c r="E265" s="52">
        <v>0</v>
      </c>
      <c r="F265" s="52">
        <v>0</v>
      </c>
      <c r="G265" s="52">
        <v>0</v>
      </c>
      <c r="H265" s="52">
        <v>0</v>
      </c>
      <c r="I265" s="52">
        <v>0</v>
      </c>
      <c r="J265" s="52">
        <v>0</v>
      </c>
      <c r="K265" s="52">
        <v>0</v>
      </c>
      <c r="L265" s="52">
        <v>0</v>
      </c>
      <c r="M265" s="52">
        <v>0</v>
      </c>
      <c r="N265" s="52">
        <v>0</v>
      </c>
      <c r="O265" s="52">
        <v>0</v>
      </c>
      <c r="P265" s="52">
        <v>0</v>
      </c>
      <c r="Q265" s="53">
        <v>0.23</v>
      </c>
      <c r="R265" s="52">
        <v>2.5</v>
      </c>
      <c r="S265" s="53">
        <v>0.26999997999999997</v>
      </c>
      <c r="T265" s="52">
        <v>13.333334000000001</v>
      </c>
      <c r="U265" s="54">
        <v>1</v>
      </c>
    </row>
    <row r="266" spans="1:21" s="3" customFormat="1" ht="18" customHeight="1">
      <c r="A266" s="8" t="s">
        <v>354</v>
      </c>
      <c r="B266" s="52">
        <v>11</v>
      </c>
      <c r="C266" s="52">
        <v>4.4000000999999997</v>
      </c>
      <c r="D266" s="52">
        <v>3.6666628999999999</v>
      </c>
      <c r="E266" s="52">
        <v>2.9333372</v>
      </c>
      <c r="F266" s="52">
        <v>0</v>
      </c>
      <c r="G266" s="52">
        <v>0</v>
      </c>
      <c r="H266" s="52">
        <v>0</v>
      </c>
      <c r="I266" s="52">
        <v>0</v>
      </c>
      <c r="J266" s="52">
        <v>0</v>
      </c>
      <c r="K266" s="52">
        <v>0</v>
      </c>
      <c r="L266" s="52">
        <v>0</v>
      </c>
      <c r="M266" s="52">
        <v>0</v>
      </c>
      <c r="N266" s="52">
        <v>0</v>
      </c>
      <c r="O266" s="52">
        <v>0</v>
      </c>
      <c r="P266" s="52">
        <v>0</v>
      </c>
      <c r="Q266" s="53">
        <v>0.25</v>
      </c>
      <c r="R266" s="52">
        <v>2</v>
      </c>
      <c r="S266" s="53">
        <v>0.19999998999999999</v>
      </c>
      <c r="T266" s="52">
        <v>20.000001999999999</v>
      </c>
      <c r="U266" s="54">
        <v>1</v>
      </c>
    </row>
    <row r="267" spans="1:21" s="3" customFormat="1" ht="18" customHeight="1">
      <c r="A267" s="8" t="s">
        <v>355</v>
      </c>
      <c r="B267" s="52">
        <v>160</v>
      </c>
      <c r="C267" s="52">
        <v>24</v>
      </c>
      <c r="D267" s="52">
        <v>24</v>
      </c>
      <c r="E267" s="52">
        <v>112</v>
      </c>
      <c r="F267" s="52">
        <v>0</v>
      </c>
      <c r="G267" s="52">
        <v>0</v>
      </c>
      <c r="H267" s="52">
        <v>0</v>
      </c>
      <c r="I267" s="52">
        <v>0</v>
      </c>
      <c r="J267" s="52">
        <v>0</v>
      </c>
      <c r="K267" s="52">
        <v>0</v>
      </c>
      <c r="L267" s="52">
        <v>0</v>
      </c>
      <c r="M267" s="52">
        <v>0</v>
      </c>
      <c r="N267" s="52">
        <v>0</v>
      </c>
      <c r="O267" s="52">
        <v>0</v>
      </c>
      <c r="P267" s="52">
        <v>0</v>
      </c>
      <c r="Q267" s="53">
        <v>0.15000000999999999</v>
      </c>
      <c r="R267" s="52">
        <v>2</v>
      </c>
      <c r="S267" s="53">
        <v>0.14999998</v>
      </c>
      <c r="T267" s="52">
        <v>0.95000004999999998</v>
      </c>
      <c r="U267" s="54">
        <v>0</v>
      </c>
    </row>
    <row r="268" spans="1:21" s="3" customFormat="1" ht="18" customHeight="1">
      <c r="A268" s="8" t="s">
        <v>356</v>
      </c>
      <c r="B268" s="52">
        <v>300</v>
      </c>
      <c r="C268" s="52">
        <v>60</v>
      </c>
      <c r="D268" s="52">
        <v>15</v>
      </c>
      <c r="E268" s="52">
        <v>225</v>
      </c>
      <c r="F268" s="52">
        <v>0</v>
      </c>
      <c r="G268" s="52">
        <v>0</v>
      </c>
      <c r="H268" s="52">
        <v>0</v>
      </c>
      <c r="I268" s="52">
        <v>0</v>
      </c>
      <c r="J268" s="52">
        <v>0</v>
      </c>
      <c r="K268" s="52">
        <v>0</v>
      </c>
      <c r="L268" s="52">
        <v>0</v>
      </c>
      <c r="M268" s="52">
        <v>0</v>
      </c>
      <c r="N268" s="52">
        <v>0</v>
      </c>
      <c r="O268" s="52">
        <v>0</v>
      </c>
      <c r="P268" s="52">
        <v>0</v>
      </c>
      <c r="Q268" s="53">
        <v>0.31999999000000001</v>
      </c>
      <c r="R268" s="52">
        <v>2.5999998999999998</v>
      </c>
      <c r="S268" s="53">
        <v>0.31999999000000001</v>
      </c>
      <c r="T268" s="52">
        <v>0.80000006999999995</v>
      </c>
      <c r="U268" s="54">
        <v>0</v>
      </c>
    </row>
    <row r="269" spans="1:21" s="3" customFormat="1" ht="18" customHeight="1">
      <c r="A269" s="8" t="s">
        <v>357</v>
      </c>
      <c r="B269" s="52">
        <v>0</v>
      </c>
      <c r="C269" s="52">
        <v>0</v>
      </c>
      <c r="D269" s="52">
        <v>0</v>
      </c>
      <c r="E269" s="52">
        <v>0</v>
      </c>
      <c r="F269" s="52">
        <v>0</v>
      </c>
      <c r="G269" s="52">
        <v>0</v>
      </c>
      <c r="H269" s="52">
        <v>0</v>
      </c>
      <c r="I269" s="52">
        <v>0</v>
      </c>
      <c r="J269" s="52">
        <v>0</v>
      </c>
      <c r="K269" s="52">
        <v>0</v>
      </c>
      <c r="L269" s="52">
        <v>0</v>
      </c>
      <c r="M269" s="52">
        <v>0</v>
      </c>
      <c r="N269" s="52">
        <v>0</v>
      </c>
      <c r="O269" s="52">
        <v>0</v>
      </c>
      <c r="P269" s="52">
        <v>0</v>
      </c>
      <c r="Q269" s="53">
        <v>0</v>
      </c>
      <c r="R269" s="52">
        <v>0</v>
      </c>
      <c r="S269" s="53">
        <v>0</v>
      </c>
      <c r="T269" s="52">
        <v>0</v>
      </c>
      <c r="U269" s="54">
        <v>0</v>
      </c>
    </row>
    <row r="270" spans="1:21" s="3" customFormat="1" ht="18" customHeight="1">
      <c r="A270" s="8" t="s">
        <v>358</v>
      </c>
      <c r="B270" s="52">
        <v>535</v>
      </c>
      <c r="C270" s="52">
        <v>22.5</v>
      </c>
      <c r="D270" s="52">
        <v>180</v>
      </c>
      <c r="E270" s="52">
        <v>22.499991999999999</v>
      </c>
      <c r="F270" s="52">
        <v>0</v>
      </c>
      <c r="G270" s="52">
        <v>0</v>
      </c>
      <c r="H270" s="52">
        <v>0</v>
      </c>
      <c r="I270" s="52">
        <v>0</v>
      </c>
      <c r="J270" s="52">
        <v>310</v>
      </c>
      <c r="K270" s="52">
        <v>0</v>
      </c>
      <c r="L270" s="52">
        <v>0</v>
      </c>
      <c r="M270" s="52">
        <v>0</v>
      </c>
      <c r="N270" s="52">
        <v>0</v>
      </c>
      <c r="O270" s="52">
        <v>0</v>
      </c>
      <c r="P270" s="52">
        <v>0</v>
      </c>
      <c r="Q270" s="53">
        <v>0.25</v>
      </c>
      <c r="R270" s="52">
        <v>2</v>
      </c>
      <c r="S270" s="53">
        <v>0.25</v>
      </c>
      <c r="T270" s="52">
        <v>6.2500004999999996</v>
      </c>
      <c r="U270" s="54">
        <v>1</v>
      </c>
    </row>
    <row r="271" spans="1:21" s="3" customFormat="1" ht="18" customHeight="1">
      <c r="A271" s="8" t="s">
        <v>359</v>
      </c>
      <c r="B271" s="52">
        <v>150</v>
      </c>
      <c r="C271" s="52">
        <v>0</v>
      </c>
      <c r="D271" s="52">
        <v>0</v>
      </c>
      <c r="E271" s="52">
        <v>0</v>
      </c>
      <c r="F271" s="52">
        <v>0</v>
      </c>
      <c r="G271" s="52">
        <v>0</v>
      </c>
      <c r="H271" s="52">
        <v>150</v>
      </c>
      <c r="I271" s="52">
        <v>0</v>
      </c>
      <c r="J271" s="52">
        <v>0</v>
      </c>
      <c r="K271" s="52">
        <v>0</v>
      </c>
      <c r="L271" s="52">
        <v>0</v>
      </c>
      <c r="M271" s="52">
        <v>0</v>
      </c>
      <c r="N271" s="52">
        <v>0</v>
      </c>
      <c r="O271" s="52">
        <v>0</v>
      </c>
      <c r="P271" s="52">
        <v>0</v>
      </c>
      <c r="Q271" s="53">
        <v>0.2</v>
      </c>
      <c r="R271" s="52">
        <v>2</v>
      </c>
      <c r="S271" s="53">
        <v>0.25999999000000001</v>
      </c>
      <c r="T271" s="52">
        <v>1.5000001000000001</v>
      </c>
      <c r="U271" s="54">
        <v>1</v>
      </c>
    </row>
    <row r="272" spans="1:21" s="3" customFormat="1" ht="18" customHeight="1">
      <c r="A272" s="8" t="s">
        <v>359</v>
      </c>
      <c r="B272" s="52">
        <v>25</v>
      </c>
      <c r="C272" s="52">
        <v>17.5</v>
      </c>
      <c r="D272" s="52">
        <v>7.5000004999999996</v>
      </c>
      <c r="E272" s="52">
        <v>0</v>
      </c>
      <c r="F272" s="52">
        <v>0</v>
      </c>
      <c r="G272" s="52">
        <v>0</v>
      </c>
      <c r="H272" s="52">
        <v>0</v>
      </c>
      <c r="I272" s="52">
        <v>0</v>
      </c>
      <c r="J272" s="52">
        <v>0</v>
      </c>
      <c r="K272" s="52">
        <v>0</v>
      </c>
      <c r="L272" s="52">
        <v>0</v>
      </c>
      <c r="M272" s="52">
        <v>0</v>
      </c>
      <c r="N272" s="52">
        <v>0</v>
      </c>
      <c r="O272" s="52">
        <v>0</v>
      </c>
      <c r="P272" s="52">
        <v>0</v>
      </c>
      <c r="Q272" s="53">
        <v>7.9999998000000003E-2</v>
      </c>
      <c r="R272" s="52">
        <v>1.6</v>
      </c>
      <c r="S272" s="53">
        <v>0.10000002</v>
      </c>
      <c r="T272" s="52">
        <v>1.5000001000000001</v>
      </c>
      <c r="U272" s="54">
        <v>1</v>
      </c>
    </row>
    <row r="273" spans="1:21" s="3" customFormat="1" ht="18" customHeight="1">
      <c r="A273" s="8" t="s">
        <v>360</v>
      </c>
      <c r="B273" s="52">
        <v>187</v>
      </c>
      <c r="C273" s="52">
        <v>93.5</v>
      </c>
      <c r="D273" s="52">
        <v>18.700001</v>
      </c>
      <c r="E273" s="52">
        <v>74.799994999999996</v>
      </c>
      <c r="F273" s="52">
        <v>0</v>
      </c>
      <c r="G273" s="52">
        <v>0</v>
      </c>
      <c r="H273" s="52">
        <v>0</v>
      </c>
      <c r="I273" s="52">
        <v>0</v>
      </c>
      <c r="J273" s="52">
        <v>0</v>
      </c>
      <c r="K273" s="52">
        <v>0</v>
      </c>
      <c r="L273" s="52">
        <v>0</v>
      </c>
      <c r="M273" s="52">
        <v>0</v>
      </c>
      <c r="N273" s="52">
        <v>0</v>
      </c>
      <c r="O273" s="52">
        <v>0</v>
      </c>
      <c r="P273" s="52">
        <v>0</v>
      </c>
      <c r="Q273" s="53">
        <v>0.15000000999999999</v>
      </c>
      <c r="R273" s="52">
        <v>2.5</v>
      </c>
      <c r="S273" s="53">
        <v>0.35000002000000002</v>
      </c>
      <c r="T273" s="52">
        <v>1.6666666999999999</v>
      </c>
      <c r="U273" s="54">
        <v>1</v>
      </c>
    </row>
    <row r="274" spans="1:21" s="3" customFormat="1" ht="18" customHeight="1">
      <c r="A274" s="8" t="s">
        <v>361</v>
      </c>
      <c r="B274" s="52">
        <v>0</v>
      </c>
      <c r="C274" s="52">
        <v>0</v>
      </c>
      <c r="D274" s="52">
        <v>0</v>
      </c>
      <c r="E274" s="52">
        <v>0</v>
      </c>
      <c r="F274" s="52">
        <v>0</v>
      </c>
      <c r="G274" s="52">
        <v>0</v>
      </c>
      <c r="H274" s="52">
        <v>0</v>
      </c>
      <c r="I274" s="52">
        <v>0</v>
      </c>
      <c r="J274" s="52">
        <v>0</v>
      </c>
      <c r="K274" s="52">
        <v>0</v>
      </c>
      <c r="L274" s="52">
        <v>0</v>
      </c>
      <c r="M274" s="52">
        <v>0</v>
      </c>
      <c r="N274" s="52">
        <v>0</v>
      </c>
      <c r="O274" s="52">
        <v>0</v>
      </c>
      <c r="P274" s="52">
        <v>0</v>
      </c>
      <c r="Q274" s="53">
        <v>0</v>
      </c>
      <c r="R274" s="52">
        <v>0</v>
      </c>
      <c r="S274" s="53">
        <v>0</v>
      </c>
      <c r="T274" s="52">
        <v>0</v>
      </c>
      <c r="U274" s="54">
        <v>0</v>
      </c>
    </row>
    <row r="275" spans="1:21" s="3" customFormat="1" ht="18" customHeight="1">
      <c r="A275" s="8" t="s">
        <v>362</v>
      </c>
      <c r="B275" s="52">
        <v>202</v>
      </c>
      <c r="C275" s="52">
        <v>50.5</v>
      </c>
      <c r="D275" s="52">
        <v>10.1</v>
      </c>
      <c r="E275" s="52">
        <v>141.39999</v>
      </c>
      <c r="F275" s="52">
        <v>0</v>
      </c>
      <c r="G275" s="52">
        <v>0</v>
      </c>
      <c r="H275" s="52">
        <v>0</v>
      </c>
      <c r="I275" s="52">
        <v>0</v>
      </c>
      <c r="J275" s="52">
        <v>0</v>
      </c>
      <c r="K275" s="52">
        <v>0</v>
      </c>
      <c r="L275" s="52">
        <v>0</v>
      </c>
      <c r="M275" s="52">
        <v>0</v>
      </c>
      <c r="N275" s="52">
        <v>0</v>
      </c>
      <c r="O275" s="52">
        <v>0</v>
      </c>
      <c r="P275" s="52">
        <v>0</v>
      </c>
      <c r="Q275" s="53">
        <v>0.28000000000000003</v>
      </c>
      <c r="R275" s="52">
        <v>2.2000000000000002</v>
      </c>
      <c r="S275" s="53">
        <v>4.0000020999999997E-2</v>
      </c>
      <c r="T275" s="52">
        <v>0.83333336999999996</v>
      </c>
      <c r="U275" s="54">
        <v>0</v>
      </c>
    </row>
    <row r="276" spans="1:21" s="3" customFormat="1" ht="18" customHeight="1">
      <c r="A276" s="8" t="s">
        <v>363</v>
      </c>
      <c r="B276" s="52">
        <v>240</v>
      </c>
      <c r="C276" s="52">
        <v>60</v>
      </c>
      <c r="D276" s="52">
        <v>12</v>
      </c>
      <c r="E276" s="52">
        <v>168</v>
      </c>
      <c r="F276" s="52">
        <v>0</v>
      </c>
      <c r="G276" s="52">
        <v>0</v>
      </c>
      <c r="H276" s="52">
        <v>0</v>
      </c>
      <c r="I276" s="52">
        <v>0</v>
      </c>
      <c r="J276" s="52">
        <v>0</v>
      </c>
      <c r="K276" s="52">
        <v>0</v>
      </c>
      <c r="L276" s="52">
        <v>0</v>
      </c>
      <c r="M276" s="52">
        <v>0</v>
      </c>
      <c r="N276" s="52">
        <v>0</v>
      </c>
      <c r="O276" s="52">
        <v>0</v>
      </c>
      <c r="P276" s="52">
        <v>0</v>
      </c>
      <c r="Q276" s="53">
        <v>0.31999999000000001</v>
      </c>
      <c r="R276" s="52">
        <v>2.4000001000000002</v>
      </c>
      <c r="S276" s="53">
        <v>0.19999998999999999</v>
      </c>
      <c r="T276" s="52">
        <v>1</v>
      </c>
      <c r="U276" s="54">
        <v>0</v>
      </c>
    </row>
    <row r="277" spans="1:21" s="3" customFormat="1" ht="18" customHeight="1">
      <c r="A277" s="8" t="s">
        <v>364</v>
      </c>
      <c r="B277" s="52">
        <v>160</v>
      </c>
      <c r="C277" s="52">
        <v>12.799999</v>
      </c>
      <c r="D277" s="52">
        <v>19.199998999999998</v>
      </c>
      <c r="E277" s="52">
        <v>128</v>
      </c>
      <c r="F277" s="52">
        <v>0</v>
      </c>
      <c r="G277" s="52">
        <v>0</v>
      </c>
      <c r="H277" s="52">
        <v>0</v>
      </c>
      <c r="I277" s="52">
        <v>0</v>
      </c>
      <c r="J277" s="52">
        <v>0</v>
      </c>
      <c r="K277" s="52">
        <v>0</v>
      </c>
      <c r="L277" s="52">
        <v>0</v>
      </c>
      <c r="M277" s="52">
        <v>0</v>
      </c>
      <c r="N277" s="52">
        <v>0</v>
      </c>
      <c r="O277" s="52">
        <v>0</v>
      </c>
      <c r="P277" s="52">
        <v>0</v>
      </c>
      <c r="Q277" s="53">
        <v>0.16</v>
      </c>
      <c r="R277" s="52">
        <v>2</v>
      </c>
      <c r="S277" s="53">
        <v>0.27999996999999999</v>
      </c>
      <c r="T277" s="52">
        <v>1.1666666999999999</v>
      </c>
      <c r="U277" s="54">
        <v>0</v>
      </c>
    </row>
    <row r="278" spans="1:21" s="3" customFormat="1" ht="18" customHeight="1">
      <c r="A278" s="8" t="s">
        <v>365</v>
      </c>
      <c r="B278" s="52">
        <v>225</v>
      </c>
      <c r="C278" s="52">
        <v>9</v>
      </c>
      <c r="D278" s="52">
        <v>13.5</v>
      </c>
      <c r="E278" s="52">
        <v>202.5</v>
      </c>
      <c r="F278" s="52">
        <v>0</v>
      </c>
      <c r="G278" s="52">
        <v>0</v>
      </c>
      <c r="H278" s="52">
        <v>0</v>
      </c>
      <c r="I278" s="52">
        <v>0</v>
      </c>
      <c r="J278" s="52">
        <v>0</v>
      </c>
      <c r="K278" s="52">
        <v>0</v>
      </c>
      <c r="L278" s="52">
        <v>0</v>
      </c>
      <c r="M278" s="52">
        <v>0</v>
      </c>
      <c r="N278" s="52">
        <v>0</v>
      </c>
      <c r="O278" s="52">
        <v>0</v>
      </c>
      <c r="P278" s="52">
        <v>0</v>
      </c>
      <c r="Q278" s="53">
        <v>0.2</v>
      </c>
      <c r="R278" s="52">
        <v>2</v>
      </c>
      <c r="S278" s="53">
        <v>0.34000003000000001</v>
      </c>
      <c r="T278" s="52">
        <v>1.1666666999999999</v>
      </c>
      <c r="U278" s="54">
        <v>0</v>
      </c>
    </row>
    <row r="279" spans="1:21" s="3" customFormat="1" ht="18" customHeight="1">
      <c r="A279" s="8" t="s">
        <v>366</v>
      </c>
      <c r="B279" s="52">
        <v>149</v>
      </c>
      <c r="C279" s="52">
        <v>14.900001</v>
      </c>
      <c r="D279" s="52">
        <v>119.2</v>
      </c>
      <c r="E279" s="52">
        <v>14.899995000000001</v>
      </c>
      <c r="F279" s="52">
        <v>0</v>
      </c>
      <c r="G279" s="52">
        <v>0</v>
      </c>
      <c r="H279" s="52">
        <v>0</v>
      </c>
      <c r="I279" s="52">
        <v>0</v>
      </c>
      <c r="J279" s="52">
        <v>0</v>
      </c>
      <c r="K279" s="52">
        <v>0</v>
      </c>
      <c r="L279" s="52">
        <v>0</v>
      </c>
      <c r="M279" s="52">
        <v>0</v>
      </c>
      <c r="N279" s="52">
        <v>0</v>
      </c>
      <c r="O279" s="52">
        <v>0</v>
      </c>
      <c r="P279" s="52">
        <v>0</v>
      </c>
      <c r="Q279" s="53">
        <v>0.17</v>
      </c>
      <c r="R279" s="52">
        <v>2</v>
      </c>
      <c r="S279" s="53">
        <v>0.28999996</v>
      </c>
      <c r="T279" s="52">
        <v>1.1666666999999999</v>
      </c>
      <c r="U279" s="54">
        <v>0</v>
      </c>
    </row>
    <row r="280" spans="1:21" s="3" customFormat="1" ht="18" customHeight="1">
      <c r="A280" s="8" t="s">
        <v>367</v>
      </c>
      <c r="B280" s="52">
        <v>225</v>
      </c>
      <c r="C280" s="52">
        <v>22.5</v>
      </c>
      <c r="D280" s="52">
        <v>180</v>
      </c>
      <c r="E280" s="52">
        <v>22.499991999999999</v>
      </c>
      <c r="F280" s="52">
        <v>0</v>
      </c>
      <c r="G280" s="52">
        <v>0</v>
      </c>
      <c r="H280" s="52">
        <v>0</v>
      </c>
      <c r="I280" s="52">
        <v>0</v>
      </c>
      <c r="J280" s="52">
        <v>0</v>
      </c>
      <c r="K280" s="52">
        <v>0</v>
      </c>
      <c r="L280" s="52">
        <v>0</v>
      </c>
      <c r="M280" s="52">
        <v>0</v>
      </c>
      <c r="N280" s="52">
        <v>0</v>
      </c>
      <c r="O280" s="52">
        <v>0</v>
      </c>
      <c r="P280" s="52">
        <v>0</v>
      </c>
      <c r="Q280" s="53">
        <v>0.19</v>
      </c>
      <c r="R280" s="52">
        <v>2.2999999999999998</v>
      </c>
      <c r="S280" s="53">
        <v>0.35000002000000002</v>
      </c>
      <c r="T280" s="52">
        <v>1.1666666999999999</v>
      </c>
      <c r="U280" s="54">
        <v>0</v>
      </c>
    </row>
    <row r="281" spans="1:21" s="3" customFormat="1" ht="18" customHeight="1">
      <c r="A281" s="8" t="s">
        <v>368</v>
      </c>
      <c r="B281" s="52">
        <v>240</v>
      </c>
      <c r="C281" s="52">
        <v>0</v>
      </c>
      <c r="D281" s="52">
        <v>168</v>
      </c>
      <c r="E281" s="52">
        <v>72</v>
      </c>
      <c r="F281" s="52">
        <v>0</v>
      </c>
      <c r="G281" s="52">
        <v>0</v>
      </c>
      <c r="H281" s="52">
        <v>0</v>
      </c>
      <c r="I281" s="52">
        <v>0</v>
      </c>
      <c r="J281" s="52">
        <v>0</v>
      </c>
      <c r="K281" s="52">
        <v>0</v>
      </c>
      <c r="L281" s="52">
        <v>0</v>
      </c>
      <c r="M281" s="52">
        <v>0</v>
      </c>
      <c r="N281" s="52">
        <v>0</v>
      </c>
      <c r="O281" s="52">
        <v>0</v>
      </c>
      <c r="P281" s="52">
        <v>0</v>
      </c>
      <c r="Q281" s="53">
        <v>0.2</v>
      </c>
      <c r="R281" s="52">
        <v>2.2000000000000002</v>
      </c>
      <c r="S281" s="53">
        <v>0.36000000999999998</v>
      </c>
      <c r="T281" s="52">
        <v>1.0833333999999999</v>
      </c>
      <c r="U281" s="54">
        <v>0</v>
      </c>
    </row>
    <row r="282" spans="1:21" s="3" customFormat="1" ht="18" customHeight="1">
      <c r="A282" s="8" t="s">
        <v>369</v>
      </c>
      <c r="B282" s="52">
        <v>50</v>
      </c>
      <c r="C282" s="52">
        <v>5</v>
      </c>
      <c r="D282" s="52">
        <v>37.5</v>
      </c>
      <c r="E282" s="52">
        <v>7.4999989999999999</v>
      </c>
      <c r="F282" s="52">
        <v>0</v>
      </c>
      <c r="G282" s="52">
        <v>0</v>
      </c>
      <c r="H282" s="52">
        <v>0</v>
      </c>
      <c r="I282" s="52">
        <v>0</v>
      </c>
      <c r="J282" s="52">
        <v>0</v>
      </c>
      <c r="K282" s="52">
        <v>0</v>
      </c>
      <c r="L282" s="52">
        <v>0</v>
      </c>
      <c r="M282" s="52">
        <v>0</v>
      </c>
      <c r="N282" s="52">
        <v>0</v>
      </c>
      <c r="O282" s="52">
        <v>0</v>
      </c>
      <c r="P282" s="52">
        <v>0</v>
      </c>
      <c r="Q282" s="53">
        <v>0.2</v>
      </c>
      <c r="R282" s="52">
        <v>2.2999999999999998</v>
      </c>
      <c r="S282" s="53">
        <v>0.17000002</v>
      </c>
      <c r="T282" s="52">
        <v>6</v>
      </c>
      <c r="U282" s="54">
        <v>1</v>
      </c>
    </row>
    <row r="283" spans="1:21" s="3" customFormat="1" ht="18" customHeight="1">
      <c r="A283" s="8" t="s">
        <v>370</v>
      </c>
      <c r="B283" s="52">
        <v>0</v>
      </c>
      <c r="C283" s="52">
        <v>0</v>
      </c>
      <c r="D283" s="52">
        <v>0</v>
      </c>
      <c r="E283" s="52">
        <v>0</v>
      </c>
      <c r="F283" s="52">
        <v>0</v>
      </c>
      <c r="G283" s="52">
        <v>0</v>
      </c>
      <c r="H283" s="52">
        <v>0</v>
      </c>
      <c r="I283" s="52">
        <v>0</v>
      </c>
      <c r="J283" s="52">
        <v>0</v>
      </c>
      <c r="K283" s="52">
        <v>0</v>
      </c>
      <c r="L283" s="52">
        <v>0</v>
      </c>
      <c r="M283" s="52">
        <v>0</v>
      </c>
      <c r="N283" s="52">
        <v>0</v>
      </c>
      <c r="O283" s="52">
        <v>0</v>
      </c>
      <c r="P283" s="52">
        <v>0</v>
      </c>
      <c r="Q283" s="53">
        <v>0</v>
      </c>
      <c r="R283" s="52">
        <v>0</v>
      </c>
      <c r="S283" s="53">
        <v>0</v>
      </c>
      <c r="T283" s="52">
        <v>0</v>
      </c>
      <c r="U283" s="54">
        <v>0</v>
      </c>
    </row>
    <row r="284" spans="1:21" s="3" customFormat="1" ht="18" customHeight="1">
      <c r="A284" s="8" t="s">
        <v>371</v>
      </c>
      <c r="B284" s="52">
        <v>230</v>
      </c>
      <c r="C284" s="52">
        <v>34.5</v>
      </c>
      <c r="D284" s="52">
        <v>34.5</v>
      </c>
      <c r="E284" s="52">
        <v>161</v>
      </c>
      <c r="F284" s="52">
        <v>0</v>
      </c>
      <c r="G284" s="52">
        <v>0</v>
      </c>
      <c r="H284" s="52">
        <v>0</v>
      </c>
      <c r="I284" s="52">
        <v>0</v>
      </c>
      <c r="J284" s="52">
        <v>0</v>
      </c>
      <c r="K284" s="52">
        <v>0</v>
      </c>
      <c r="L284" s="52">
        <v>0</v>
      </c>
      <c r="M284" s="52">
        <v>0</v>
      </c>
      <c r="N284" s="52">
        <v>0</v>
      </c>
      <c r="O284" s="52">
        <v>0</v>
      </c>
      <c r="P284" s="52">
        <v>0</v>
      </c>
      <c r="Q284" s="53">
        <v>0.30000000999999998</v>
      </c>
      <c r="R284" s="52">
        <v>2.5</v>
      </c>
      <c r="S284" s="53">
        <v>0.19999998999999999</v>
      </c>
      <c r="T284" s="52">
        <v>0.91666669000000001</v>
      </c>
      <c r="U284" s="54">
        <v>0</v>
      </c>
    </row>
    <row r="285" spans="1:21" s="3" customFormat="1" ht="18" customHeight="1">
      <c r="A285" s="8" t="s">
        <v>372</v>
      </c>
      <c r="B285" s="52">
        <v>0</v>
      </c>
      <c r="C285" s="52">
        <v>0</v>
      </c>
      <c r="D285" s="52">
        <v>0</v>
      </c>
      <c r="E285" s="52">
        <v>0</v>
      </c>
      <c r="F285" s="52">
        <v>0</v>
      </c>
      <c r="G285" s="52">
        <v>0</v>
      </c>
      <c r="H285" s="52">
        <v>0</v>
      </c>
      <c r="I285" s="52">
        <v>0</v>
      </c>
      <c r="J285" s="52">
        <v>0</v>
      </c>
      <c r="K285" s="52">
        <v>0</v>
      </c>
      <c r="L285" s="52">
        <v>0</v>
      </c>
      <c r="M285" s="52">
        <v>0</v>
      </c>
      <c r="N285" s="52">
        <v>0</v>
      </c>
      <c r="O285" s="52">
        <v>0</v>
      </c>
      <c r="P285" s="52">
        <v>0</v>
      </c>
      <c r="Q285" s="53">
        <v>0</v>
      </c>
      <c r="R285" s="52">
        <v>0</v>
      </c>
      <c r="S285" s="53">
        <v>0</v>
      </c>
      <c r="T285" s="52">
        <v>0</v>
      </c>
      <c r="U285" s="54">
        <v>0</v>
      </c>
    </row>
    <row r="286" spans="1:21" s="3" customFormat="1" ht="18" customHeight="1">
      <c r="A286" s="8" t="s">
        <v>373</v>
      </c>
      <c r="B286" s="52">
        <v>208</v>
      </c>
      <c r="C286" s="52">
        <v>14.000000999999999</v>
      </c>
      <c r="D286" s="52">
        <v>76</v>
      </c>
      <c r="E286" s="52">
        <v>56.000003999999997</v>
      </c>
      <c r="F286" s="52">
        <v>62</v>
      </c>
      <c r="G286" s="52">
        <v>0</v>
      </c>
      <c r="H286" s="52">
        <v>0</v>
      </c>
      <c r="I286" s="52">
        <v>0</v>
      </c>
      <c r="J286" s="52">
        <v>0</v>
      </c>
      <c r="K286" s="52">
        <v>0</v>
      </c>
      <c r="L286" s="52">
        <v>0</v>
      </c>
      <c r="M286" s="52">
        <v>0</v>
      </c>
      <c r="N286" s="52">
        <v>0</v>
      </c>
      <c r="O286" s="52">
        <v>0</v>
      </c>
      <c r="P286" s="52">
        <v>0</v>
      </c>
      <c r="Q286" s="53">
        <v>0.14000000000000001</v>
      </c>
      <c r="R286" s="52">
        <v>1.6</v>
      </c>
      <c r="S286" s="53">
        <v>0.13999998999999999</v>
      </c>
      <c r="T286" s="52">
        <v>0.75000005999999997</v>
      </c>
      <c r="U286" s="54">
        <v>0</v>
      </c>
    </row>
    <row r="287" spans="1:21" s="3" customFormat="1" ht="18" customHeight="1">
      <c r="A287" s="8" t="s">
        <v>374</v>
      </c>
      <c r="B287" s="52">
        <v>147</v>
      </c>
      <c r="C287" s="52">
        <v>14.7</v>
      </c>
      <c r="D287" s="52">
        <v>14.7</v>
      </c>
      <c r="E287" s="52">
        <v>117.6</v>
      </c>
      <c r="F287" s="52">
        <v>0</v>
      </c>
      <c r="G287" s="52">
        <v>0</v>
      </c>
      <c r="H287" s="52">
        <v>0</v>
      </c>
      <c r="I287" s="52">
        <v>0</v>
      </c>
      <c r="J287" s="52">
        <v>0</v>
      </c>
      <c r="K287" s="52">
        <v>0</v>
      </c>
      <c r="L287" s="52">
        <v>0</v>
      </c>
      <c r="M287" s="52">
        <v>0</v>
      </c>
      <c r="N287" s="52">
        <v>0</v>
      </c>
      <c r="O287" s="52">
        <v>0</v>
      </c>
      <c r="P287" s="52">
        <v>0</v>
      </c>
      <c r="Q287" s="53">
        <v>5.0000001000000002E-2</v>
      </c>
      <c r="R287" s="52">
        <v>1.5</v>
      </c>
      <c r="S287" s="53">
        <v>0.19999998999999999</v>
      </c>
      <c r="T287" s="52">
        <v>0.91666669000000001</v>
      </c>
      <c r="U287" s="54">
        <v>0</v>
      </c>
    </row>
    <row r="288" spans="1:21" s="3" customFormat="1" ht="18" customHeight="1">
      <c r="A288" s="8" t="s">
        <v>375</v>
      </c>
      <c r="B288" s="52">
        <v>0</v>
      </c>
      <c r="C288" s="52">
        <v>0</v>
      </c>
      <c r="D288" s="52">
        <v>0</v>
      </c>
      <c r="E288" s="52">
        <v>0</v>
      </c>
      <c r="F288" s="52">
        <v>0</v>
      </c>
      <c r="G288" s="52">
        <v>0</v>
      </c>
      <c r="H288" s="52">
        <v>0</v>
      </c>
      <c r="I288" s="52">
        <v>0</v>
      </c>
      <c r="J288" s="52">
        <v>0</v>
      </c>
      <c r="K288" s="52">
        <v>0</v>
      </c>
      <c r="L288" s="52">
        <v>0</v>
      </c>
      <c r="M288" s="52">
        <v>0</v>
      </c>
      <c r="N288" s="52">
        <v>0</v>
      </c>
      <c r="O288" s="52">
        <v>0</v>
      </c>
      <c r="P288" s="52">
        <v>0</v>
      </c>
      <c r="Q288" s="53">
        <v>0</v>
      </c>
      <c r="R288" s="52">
        <v>0</v>
      </c>
      <c r="S288" s="53">
        <v>0</v>
      </c>
      <c r="T288" s="52">
        <v>0</v>
      </c>
      <c r="U288" s="54">
        <v>0</v>
      </c>
    </row>
    <row r="289" spans="1:21" s="3" customFormat="1" ht="18" customHeight="1">
      <c r="A289" s="8" t="s">
        <v>376</v>
      </c>
      <c r="B289" s="52">
        <v>75</v>
      </c>
      <c r="C289" s="52">
        <v>11.25</v>
      </c>
      <c r="D289" s="52">
        <v>48.75</v>
      </c>
      <c r="E289" s="52">
        <v>15.000004000000001</v>
      </c>
      <c r="F289" s="52">
        <v>0</v>
      </c>
      <c r="G289" s="52">
        <v>0</v>
      </c>
      <c r="H289" s="52">
        <v>0</v>
      </c>
      <c r="I289" s="52">
        <v>0</v>
      </c>
      <c r="J289" s="52">
        <v>0</v>
      </c>
      <c r="K289" s="52">
        <v>0</v>
      </c>
      <c r="L289" s="52">
        <v>0</v>
      </c>
      <c r="M289" s="52">
        <v>0</v>
      </c>
      <c r="N289" s="52">
        <v>0</v>
      </c>
      <c r="O289" s="52">
        <v>0</v>
      </c>
      <c r="P289" s="52">
        <v>0</v>
      </c>
      <c r="Q289" s="53">
        <v>0.1</v>
      </c>
      <c r="R289" s="52">
        <v>2</v>
      </c>
      <c r="S289" s="53">
        <v>0.10714287</v>
      </c>
      <c r="T289" s="52">
        <v>2.1666666999999999</v>
      </c>
      <c r="U289" s="54">
        <v>7</v>
      </c>
    </row>
    <row r="290" spans="1:21" s="3" customFormat="1" ht="18" customHeight="1">
      <c r="A290" s="8" t="s">
        <v>377</v>
      </c>
      <c r="B290" s="52">
        <v>280</v>
      </c>
      <c r="C290" s="52">
        <v>238</v>
      </c>
      <c r="D290" s="52">
        <v>28</v>
      </c>
      <c r="E290" s="52">
        <v>13.999987000000001</v>
      </c>
      <c r="F290" s="52">
        <v>0</v>
      </c>
      <c r="G290" s="52">
        <v>0</v>
      </c>
      <c r="H290" s="52">
        <v>0</v>
      </c>
      <c r="I290" s="52">
        <v>0</v>
      </c>
      <c r="J290" s="52">
        <v>0</v>
      </c>
      <c r="K290" s="52">
        <v>0</v>
      </c>
      <c r="L290" s="52">
        <v>0</v>
      </c>
      <c r="M290" s="52">
        <v>0</v>
      </c>
      <c r="N290" s="52">
        <v>0</v>
      </c>
      <c r="O290" s="52">
        <v>0</v>
      </c>
      <c r="P290" s="52">
        <v>0</v>
      </c>
      <c r="Q290" s="53">
        <v>0.38</v>
      </c>
      <c r="R290" s="52">
        <v>2</v>
      </c>
      <c r="S290" s="53">
        <v>0.12</v>
      </c>
      <c r="T290" s="52">
        <v>0.83333336999999996</v>
      </c>
      <c r="U290" s="54">
        <v>0</v>
      </c>
    </row>
    <row r="291" spans="1:21" s="3" customFormat="1" ht="18" customHeight="1">
      <c r="A291" s="8" t="s">
        <v>378</v>
      </c>
      <c r="B291" s="52">
        <v>13.999998</v>
      </c>
      <c r="C291" s="52">
        <v>7.0333328000000002</v>
      </c>
      <c r="D291" s="52">
        <v>4.0499996999999999</v>
      </c>
      <c r="E291" s="52">
        <v>0</v>
      </c>
      <c r="F291" s="52">
        <v>2.9166664999999998</v>
      </c>
      <c r="G291" s="52">
        <v>0</v>
      </c>
      <c r="H291" s="52">
        <v>0</v>
      </c>
      <c r="I291" s="52">
        <v>0</v>
      </c>
      <c r="J291" s="52">
        <v>0</v>
      </c>
      <c r="K291" s="52">
        <v>0</v>
      </c>
      <c r="L291" s="52">
        <v>0</v>
      </c>
      <c r="M291" s="52">
        <v>0</v>
      </c>
      <c r="N291" s="52">
        <v>0</v>
      </c>
      <c r="O291" s="52">
        <v>0</v>
      </c>
      <c r="P291" s="52">
        <v>0</v>
      </c>
      <c r="Q291" s="53">
        <v>5.0000001000000002E-2</v>
      </c>
      <c r="R291" s="52">
        <v>1.5</v>
      </c>
      <c r="S291" s="53">
        <v>0.30000000999999998</v>
      </c>
      <c r="T291" s="52">
        <v>0.90909088000000005</v>
      </c>
      <c r="U291" s="54">
        <v>1</v>
      </c>
    </row>
    <row r="292" spans="1:21" s="3" customFormat="1" ht="18" customHeight="1">
      <c r="A292" s="8" t="s">
        <v>379</v>
      </c>
      <c r="B292" s="52">
        <v>47</v>
      </c>
      <c r="C292" s="52">
        <v>0</v>
      </c>
      <c r="D292" s="52">
        <v>0</v>
      </c>
      <c r="E292" s="52">
        <v>0</v>
      </c>
      <c r="F292" s="52">
        <v>0</v>
      </c>
      <c r="G292" s="52">
        <v>0</v>
      </c>
      <c r="H292" s="52">
        <v>0</v>
      </c>
      <c r="I292" s="52">
        <v>0</v>
      </c>
      <c r="J292" s="52">
        <v>0</v>
      </c>
      <c r="K292" s="52">
        <v>0</v>
      </c>
      <c r="L292" s="52">
        <v>0</v>
      </c>
      <c r="M292" s="52">
        <v>0</v>
      </c>
      <c r="N292" s="52">
        <v>47</v>
      </c>
      <c r="O292" s="52">
        <v>0</v>
      </c>
      <c r="P292" s="52">
        <v>0</v>
      </c>
      <c r="Q292" s="53">
        <v>0.11</v>
      </c>
      <c r="R292" s="52">
        <v>2</v>
      </c>
      <c r="S292" s="53">
        <v>0.25</v>
      </c>
      <c r="T292" s="52">
        <v>6</v>
      </c>
      <c r="U292" s="54">
        <v>1</v>
      </c>
    </row>
    <row r="293" spans="1:21" s="3" customFormat="1" ht="18" customHeight="1">
      <c r="A293" s="8" t="s">
        <v>380</v>
      </c>
      <c r="B293" s="52">
        <v>280</v>
      </c>
      <c r="C293" s="52">
        <v>112</v>
      </c>
      <c r="D293" s="52">
        <v>33.599997999999999</v>
      </c>
      <c r="E293" s="52">
        <v>134.40001000000001</v>
      </c>
      <c r="F293" s="52">
        <v>0</v>
      </c>
      <c r="G293" s="52">
        <v>0</v>
      </c>
      <c r="H293" s="52">
        <v>0</v>
      </c>
      <c r="I293" s="52">
        <v>0</v>
      </c>
      <c r="J293" s="52">
        <v>0</v>
      </c>
      <c r="K293" s="52">
        <v>0</v>
      </c>
      <c r="L293" s="52">
        <v>0</v>
      </c>
      <c r="M293" s="52">
        <v>0</v>
      </c>
      <c r="N293" s="52">
        <v>0</v>
      </c>
      <c r="O293" s="52">
        <v>0</v>
      </c>
      <c r="P293" s="52">
        <v>0</v>
      </c>
      <c r="Q293" s="53">
        <v>0.23999999</v>
      </c>
      <c r="R293" s="52">
        <v>2.2000000000000002</v>
      </c>
      <c r="S293" s="53">
        <v>0.27999996999999999</v>
      </c>
      <c r="T293" s="52">
        <v>1</v>
      </c>
      <c r="U293" s="54">
        <v>0</v>
      </c>
    </row>
    <row r="294" spans="1:21" s="3" customFormat="1" ht="18" customHeight="1">
      <c r="A294" s="8" t="s">
        <v>381</v>
      </c>
      <c r="B294" s="52">
        <v>0</v>
      </c>
      <c r="C294" s="52">
        <v>0</v>
      </c>
      <c r="D294" s="52">
        <v>0</v>
      </c>
      <c r="E294" s="52">
        <v>0</v>
      </c>
      <c r="F294" s="52">
        <v>0</v>
      </c>
      <c r="G294" s="52">
        <v>0</v>
      </c>
      <c r="H294" s="52">
        <v>0</v>
      </c>
      <c r="I294" s="52">
        <v>0</v>
      </c>
      <c r="J294" s="52">
        <v>0</v>
      </c>
      <c r="K294" s="52">
        <v>0</v>
      </c>
      <c r="L294" s="52">
        <v>0</v>
      </c>
      <c r="M294" s="52">
        <v>0</v>
      </c>
      <c r="N294" s="52">
        <v>0</v>
      </c>
      <c r="O294" s="52">
        <v>0</v>
      </c>
      <c r="P294" s="52">
        <v>0</v>
      </c>
      <c r="Q294" s="53">
        <v>0</v>
      </c>
      <c r="R294" s="52">
        <v>0</v>
      </c>
      <c r="S294" s="53">
        <v>0</v>
      </c>
      <c r="T294" s="52">
        <v>0</v>
      </c>
      <c r="U294" s="54">
        <v>0</v>
      </c>
    </row>
    <row r="295" spans="1:21" s="3" customFormat="1" ht="18" customHeight="1">
      <c r="A295" s="8" t="s">
        <v>382</v>
      </c>
      <c r="B295" s="52">
        <v>0</v>
      </c>
      <c r="C295" s="52">
        <v>0</v>
      </c>
      <c r="D295" s="52">
        <v>0</v>
      </c>
      <c r="E295" s="52">
        <v>0</v>
      </c>
      <c r="F295" s="52">
        <v>0</v>
      </c>
      <c r="G295" s="52">
        <v>0</v>
      </c>
      <c r="H295" s="52">
        <v>0</v>
      </c>
      <c r="I295" s="52">
        <v>0</v>
      </c>
      <c r="J295" s="52">
        <v>0</v>
      </c>
      <c r="K295" s="52">
        <v>0</v>
      </c>
      <c r="L295" s="52">
        <v>0</v>
      </c>
      <c r="M295" s="52">
        <v>0</v>
      </c>
      <c r="N295" s="52">
        <v>0</v>
      </c>
      <c r="O295" s="52">
        <v>0</v>
      </c>
      <c r="P295" s="52">
        <v>0</v>
      </c>
      <c r="Q295" s="53">
        <v>0</v>
      </c>
      <c r="R295" s="52">
        <v>0</v>
      </c>
      <c r="S295" s="53">
        <v>0</v>
      </c>
      <c r="T295" s="52">
        <v>0</v>
      </c>
      <c r="U295" s="54">
        <v>0</v>
      </c>
    </row>
    <row r="296" spans="1:21" s="3" customFormat="1" ht="18" customHeight="1">
      <c r="A296" s="8" t="s">
        <v>383</v>
      </c>
      <c r="B296" s="52">
        <v>26</v>
      </c>
      <c r="C296" s="52">
        <v>2.6000000999999999</v>
      </c>
      <c r="D296" s="52">
        <v>15.6</v>
      </c>
      <c r="E296" s="52">
        <v>7.7999988</v>
      </c>
      <c r="F296" s="52">
        <v>0</v>
      </c>
      <c r="G296" s="52">
        <v>0</v>
      </c>
      <c r="H296" s="52">
        <v>0</v>
      </c>
      <c r="I296" s="52">
        <v>0</v>
      </c>
      <c r="J296" s="52">
        <v>0</v>
      </c>
      <c r="K296" s="52">
        <v>0</v>
      </c>
      <c r="L296" s="52">
        <v>0</v>
      </c>
      <c r="M296" s="52">
        <v>0</v>
      </c>
      <c r="N296" s="52">
        <v>0</v>
      </c>
      <c r="O296" s="52">
        <v>0</v>
      </c>
      <c r="P296" s="52">
        <v>0</v>
      </c>
      <c r="Q296" s="53">
        <v>3.9999999000000001E-2</v>
      </c>
      <c r="R296" s="52">
        <v>1.6</v>
      </c>
      <c r="S296" s="53">
        <v>0.10000002</v>
      </c>
      <c r="T296" s="52">
        <v>6.6666670000000003</v>
      </c>
      <c r="U296" s="54">
        <v>1</v>
      </c>
    </row>
    <row r="297" spans="1:21" s="3" customFormat="1" ht="18" customHeight="1">
      <c r="A297" s="8" t="s">
        <v>384</v>
      </c>
      <c r="B297" s="52">
        <v>36</v>
      </c>
      <c r="C297" s="52">
        <v>3.6000000999999999</v>
      </c>
      <c r="D297" s="52">
        <v>30.6</v>
      </c>
      <c r="E297" s="52">
        <v>1.7999982999999999</v>
      </c>
      <c r="F297" s="52">
        <v>0</v>
      </c>
      <c r="G297" s="52">
        <v>0</v>
      </c>
      <c r="H297" s="52">
        <v>0</v>
      </c>
      <c r="I297" s="52">
        <v>0</v>
      </c>
      <c r="J297" s="52">
        <v>0</v>
      </c>
      <c r="K297" s="52">
        <v>0</v>
      </c>
      <c r="L297" s="52">
        <v>0</v>
      </c>
      <c r="M297" s="52">
        <v>0</v>
      </c>
      <c r="N297" s="52">
        <v>0</v>
      </c>
      <c r="O297" s="52">
        <v>0</v>
      </c>
      <c r="P297" s="52">
        <v>0</v>
      </c>
      <c r="Q297" s="53">
        <v>5.9999998999999998E-2</v>
      </c>
      <c r="R297" s="52">
        <v>1.8</v>
      </c>
      <c r="S297" s="53">
        <v>0.27999996999999999</v>
      </c>
      <c r="T297" s="52">
        <v>5.8333335000000002</v>
      </c>
      <c r="U297" s="54">
        <v>1</v>
      </c>
    </row>
    <row r="298" spans="1:21" s="3" customFormat="1" ht="18" customHeight="1">
      <c r="A298" s="8" t="s">
        <v>385</v>
      </c>
      <c r="B298" s="52">
        <v>30</v>
      </c>
      <c r="C298" s="52">
        <v>7.5</v>
      </c>
      <c r="D298" s="52">
        <v>7.5</v>
      </c>
      <c r="E298" s="52">
        <v>15</v>
      </c>
      <c r="F298" s="52">
        <v>0</v>
      </c>
      <c r="G298" s="52">
        <v>0</v>
      </c>
      <c r="H298" s="52">
        <v>0</v>
      </c>
      <c r="I298" s="52">
        <v>0</v>
      </c>
      <c r="J298" s="52">
        <v>0</v>
      </c>
      <c r="K298" s="52">
        <v>0</v>
      </c>
      <c r="L298" s="52">
        <v>0</v>
      </c>
      <c r="M298" s="52">
        <v>0</v>
      </c>
      <c r="N298" s="52">
        <v>0</v>
      </c>
      <c r="O298" s="52">
        <v>0</v>
      </c>
      <c r="P298" s="52">
        <v>0</v>
      </c>
      <c r="Q298" s="53">
        <v>7.0000000000000007E-2</v>
      </c>
      <c r="R298" s="52">
        <v>1.5</v>
      </c>
      <c r="S298" s="53">
        <v>0.14999998</v>
      </c>
      <c r="T298" s="52">
        <v>6.2500004999999996</v>
      </c>
      <c r="U298" s="54">
        <v>1</v>
      </c>
    </row>
    <row r="299" spans="1:21" s="3" customFormat="1" ht="18" customHeight="1">
      <c r="A299" s="8" t="s">
        <v>386</v>
      </c>
      <c r="B299" s="52">
        <v>0</v>
      </c>
      <c r="C299" s="52">
        <v>0</v>
      </c>
      <c r="D299" s="52">
        <v>0</v>
      </c>
      <c r="E299" s="52">
        <v>0</v>
      </c>
      <c r="F299" s="52">
        <v>0</v>
      </c>
      <c r="G299" s="52">
        <v>0</v>
      </c>
      <c r="H299" s="52">
        <v>0</v>
      </c>
      <c r="I299" s="52">
        <v>0</v>
      </c>
      <c r="J299" s="52">
        <v>0</v>
      </c>
      <c r="K299" s="52">
        <v>0</v>
      </c>
      <c r="L299" s="52">
        <v>0</v>
      </c>
      <c r="M299" s="52">
        <v>0</v>
      </c>
      <c r="N299" s="52">
        <v>0</v>
      </c>
      <c r="O299" s="52">
        <v>0</v>
      </c>
      <c r="P299" s="52">
        <v>0</v>
      </c>
      <c r="Q299" s="53">
        <v>0</v>
      </c>
      <c r="R299" s="52">
        <v>0</v>
      </c>
      <c r="S299" s="53">
        <v>0</v>
      </c>
      <c r="T299" s="52">
        <v>0</v>
      </c>
      <c r="U299" s="54">
        <v>0</v>
      </c>
    </row>
    <row r="300" spans="1:21" s="3" customFormat="1" ht="18" customHeight="1">
      <c r="A300" s="8" t="s">
        <v>387</v>
      </c>
      <c r="B300" s="52">
        <v>130</v>
      </c>
      <c r="C300" s="52">
        <v>19.5</v>
      </c>
      <c r="D300" s="52">
        <v>104</v>
      </c>
      <c r="E300" s="52">
        <v>6.4999938000000004</v>
      </c>
      <c r="F300" s="52">
        <v>0</v>
      </c>
      <c r="G300" s="52">
        <v>0</v>
      </c>
      <c r="H300" s="52">
        <v>0</v>
      </c>
      <c r="I300" s="52">
        <v>0</v>
      </c>
      <c r="J300" s="52">
        <v>0</v>
      </c>
      <c r="K300" s="52">
        <v>0</v>
      </c>
      <c r="L300" s="52">
        <v>0</v>
      </c>
      <c r="M300" s="52">
        <v>0</v>
      </c>
      <c r="N300" s="52">
        <v>0</v>
      </c>
      <c r="O300" s="52">
        <v>0</v>
      </c>
      <c r="P300" s="52">
        <v>0</v>
      </c>
      <c r="Q300" s="53">
        <v>0.30000000999999998</v>
      </c>
      <c r="R300" s="52">
        <v>3</v>
      </c>
      <c r="S300" s="53">
        <v>0.11000001</v>
      </c>
      <c r="T300" s="52">
        <v>1</v>
      </c>
      <c r="U300" s="54">
        <v>0</v>
      </c>
    </row>
    <row r="301" spans="1:21" s="3" customFormat="1" ht="18" customHeight="1">
      <c r="A301" s="8" t="s">
        <v>388</v>
      </c>
      <c r="B301" s="52">
        <v>0</v>
      </c>
      <c r="C301" s="52">
        <v>0</v>
      </c>
      <c r="D301" s="52">
        <v>0</v>
      </c>
      <c r="E301" s="52">
        <v>0</v>
      </c>
      <c r="F301" s="52">
        <v>0</v>
      </c>
      <c r="G301" s="52">
        <v>0</v>
      </c>
      <c r="H301" s="52">
        <v>0</v>
      </c>
      <c r="I301" s="52">
        <v>0</v>
      </c>
      <c r="J301" s="52">
        <v>0</v>
      </c>
      <c r="K301" s="52">
        <v>0</v>
      </c>
      <c r="L301" s="52">
        <v>0</v>
      </c>
      <c r="M301" s="52">
        <v>0</v>
      </c>
      <c r="N301" s="52">
        <v>0</v>
      </c>
      <c r="O301" s="52">
        <v>0</v>
      </c>
      <c r="P301" s="52">
        <v>0</v>
      </c>
      <c r="Q301" s="53">
        <v>0</v>
      </c>
      <c r="R301" s="52">
        <v>0</v>
      </c>
      <c r="S301" s="53">
        <v>0</v>
      </c>
      <c r="T301" s="52">
        <v>0</v>
      </c>
      <c r="U301" s="54">
        <v>0</v>
      </c>
    </row>
    <row r="302" spans="1:21" s="3" customFormat="1" ht="18" customHeight="1">
      <c r="A302" s="8" t="s">
        <v>389</v>
      </c>
      <c r="B302" s="52">
        <v>0</v>
      </c>
      <c r="C302" s="52">
        <v>0</v>
      </c>
      <c r="D302" s="52">
        <v>0</v>
      </c>
      <c r="E302" s="52">
        <v>0</v>
      </c>
      <c r="F302" s="52">
        <v>0</v>
      </c>
      <c r="G302" s="52">
        <v>0</v>
      </c>
      <c r="H302" s="52">
        <v>0</v>
      </c>
      <c r="I302" s="52">
        <v>0</v>
      </c>
      <c r="J302" s="52">
        <v>0</v>
      </c>
      <c r="K302" s="52">
        <v>0</v>
      </c>
      <c r="L302" s="52">
        <v>0</v>
      </c>
      <c r="M302" s="52">
        <v>0</v>
      </c>
      <c r="N302" s="52">
        <v>0</v>
      </c>
      <c r="O302" s="52">
        <v>0</v>
      </c>
      <c r="P302" s="52">
        <v>0</v>
      </c>
      <c r="Q302" s="53">
        <v>0</v>
      </c>
      <c r="R302" s="52">
        <v>0</v>
      </c>
      <c r="S302" s="53">
        <v>0</v>
      </c>
      <c r="T302" s="52">
        <v>0</v>
      </c>
      <c r="U302" s="54">
        <v>0</v>
      </c>
    </row>
    <row r="303" spans="1:21" s="3" customFormat="1" ht="18" customHeight="1">
      <c r="A303" s="8" t="s">
        <v>390</v>
      </c>
      <c r="B303" s="52">
        <v>36.000003999999997</v>
      </c>
      <c r="C303" s="52">
        <v>2.1599998</v>
      </c>
      <c r="D303" s="52">
        <v>30.960000999999998</v>
      </c>
      <c r="E303" s="52">
        <v>2.8799994</v>
      </c>
      <c r="F303" s="52">
        <v>0</v>
      </c>
      <c r="G303" s="52">
        <v>0</v>
      </c>
      <c r="H303" s="52">
        <v>0</v>
      </c>
      <c r="I303" s="52">
        <v>0</v>
      </c>
      <c r="J303" s="52">
        <v>0</v>
      </c>
      <c r="K303" s="52">
        <v>0</v>
      </c>
      <c r="L303" s="52">
        <v>0</v>
      </c>
      <c r="M303" s="52">
        <v>0</v>
      </c>
      <c r="N303" s="52">
        <v>0</v>
      </c>
      <c r="O303" s="52">
        <v>0</v>
      </c>
      <c r="P303" s="52">
        <v>0</v>
      </c>
      <c r="Q303" s="53">
        <v>0.23999999</v>
      </c>
      <c r="R303" s="52">
        <v>2.2000000000000002</v>
      </c>
      <c r="S303" s="53">
        <v>0.10000002</v>
      </c>
      <c r="T303" s="52">
        <v>7.0000004999999996</v>
      </c>
      <c r="U303" s="54">
        <v>1</v>
      </c>
    </row>
    <row r="304" spans="1:21" s="3" customFormat="1" ht="18" customHeight="1">
      <c r="A304" s="8" t="s">
        <v>391</v>
      </c>
      <c r="B304" s="52">
        <v>46</v>
      </c>
      <c r="C304" s="52">
        <v>2.76</v>
      </c>
      <c r="D304" s="52">
        <v>39.560001</v>
      </c>
      <c r="E304" s="52">
        <v>3.6799993999999998</v>
      </c>
      <c r="F304" s="52">
        <v>0</v>
      </c>
      <c r="G304" s="52">
        <v>0</v>
      </c>
      <c r="H304" s="52">
        <v>0</v>
      </c>
      <c r="I304" s="52">
        <v>0</v>
      </c>
      <c r="J304" s="52">
        <v>0</v>
      </c>
      <c r="K304" s="52">
        <v>0</v>
      </c>
      <c r="L304" s="52">
        <v>0</v>
      </c>
      <c r="M304" s="52">
        <v>0</v>
      </c>
      <c r="N304" s="52">
        <v>0</v>
      </c>
      <c r="O304" s="52">
        <v>0</v>
      </c>
      <c r="P304" s="52">
        <v>0</v>
      </c>
      <c r="Q304" s="53">
        <v>0.28000000000000003</v>
      </c>
      <c r="R304" s="52">
        <v>2.2000000000000002</v>
      </c>
      <c r="S304" s="53">
        <v>0.19999998999999999</v>
      </c>
      <c r="T304" s="52">
        <v>7.0000004999999996</v>
      </c>
      <c r="U304" s="54">
        <v>1</v>
      </c>
    </row>
    <row r="305" spans="1:21" s="3" customFormat="1" ht="18" customHeight="1">
      <c r="A305" s="8" t="s">
        <v>392</v>
      </c>
      <c r="B305" s="52">
        <v>0</v>
      </c>
      <c r="C305" s="52">
        <v>0</v>
      </c>
      <c r="D305" s="52">
        <v>0</v>
      </c>
      <c r="E305" s="52">
        <v>0</v>
      </c>
      <c r="F305" s="52">
        <v>0</v>
      </c>
      <c r="G305" s="52">
        <v>0</v>
      </c>
      <c r="H305" s="52">
        <v>0</v>
      </c>
      <c r="I305" s="52">
        <v>0</v>
      </c>
      <c r="J305" s="52">
        <v>0</v>
      </c>
      <c r="K305" s="52">
        <v>0</v>
      </c>
      <c r="L305" s="52">
        <v>0</v>
      </c>
      <c r="M305" s="52">
        <v>0</v>
      </c>
      <c r="N305" s="52">
        <v>0</v>
      </c>
      <c r="O305" s="52">
        <v>0</v>
      </c>
      <c r="P305" s="52">
        <v>0</v>
      </c>
      <c r="Q305" s="53">
        <v>0</v>
      </c>
      <c r="R305" s="52">
        <v>0</v>
      </c>
      <c r="S305" s="53">
        <v>0</v>
      </c>
      <c r="T305" s="52">
        <v>0</v>
      </c>
      <c r="U305" s="54">
        <v>0</v>
      </c>
    </row>
    <row r="306" spans="1:21" s="3" customFormat="1" ht="18" customHeight="1">
      <c r="A306" s="8" t="s">
        <v>393</v>
      </c>
      <c r="B306" s="52">
        <v>33</v>
      </c>
      <c r="C306" s="52">
        <v>0</v>
      </c>
      <c r="D306" s="52">
        <v>0</v>
      </c>
      <c r="E306" s="52">
        <v>0</v>
      </c>
      <c r="F306" s="52">
        <v>33</v>
      </c>
      <c r="G306" s="52">
        <v>0</v>
      </c>
      <c r="H306" s="52">
        <v>0</v>
      </c>
      <c r="I306" s="52">
        <v>0</v>
      </c>
      <c r="J306" s="52">
        <v>0</v>
      </c>
      <c r="K306" s="52">
        <v>0</v>
      </c>
      <c r="L306" s="52">
        <v>0</v>
      </c>
      <c r="M306" s="52">
        <v>0</v>
      </c>
      <c r="N306" s="52">
        <v>0</v>
      </c>
      <c r="O306" s="52">
        <v>0</v>
      </c>
      <c r="P306" s="52">
        <v>0</v>
      </c>
      <c r="Q306" s="53">
        <v>0.11</v>
      </c>
      <c r="R306" s="52">
        <v>2</v>
      </c>
      <c r="S306" s="53">
        <v>0.26999997999999997</v>
      </c>
      <c r="T306" s="52">
        <v>8</v>
      </c>
      <c r="U306" s="54">
        <v>1</v>
      </c>
    </row>
    <row r="307" spans="1:21" s="3" customFormat="1" ht="18" customHeight="1">
      <c r="A307" s="8" t="s">
        <v>394</v>
      </c>
      <c r="B307" s="52">
        <v>35</v>
      </c>
      <c r="C307" s="52">
        <v>0</v>
      </c>
      <c r="D307" s="52">
        <v>0</v>
      </c>
      <c r="E307" s="52">
        <v>0</v>
      </c>
      <c r="F307" s="52">
        <v>35</v>
      </c>
      <c r="G307" s="52">
        <v>0</v>
      </c>
      <c r="H307" s="52">
        <v>0</v>
      </c>
      <c r="I307" s="52">
        <v>0</v>
      </c>
      <c r="J307" s="52">
        <v>0</v>
      </c>
      <c r="K307" s="52">
        <v>0</v>
      </c>
      <c r="L307" s="52">
        <v>0</v>
      </c>
      <c r="M307" s="52">
        <v>0</v>
      </c>
      <c r="N307" s="52">
        <v>0</v>
      </c>
      <c r="O307" s="52">
        <v>0</v>
      </c>
      <c r="P307" s="52">
        <v>0</v>
      </c>
      <c r="Q307" s="53">
        <v>0.17</v>
      </c>
      <c r="R307" s="52">
        <v>2.5</v>
      </c>
      <c r="S307" s="53">
        <v>0.28999996</v>
      </c>
      <c r="T307" s="52">
        <v>8</v>
      </c>
      <c r="U307" s="54">
        <v>1</v>
      </c>
    </row>
    <row r="308" spans="1:21" s="3" customFormat="1" ht="18" customHeight="1">
      <c r="A308" s="8" t="s">
        <v>395</v>
      </c>
      <c r="B308" s="52">
        <v>50</v>
      </c>
      <c r="C308" s="52">
        <v>20</v>
      </c>
      <c r="D308" s="52">
        <v>17.5</v>
      </c>
      <c r="E308" s="52">
        <v>12.5</v>
      </c>
      <c r="F308" s="52">
        <v>0</v>
      </c>
      <c r="G308" s="52">
        <v>0</v>
      </c>
      <c r="H308" s="52">
        <v>0</v>
      </c>
      <c r="I308" s="52">
        <v>0</v>
      </c>
      <c r="J308" s="52">
        <v>0</v>
      </c>
      <c r="K308" s="52">
        <v>0</v>
      </c>
      <c r="L308" s="52">
        <v>0</v>
      </c>
      <c r="M308" s="52">
        <v>0</v>
      </c>
      <c r="N308" s="52">
        <v>0</v>
      </c>
      <c r="O308" s="52">
        <v>0</v>
      </c>
      <c r="P308" s="52">
        <v>0</v>
      </c>
      <c r="Q308" s="53">
        <v>0.23999999</v>
      </c>
      <c r="R308" s="52">
        <v>2</v>
      </c>
      <c r="S308" s="53">
        <v>0.12</v>
      </c>
      <c r="T308" s="52">
        <v>16.666668000000001</v>
      </c>
      <c r="U308" s="54">
        <v>1</v>
      </c>
    </row>
    <row r="309" spans="1:21" s="3" customFormat="1" ht="18" customHeight="1">
      <c r="A309" s="8" t="s">
        <v>396</v>
      </c>
      <c r="B309" s="52">
        <v>50</v>
      </c>
      <c r="C309" s="52">
        <v>20</v>
      </c>
      <c r="D309" s="52">
        <v>17.5</v>
      </c>
      <c r="E309" s="52">
        <v>12.5</v>
      </c>
      <c r="F309" s="52">
        <v>0</v>
      </c>
      <c r="G309" s="52">
        <v>0</v>
      </c>
      <c r="H309" s="52">
        <v>0</v>
      </c>
      <c r="I309" s="52">
        <v>0</v>
      </c>
      <c r="J309" s="52">
        <v>0</v>
      </c>
      <c r="K309" s="52">
        <v>0</v>
      </c>
      <c r="L309" s="52">
        <v>0</v>
      </c>
      <c r="M309" s="52">
        <v>0</v>
      </c>
      <c r="N309" s="52">
        <v>0</v>
      </c>
      <c r="O309" s="52">
        <v>0</v>
      </c>
      <c r="P309" s="52">
        <v>0</v>
      </c>
      <c r="Q309" s="53">
        <v>0.28000000000000003</v>
      </c>
      <c r="R309" s="52">
        <v>2.4000001000000002</v>
      </c>
      <c r="S309" s="53">
        <v>0.12</v>
      </c>
      <c r="T309" s="52">
        <v>25.000001999999999</v>
      </c>
      <c r="U309" s="54">
        <v>1</v>
      </c>
    </row>
    <row r="310" spans="1:21" s="3" customFormat="1" ht="18" customHeight="1">
      <c r="A310" s="8" t="s">
        <v>397</v>
      </c>
      <c r="B310" s="52">
        <v>360</v>
      </c>
      <c r="C310" s="52">
        <v>36</v>
      </c>
      <c r="D310" s="52">
        <v>144</v>
      </c>
      <c r="E310" s="52">
        <v>180</v>
      </c>
      <c r="F310" s="52">
        <v>0</v>
      </c>
      <c r="G310" s="52">
        <v>0</v>
      </c>
      <c r="H310" s="52">
        <v>0</v>
      </c>
      <c r="I310" s="52">
        <v>0</v>
      </c>
      <c r="J310" s="52">
        <v>0</v>
      </c>
      <c r="K310" s="52">
        <v>0</v>
      </c>
      <c r="L310" s="52">
        <v>0</v>
      </c>
      <c r="M310" s="52">
        <v>0</v>
      </c>
      <c r="N310" s="52">
        <v>0</v>
      </c>
      <c r="O310" s="52">
        <v>0</v>
      </c>
      <c r="P310" s="52">
        <v>0</v>
      </c>
      <c r="Q310" s="53">
        <v>0.22</v>
      </c>
      <c r="R310" s="52">
        <v>2</v>
      </c>
      <c r="S310" s="53">
        <v>0.22000003000000001</v>
      </c>
      <c r="T310" s="52">
        <v>0.75000005999999997</v>
      </c>
      <c r="U310" s="54">
        <v>0</v>
      </c>
    </row>
    <row r="311" spans="1:21" s="3" customFormat="1" ht="18" customHeight="1">
      <c r="A311" s="8" t="s">
        <v>398</v>
      </c>
      <c r="B311" s="52">
        <v>0</v>
      </c>
      <c r="C311" s="52">
        <v>0</v>
      </c>
      <c r="D311" s="52">
        <v>0</v>
      </c>
      <c r="E311" s="52">
        <v>0</v>
      </c>
      <c r="F311" s="52">
        <v>0</v>
      </c>
      <c r="G311" s="52">
        <v>0</v>
      </c>
      <c r="H311" s="52">
        <v>0</v>
      </c>
      <c r="I311" s="52">
        <v>0</v>
      </c>
      <c r="J311" s="52">
        <v>0</v>
      </c>
      <c r="K311" s="52">
        <v>0</v>
      </c>
      <c r="L311" s="52">
        <v>0</v>
      </c>
      <c r="M311" s="52">
        <v>0</v>
      </c>
      <c r="N311" s="52">
        <v>0</v>
      </c>
      <c r="O311" s="52">
        <v>0</v>
      </c>
      <c r="P311" s="52">
        <v>0</v>
      </c>
      <c r="Q311" s="53">
        <v>0</v>
      </c>
      <c r="R311" s="52">
        <v>0</v>
      </c>
      <c r="S311" s="53">
        <v>0</v>
      </c>
      <c r="T311" s="52">
        <v>0</v>
      </c>
      <c r="U311" s="54">
        <v>0</v>
      </c>
    </row>
    <row r="312" spans="1:21" s="3" customFormat="1" ht="18" customHeight="1">
      <c r="A312" s="8" t="s">
        <v>399</v>
      </c>
      <c r="B312" s="52">
        <v>300</v>
      </c>
      <c r="C312" s="52">
        <v>204</v>
      </c>
      <c r="D312" s="52">
        <v>0</v>
      </c>
      <c r="E312" s="52">
        <v>96</v>
      </c>
      <c r="F312" s="52">
        <v>0</v>
      </c>
      <c r="G312" s="52">
        <v>0</v>
      </c>
      <c r="H312" s="52">
        <v>0</v>
      </c>
      <c r="I312" s="52">
        <v>0</v>
      </c>
      <c r="J312" s="52">
        <v>0</v>
      </c>
      <c r="K312" s="52">
        <v>0</v>
      </c>
      <c r="L312" s="52">
        <v>0</v>
      </c>
      <c r="M312" s="52">
        <v>0</v>
      </c>
      <c r="N312" s="52">
        <v>0</v>
      </c>
      <c r="O312" s="52">
        <v>0</v>
      </c>
      <c r="P312" s="52">
        <v>0</v>
      </c>
      <c r="Q312" s="53">
        <v>0.25</v>
      </c>
      <c r="R312" s="52">
        <v>2</v>
      </c>
      <c r="S312" s="53">
        <v>0.30000000999999998</v>
      </c>
      <c r="T312" s="52">
        <v>1</v>
      </c>
      <c r="U312" s="54">
        <v>0</v>
      </c>
    </row>
    <row r="313" spans="1:21" s="3" customFormat="1" ht="18" customHeight="1">
      <c r="A313" s="8" t="s">
        <v>400</v>
      </c>
      <c r="B313" s="52">
        <v>300</v>
      </c>
      <c r="C313" s="52">
        <v>204</v>
      </c>
      <c r="D313" s="52">
        <v>0</v>
      </c>
      <c r="E313" s="52">
        <v>96</v>
      </c>
      <c r="F313" s="52">
        <v>0</v>
      </c>
      <c r="G313" s="52">
        <v>0</v>
      </c>
      <c r="H313" s="52">
        <v>0</v>
      </c>
      <c r="I313" s="52">
        <v>0</v>
      </c>
      <c r="J313" s="52">
        <v>0</v>
      </c>
      <c r="K313" s="52">
        <v>0</v>
      </c>
      <c r="L313" s="52">
        <v>0</v>
      </c>
      <c r="M313" s="52">
        <v>0</v>
      </c>
      <c r="N313" s="52">
        <v>0</v>
      </c>
      <c r="O313" s="52">
        <v>0</v>
      </c>
      <c r="P313" s="52">
        <v>0</v>
      </c>
      <c r="Q313" s="53">
        <v>0.25</v>
      </c>
      <c r="R313" s="52">
        <v>2</v>
      </c>
      <c r="S313" s="53">
        <v>0.30000000999999998</v>
      </c>
      <c r="T313" s="52">
        <v>1</v>
      </c>
      <c r="U313" s="54">
        <v>0</v>
      </c>
    </row>
    <row r="314" spans="1:21" s="3" customFormat="1" ht="18" customHeight="1">
      <c r="A314" s="8" t="s">
        <v>401</v>
      </c>
      <c r="B314" s="52">
        <v>470</v>
      </c>
      <c r="C314" s="52">
        <v>70.5</v>
      </c>
      <c r="D314" s="52">
        <v>70.5</v>
      </c>
      <c r="E314" s="52">
        <v>329</v>
      </c>
      <c r="F314" s="52">
        <v>0</v>
      </c>
      <c r="G314" s="52">
        <v>0</v>
      </c>
      <c r="H314" s="52">
        <v>0</v>
      </c>
      <c r="I314" s="52">
        <v>0</v>
      </c>
      <c r="J314" s="52">
        <v>0</v>
      </c>
      <c r="K314" s="52">
        <v>0</v>
      </c>
      <c r="L314" s="52">
        <v>0</v>
      </c>
      <c r="M314" s="52">
        <v>0</v>
      </c>
      <c r="N314" s="52">
        <v>0</v>
      </c>
      <c r="O314" s="52">
        <v>0</v>
      </c>
      <c r="P314" s="52">
        <v>0</v>
      </c>
      <c r="Q314" s="53">
        <v>0.44999999000000002</v>
      </c>
      <c r="R314" s="52">
        <v>3</v>
      </c>
      <c r="S314" s="53">
        <v>1</v>
      </c>
      <c r="T314" s="52">
        <v>0.83333336999999996</v>
      </c>
      <c r="U314" s="54">
        <v>0</v>
      </c>
    </row>
    <row r="315" spans="1:21" s="3" customFormat="1" ht="18" customHeight="1">
      <c r="A315" s="8" t="s">
        <v>402</v>
      </c>
      <c r="B315" s="52">
        <v>0</v>
      </c>
      <c r="C315" s="52">
        <v>0</v>
      </c>
      <c r="D315" s="52">
        <v>0</v>
      </c>
      <c r="E315" s="52">
        <v>0</v>
      </c>
      <c r="F315" s="52">
        <v>0</v>
      </c>
      <c r="G315" s="52">
        <v>0</v>
      </c>
      <c r="H315" s="52">
        <v>0</v>
      </c>
      <c r="I315" s="52">
        <v>0</v>
      </c>
      <c r="J315" s="52">
        <v>0</v>
      </c>
      <c r="K315" s="52">
        <v>0</v>
      </c>
      <c r="L315" s="52">
        <v>0</v>
      </c>
      <c r="M315" s="52">
        <v>0</v>
      </c>
      <c r="N315" s="52">
        <v>0</v>
      </c>
      <c r="O315" s="52">
        <v>0</v>
      </c>
      <c r="P315" s="52">
        <v>0</v>
      </c>
      <c r="Q315" s="53">
        <v>0</v>
      </c>
      <c r="R315" s="52">
        <v>0</v>
      </c>
      <c r="S315" s="53">
        <v>0</v>
      </c>
      <c r="T315" s="52">
        <v>0</v>
      </c>
      <c r="U315" s="54">
        <v>0</v>
      </c>
    </row>
    <row r="316" spans="1:21" s="3" customFormat="1" ht="18" customHeight="1">
      <c r="A316" s="8" t="s">
        <v>403</v>
      </c>
      <c r="B316" s="52">
        <v>0</v>
      </c>
      <c r="C316" s="52">
        <v>0</v>
      </c>
      <c r="D316" s="52">
        <v>0</v>
      </c>
      <c r="E316" s="52">
        <v>0</v>
      </c>
      <c r="F316" s="52">
        <v>0</v>
      </c>
      <c r="G316" s="52">
        <v>0</v>
      </c>
      <c r="H316" s="52">
        <v>0</v>
      </c>
      <c r="I316" s="52">
        <v>0</v>
      </c>
      <c r="J316" s="52">
        <v>0</v>
      </c>
      <c r="K316" s="52">
        <v>0</v>
      </c>
      <c r="L316" s="52">
        <v>0</v>
      </c>
      <c r="M316" s="52">
        <v>0</v>
      </c>
      <c r="N316" s="52">
        <v>0</v>
      </c>
      <c r="O316" s="52">
        <v>0</v>
      </c>
      <c r="P316" s="52">
        <v>0</v>
      </c>
      <c r="Q316" s="53">
        <v>0</v>
      </c>
      <c r="R316" s="52">
        <v>0</v>
      </c>
      <c r="S316" s="53">
        <v>0</v>
      </c>
      <c r="T316" s="52">
        <v>0</v>
      </c>
      <c r="U316" s="54">
        <v>0</v>
      </c>
    </row>
    <row r="317" spans="1:21" s="3" customFormat="1" ht="18" customHeight="1">
      <c r="A317" s="8" t="s">
        <v>404</v>
      </c>
      <c r="B317" s="52">
        <v>199.99997999999999</v>
      </c>
      <c r="C317" s="52">
        <v>160</v>
      </c>
      <c r="D317" s="52">
        <v>30.000001999999999</v>
      </c>
      <c r="E317" s="52">
        <v>9.9999904999999991</v>
      </c>
      <c r="F317" s="52">
        <v>0</v>
      </c>
      <c r="G317" s="52">
        <v>0</v>
      </c>
      <c r="H317" s="52">
        <v>0</v>
      </c>
      <c r="I317" s="52">
        <v>0</v>
      </c>
      <c r="J317" s="52">
        <v>0</v>
      </c>
      <c r="K317" s="52">
        <v>0</v>
      </c>
      <c r="L317" s="52">
        <v>0</v>
      </c>
      <c r="M317" s="52">
        <v>0</v>
      </c>
      <c r="N317" s="52">
        <v>0</v>
      </c>
      <c r="O317" s="52">
        <v>0</v>
      </c>
      <c r="P317" s="52">
        <v>0</v>
      </c>
      <c r="Q317" s="53">
        <v>0.15000000999999999</v>
      </c>
      <c r="R317" s="52">
        <v>2</v>
      </c>
      <c r="S317" s="53">
        <v>0.25</v>
      </c>
      <c r="T317" s="52">
        <v>1</v>
      </c>
      <c r="U317" s="54">
        <v>0</v>
      </c>
    </row>
    <row r="318" spans="1:21" s="3" customFormat="1" ht="18" customHeight="1">
      <c r="A318" s="8" t="s">
        <v>405</v>
      </c>
      <c r="B318" s="52">
        <v>218</v>
      </c>
      <c r="C318" s="52">
        <v>79</v>
      </c>
      <c r="D318" s="52">
        <v>13</v>
      </c>
      <c r="E318" s="52">
        <v>45</v>
      </c>
      <c r="F318" s="52">
        <v>81</v>
      </c>
      <c r="G318" s="52">
        <v>0</v>
      </c>
      <c r="H318" s="52">
        <v>0</v>
      </c>
      <c r="I318" s="52">
        <v>0</v>
      </c>
      <c r="J318" s="52">
        <v>0</v>
      </c>
      <c r="K318" s="52">
        <v>0</v>
      </c>
      <c r="L318" s="52">
        <v>0</v>
      </c>
      <c r="M318" s="52">
        <v>0</v>
      </c>
      <c r="N318" s="52">
        <v>0</v>
      </c>
      <c r="O318" s="52">
        <v>0</v>
      </c>
      <c r="P318" s="52">
        <v>0</v>
      </c>
      <c r="Q318" s="53">
        <v>0.34999998999999998</v>
      </c>
      <c r="R318" s="52">
        <v>2.5</v>
      </c>
      <c r="S318" s="53">
        <v>0.19</v>
      </c>
      <c r="T318" s="52">
        <v>0.83333336999999996</v>
      </c>
      <c r="U318" s="54">
        <v>0</v>
      </c>
    </row>
    <row r="319" spans="1:21" s="3" customFormat="1" ht="18" customHeight="1">
      <c r="A319" s="8" t="s">
        <v>406</v>
      </c>
      <c r="B319" s="52">
        <v>280</v>
      </c>
      <c r="C319" s="52">
        <v>0</v>
      </c>
      <c r="D319" s="52">
        <v>0</v>
      </c>
      <c r="E319" s="52">
        <v>0</v>
      </c>
      <c r="F319" s="52">
        <v>280</v>
      </c>
      <c r="G319" s="52">
        <v>0</v>
      </c>
      <c r="H319" s="52">
        <v>0</v>
      </c>
      <c r="I319" s="52">
        <v>0</v>
      </c>
      <c r="J319" s="52">
        <v>0</v>
      </c>
      <c r="K319" s="52">
        <v>0</v>
      </c>
      <c r="L319" s="52">
        <v>0</v>
      </c>
      <c r="M319" s="52">
        <v>0</v>
      </c>
      <c r="N319" s="52">
        <v>0</v>
      </c>
      <c r="O319" s="52">
        <v>0</v>
      </c>
      <c r="P319" s="52">
        <v>0</v>
      </c>
      <c r="Q319" s="53">
        <v>0.2</v>
      </c>
      <c r="R319" s="52">
        <v>2</v>
      </c>
      <c r="S319" s="53">
        <v>0.25</v>
      </c>
      <c r="T319" s="52">
        <v>3.3333335000000002</v>
      </c>
      <c r="U319" s="54">
        <v>1</v>
      </c>
    </row>
    <row r="320" spans="1:21" s="3" customFormat="1" ht="18" customHeight="1">
      <c r="A320" s="8" t="s">
        <v>407</v>
      </c>
      <c r="B320" s="52">
        <v>120</v>
      </c>
      <c r="C320" s="52">
        <v>6</v>
      </c>
      <c r="D320" s="52">
        <v>24</v>
      </c>
      <c r="E320" s="52">
        <v>90</v>
      </c>
      <c r="F320" s="52">
        <v>0</v>
      </c>
      <c r="G320" s="52">
        <v>0</v>
      </c>
      <c r="H320" s="52">
        <v>0</v>
      </c>
      <c r="I320" s="52">
        <v>0</v>
      </c>
      <c r="J320" s="52">
        <v>0</v>
      </c>
      <c r="K320" s="52">
        <v>0</v>
      </c>
      <c r="L320" s="52">
        <v>0</v>
      </c>
      <c r="M320" s="52">
        <v>0</v>
      </c>
      <c r="N320" s="52">
        <v>0</v>
      </c>
      <c r="O320" s="52">
        <v>0</v>
      </c>
      <c r="P320" s="52">
        <v>0</v>
      </c>
      <c r="Q320" s="53">
        <v>7.9999998000000003E-2</v>
      </c>
      <c r="R320" s="52">
        <v>1.5</v>
      </c>
      <c r="S320" s="53">
        <v>0.15999996999999999</v>
      </c>
      <c r="T320" s="52">
        <v>0.91666669000000001</v>
      </c>
      <c r="U320" s="54">
        <v>0</v>
      </c>
    </row>
    <row r="321" spans="1:21" s="3" customFormat="1" ht="18" customHeight="1">
      <c r="A321" s="8" t="s">
        <v>408</v>
      </c>
      <c r="B321" s="52">
        <v>0</v>
      </c>
      <c r="C321" s="52">
        <v>0</v>
      </c>
      <c r="D321" s="52">
        <v>0</v>
      </c>
      <c r="E321" s="52">
        <v>0</v>
      </c>
      <c r="F321" s="52">
        <v>0</v>
      </c>
      <c r="G321" s="52">
        <v>0</v>
      </c>
      <c r="H321" s="52">
        <v>0</v>
      </c>
      <c r="I321" s="52">
        <v>0</v>
      </c>
      <c r="J321" s="52">
        <v>0</v>
      </c>
      <c r="K321" s="52">
        <v>0</v>
      </c>
      <c r="L321" s="52">
        <v>0</v>
      </c>
      <c r="M321" s="52">
        <v>0</v>
      </c>
      <c r="N321" s="52">
        <v>0</v>
      </c>
      <c r="O321" s="52">
        <v>0</v>
      </c>
      <c r="P321" s="52">
        <v>0</v>
      </c>
      <c r="Q321" s="53">
        <v>0</v>
      </c>
      <c r="R321" s="52">
        <v>0</v>
      </c>
      <c r="S321" s="53">
        <v>0</v>
      </c>
      <c r="T321" s="52">
        <v>0</v>
      </c>
      <c r="U321" s="54">
        <v>0</v>
      </c>
    </row>
    <row r="322" spans="1:21" s="3" customFormat="1" ht="18" customHeight="1">
      <c r="A322" s="8" t="s">
        <v>409</v>
      </c>
      <c r="B322" s="52">
        <v>0</v>
      </c>
      <c r="C322" s="52">
        <v>0</v>
      </c>
      <c r="D322" s="52">
        <v>0</v>
      </c>
      <c r="E322" s="52">
        <v>0</v>
      </c>
      <c r="F322" s="52">
        <v>0</v>
      </c>
      <c r="G322" s="52">
        <v>0</v>
      </c>
      <c r="H322" s="52">
        <v>0</v>
      </c>
      <c r="I322" s="52">
        <v>0</v>
      </c>
      <c r="J322" s="52">
        <v>0</v>
      </c>
      <c r="K322" s="52">
        <v>0</v>
      </c>
      <c r="L322" s="52">
        <v>0</v>
      </c>
      <c r="M322" s="52">
        <v>0</v>
      </c>
      <c r="N322" s="52">
        <v>0</v>
      </c>
      <c r="O322" s="52">
        <v>0</v>
      </c>
      <c r="P322" s="52">
        <v>0</v>
      </c>
      <c r="Q322" s="53">
        <v>0</v>
      </c>
      <c r="R322" s="52">
        <v>0</v>
      </c>
      <c r="S322" s="53">
        <v>0</v>
      </c>
      <c r="T322" s="52">
        <v>0</v>
      </c>
      <c r="U322" s="54">
        <v>0</v>
      </c>
    </row>
    <row r="323" spans="1:21" s="3" customFormat="1" ht="18" customHeight="1">
      <c r="A323" s="8" t="s">
        <v>410</v>
      </c>
      <c r="B323" s="52">
        <v>0</v>
      </c>
      <c r="C323" s="52">
        <v>0</v>
      </c>
      <c r="D323" s="52">
        <v>0</v>
      </c>
      <c r="E323" s="52">
        <v>0</v>
      </c>
      <c r="F323" s="52">
        <v>0</v>
      </c>
      <c r="G323" s="52">
        <v>0</v>
      </c>
      <c r="H323" s="52">
        <v>0</v>
      </c>
      <c r="I323" s="52">
        <v>0</v>
      </c>
      <c r="J323" s="52">
        <v>0</v>
      </c>
      <c r="K323" s="52">
        <v>0</v>
      </c>
      <c r="L323" s="52">
        <v>0</v>
      </c>
      <c r="M323" s="52">
        <v>0</v>
      </c>
      <c r="N323" s="52">
        <v>0</v>
      </c>
      <c r="O323" s="52">
        <v>0</v>
      </c>
      <c r="P323" s="52">
        <v>0</v>
      </c>
      <c r="Q323" s="53">
        <v>0</v>
      </c>
      <c r="R323" s="52">
        <v>0</v>
      </c>
      <c r="S323" s="53">
        <v>0</v>
      </c>
      <c r="T323" s="52">
        <v>0</v>
      </c>
      <c r="U323" s="54">
        <v>0</v>
      </c>
    </row>
    <row r="324" spans="1:21" s="3" customFormat="1" ht="18" customHeight="1">
      <c r="A324" s="8" t="s">
        <v>411</v>
      </c>
      <c r="B324" s="52">
        <v>90</v>
      </c>
      <c r="C324" s="52">
        <v>13.500000999999999</v>
      </c>
      <c r="D324" s="52">
        <v>13.500000999999999</v>
      </c>
      <c r="E324" s="52">
        <v>63</v>
      </c>
      <c r="F324" s="52">
        <v>0</v>
      </c>
      <c r="G324" s="52">
        <v>0</v>
      </c>
      <c r="H324" s="52">
        <v>0</v>
      </c>
      <c r="I324" s="52">
        <v>0</v>
      </c>
      <c r="J324" s="52">
        <v>0</v>
      </c>
      <c r="K324" s="52">
        <v>0</v>
      </c>
      <c r="L324" s="52">
        <v>0</v>
      </c>
      <c r="M324" s="52">
        <v>0</v>
      </c>
      <c r="N324" s="52">
        <v>0</v>
      </c>
      <c r="O324" s="52">
        <v>0</v>
      </c>
      <c r="P324" s="52">
        <v>0</v>
      </c>
      <c r="Q324" s="53">
        <v>0.12</v>
      </c>
      <c r="R324" s="52">
        <v>1.8</v>
      </c>
      <c r="S324" s="53">
        <v>0.10000002</v>
      </c>
      <c r="T324" s="52">
        <v>1.1666666999999999</v>
      </c>
      <c r="U324" s="54">
        <v>0</v>
      </c>
    </row>
    <row r="325" spans="1:21" s="3" customFormat="1" ht="18" customHeight="1">
      <c r="A325" s="8" t="s">
        <v>412</v>
      </c>
      <c r="B325" s="52">
        <v>29</v>
      </c>
      <c r="C325" s="52">
        <v>13.049999</v>
      </c>
      <c r="D325" s="52">
        <v>8.7000007999999998</v>
      </c>
      <c r="E325" s="52">
        <v>7.25</v>
      </c>
      <c r="F325" s="52">
        <v>0</v>
      </c>
      <c r="G325" s="52">
        <v>0</v>
      </c>
      <c r="H325" s="52">
        <v>0</v>
      </c>
      <c r="I325" s="52">
        <v>0</v>
      </c>
      <c r="J325" s="52">
        <v>0</v>
      </c>
      <c r="K325" s="52">
        <v>0</v>
      </c>
      <c r="L325" s="52">
        <v>0</v>
      </c>
      <c r="M325" s="52">
        <v>0</v>
      </c>
      <c r="N325" s="52">
        <v>0</v>
      </c>
      <c r="O325" s="52">
        <v>0</v>
      </c>
      <c r="P325" s="52">
        <v>0</v>
      </c>
      <c r="Q325" s="53">
        <v>9.0000003999999995E-2</v>
      </c>
      <c r="R325" s="52">
        <v>1.5</v>
      </c>
      <c r="S325" s="53">
        <v>0.14999998</v>
      </c>
      <c r="T325" s="52">
        <v>11.666667</v>
      </c>
      <c r="U325" s="54">
        <v>1</v>
      </c>
    </row>
    <row r="326" spans="1:21" s="3" customFormat="1" ht="18" customHeight="1">
      <c r="A326" s="8" t="s">
        <v>413</v>
      </c>
      <c r="B326" s="52">
        <v>31</v>
      </c>
      <c r="C326" s="52">
        <v>13.95</v>
      </c>
      <c r="D326" s="52">
        <v>9.3000001999999995</v>
      </c>
      <c r="E326" s="52">
        <v>7.75</v>
      </c>
      <c r="F326" s="52">
        <v>0</v>
      </c>
      <c r="G326" s="52">
        <v>0</v>
      </c>
      <c r="H326" s="52">
        <v>0</v>
      </c>
      <c r="I326" s="52">
        <v>0</v>
      </c>
      <c r="J326" s="52">
        <v>0</v>
      </c>
      <c r="K326" s="52">
        <v>0</v>
      </c>
      <c r="L326" s="52">
        <v>0</v>
      </c>
      <c r="M326" s="52">
        <v>0</v>
      </c>
      <c r="N326" s="52">
        <v>0</v>
      </c>
      <c r="O326" s="52">
        <v>0</v>
      </c>
      <c r="P326" s="52">
        <v>0</v>
      </c>
      <c r="Q326" s="53">
        <v>0.13</v>
      </c>
      <c r="R326" s="52">
        <v>2</v>
      </c>
      <c r="S326" s="53">
        <v>0.25</v>
      </c>
      <c r="T326" s="52">
        <v>11.666667</v>
      </c>
      <c r="U326" s="54">
        <v>1</v>
      </c>
    </row>
    <row r="327" spans="1:21" s="3" customFormat="1" ht="18" customHeight="1">
      <c r="A327" s="8" t="s">
        <v>414</v>
      </c>
      <c r="B327" s="52">
        <v>273</v>
      </c>
      <c r="C327" s="52">
        <v>30</v>
      </c>
      <c r="D327" s="52">
        <v>84</v>
      </c>
      <c r="E327" s="52">
        <v>72.000007999999994</v>
      </c>
      <c r="F327" s="52">
        <v>0</v>
      </c>
      <c r="G327" s="52">
        <v>0</v>
      </c>
      <c r="H327" s="52">
        <v>0</v>
      </c>
      <c r="I327" s="52">
        <v>87</v>
      </c>
      <c r="J327" s="52">
        <v>0</v>
      </c>
      <c r="K327" s="52">
        <v>0</v>
      </c>
      <c r="L327" s="52">
        <v>0</v>
      </c>
      <c r="M327" s="52">
        <v>0</v>
      </c>
      <c r="N327" s="52">
        <v>0</v>
      </c>
      <c r="O327" s="52">
        <v>0</v>
      </c>
      <c r="P327" s="52">
        <v>0</v>
      </c>
      <c r="Q327" s="53">
        <v>0.1</v>
      </c>
      <c r="R327" s="52">
        <v>2</v>
      </c>
      <c r="S327" s="53">
        <v>0.25999999000000001</v>
      </c>
      <c r="T327" s="52">
        <v>0.75000005999999997</v>
      </c>
      <c r="U327" s="54">
        <v>0</v>
      </c>
    </row>
    <row r="328" spans="1:21" s="3" customFormat="1" ht="18" customHeight="1">
      <c r="A328" s="8" t="s">
        <v>415</v>
      </c>
      <c r="B328" s="52">
        <v>344</v>
      </c>
      <c r="C328" s="52">
        <v>50</v>
      </c>
      <c r="D328" s="52">
        <v>96.000007999999994</v>
      </c>
      <c r="E328" s="52">
        <v>102</v>
      </c>
      <c r="F328" s="52">
        <v>0</v>
      </c>
      <c r="G328" s="52">
        <v>0</v>
      </c>
      <c r="H328" s="52">
        <v>0</v>
      </c>
      <c r="I328" s="52">
        <v>96.000007999999994</v>
      </c>
      <c r="J328" s="52">
        <v>0</v>
      </c>
      <c r="K328" s="52">
        <v>0</v>
      </c>
      <c r="L328" s="52">
        <v>0</v>
      </c>
      <c r="M328" s="52">
        <v>0</v>
      </c>
      <c r="N328" s="52">
        <v>0</v>
      </c>
      <c r="O328" s="52">
        <v>0</v>
      </c>
      <c r="P328" s="52">
        <v>0</v>
      </c>
      <c r="Q328" s="53">
        <v>0.23999999</v>
      </c>
      <c r="R328" s="52">
        <v>2.2000000000000002</v>
      </c>
      <c r="S328" s="53">
        <v>0.30000000999999998</v>
      </c>
      <c r="T328" s="52">
        <v>0.66666669000000001</v>
      </c>
      <c r="U328" s="54">
        <v>0</v>
      </c>
    </row>
    <row r="329" spans="1:21" s="3" customFormat="1" ht="18" customHeight="1">
      <c r="A329" s="8" t="s">
        <v>416</v>
      </c>
      <c r="B329" s="52">
        <v>392</v>
      </c>
      <c r="C329" s="52">
        <v>19.600000000000001</v>
      </c>
      <c r="D329" s="52">
        <v>313.60001</v>
      </c>
      <c r="E329" s="52">
        <v>58.799992000000003</v>
      </c>
      <c r="F329" s="52">
        <v>0</v>
      </c>
      <c r="G329" s="52">
        <v>0</v>
      </c>
      <c r="H329" s="52">
        <v>0</v>
      </c>
      <c r="I329" s="52">
        <v>0</v>
      </c>
      <c r="J329" s="52">
        <v>0</v>
      </c>
      <c r="K329" s="52">
        <v>0</v>
      </c>
      <c r="L329" s="52">
        <v>0</v>
      </c>
      <c r="M329" s="52">
        <v>0</v>
      </c>
      <c r="N329" s="52">
        <v>0</v>
      </c>
      <c r="O329" s="52">
        <v>0</v>
      </c>
      <c r="P329" s="52">
        <v>0</v>
      </c>
      <c r="Q329" s="53">
        <v>0.15000000999999999</v>
      </c>
      <c r="R329" s="52">
        <v>2</v>
      </c>
      <c r="S329" s="53">
        <v>0.19999998999999999</v>
      </c>
      <c r="T329" s="52">
        <v>1</v>
      </c>
      <c r="U329" s="54">
        <v>0</v>
      </c>
    </row>
    <row r="330" spans="1:21" s="3" customFormat="1" ht="18" customHeight="1">
      <c r="A330" s="8" t="s">
        <v>417</v>
      </c>
      <c r="B330" s="52">
        <v>244</v>
      </c>
      <c r="C330" s="52">
        <v>79</v>
      </c>
      <c r="D330" s="52">
        <v>45</v>
      </c>
      <c r="E330" s="52">
        <v>87</v>
      </c>
      <c r="F330" s="52">
        <v>0</v>
      </c>
      <c r="G330" s="52">
        <v>0</v>
      </c>
      <c r="H330" s="52">
        <v>0</v>
      </c>
      <c r="I330" s="52">
        <v>0</v>
      </c>
      <c r="J330" s="52">
        <v>0</v>
      </c>
      <c r="K330" s="52">
        <v>0</v>
      </c>
      <c r="L330" s="52">
        <v>0</v>
      </c>
      <c r="M330" s="52">
        <v>0</v>
      </c>
      <c r="N330" s="52">
        <v>33</v>
      </c>
      <c r="O330" s="52">
        <v>0</v>
      </c>
      <c r="P330" s="52">
        <v>0</v>
      </c>
      <c r="Q330" s="53">
        <v>0.13</v>
      </c>
      <c r="R330" s="52">
        <v>2.0999998999999998</v>
      </c>
      <c r="S330" s="53">
        <v>0.28999996</v>
      </c>
      <c r="T330" s="52">
        <v>0.91666669000000001</v>
      </c>
      <c r="U330" s="54">
        <v>0</v>
      </c>
    </row>
    <row r="331" spans="1:21" s="3" customFormat="1" ht="18" customHeight="1">
      <c r="A331" s="8" t="s">
        <v>418</v>
      </c>
      <c r="B331" s="52">
        <v>241</v>
      </c>
      <c r="C331" s="52">
        <v>96.400002000000001</v>
      </c>
      <c r="D331" s="52">
        <v>24.1</v>
      </c>
      <c r="E331" s="52">
        <v>120.5</v>
      </c>
      <c r="F331" s="52">
        <v>0</v>
      </c>
      <c r="G331" s="52">
        <v>0</v>
      </c>
      <c r="H331" s="52">
        <v>0</v>
      </c>
      <c r="I331" s="52">
        <v>0</v>
      </c>
      <c r="J331" s="52">
        <v>0</v>
      </c>
      <c r="K331" s="52">
        <v>0</v>
      </c>
      <c r="L331" s="52">
        <v>0</v>
      </c>
      <c r="M331" s="52">
        <v>0</v>
      </c>
      <c r="N331" s="52">
        <v>0</v>
      </c>
      <c r="O331" s="52">
        <v>0</v>
      </c>
      <c r="P331" s="52">
        <v>0</v>
      </c>
      <c r="Q331" s="53">
        <v>0.19</v>
      </c>
      <c r="R331" s="52">
        <v>2.5</v>
      </c>
      <c r="S331" s="53">
        <v>0.23000002</v>
      </c>
      <c r="T331" s="52">
        <v>0.83333336999999996</v>
      </c>
      <c r="U331" s="54">
        <v>0</v>
      </c>
    </row>
    <row r="332" spans="1:21" s="3" customFormat="1" ht="18" customHeight="1">
      <c r="A332" s="8" t="s">
        <v>419</v>
      </c>
      <c r="B332" s="52">
        <v>84</v>
      </c>
      <c r="C332" s="52">
        <v>58.799999</v>
      </c>
      <c r="D332" s="52">
        <v>12.6</v>
      </c>
      <c r="E332" s="52">
        <v>12.599997999999999</v>
      </c>
      <c r="F332" s="52">
        <v>0</v>
      </c>
      <c r="G332" s="52">
        <v>0</v>
      </c>
      <c r="H332" s="52">
        <v>0</v>
      </c>
      <c r="I332" s="52">
        <v>0</v>
      </c>
      <c r="J332" s="52">
        <v>0</v>
      </c>
      <c r="K332" s="52">
        <v>0</v>
      </c>
      <c r="L332" s="52">
        <v>0</v>
      </c>
      <c r="M332" s="52">
        <v>0</v>
      </c>
      <c r="N332" s="52">
        <v>0</v>
      </c>
      <c r="O332" s="52">
        <v>0</v>
      </c>
      <c r="P332" s="52">
        <v>0</v>
      </c>
      <c r="Q332" s="53">
        <v>0.1</v>
      </c>
      <c r="R332" s="52">
        <v>2</v>
      </c>
      <c r="S332" s="53">
        <v>0.10000002</v>
      </c>
      <c r="T332" s="52">
        <v>1.0833333999999999</v>
      </c>
      <c r="U332" s="54">
        <v>0</v>
      </c>
    </row>
    <row r="333" spans="1:21" s="3" customFormat="1" ht="18" customHeight="1">
      <c r="A333" s="8" t="s">
        <v>420</v>
      </c>
      <c r="B333" s="52">
        <v>0</v>
      </c>
      <c r="C333" s="52">
        <v>0</v>
      </c>
      <c r="D333" s="52">
        <v>0</v>
      </c>
      <c r="E333" s="52">
        <v>0</v>
      </c>
      <c r="F333" s="52">
        <v>0</v>
      </c>
      <c r="G333" s="52">
        <v>0</v>
      </c>
      <c r="H333" s="52">
        <v>0</v>
      </c>
      <c r="I333" s="52">
        <v>0</v>
      </c>
      <c r="J333" s="52">
        <v>0</v>
      </c>
      <c r="K333" s="52">
        <v>0</v>
      </c>
      <c r="L333" s="52">
        <v>0</v>
      </c>
      <c r="M333" s="52">
        <v>0</v>
      </c>
      <c r="N333" s="52">
        <v>0</v>
      </c>
      <c r="O333" s="52">
        <v>0</v>
      </c>
      <c r="P333" s="52">
        <v>0</v>
      </c>
      <c r="Q333" s="53">
        <v>0</v>
      </c>
      <c r="R333" s="52">
        <v>0</v>
      </c>
      <c r="S333" s="53">
        <v>0</v>
      </c>
      <c r="T333" s="52">
        <v>0</v>
      </c>
      <c r="U333" s="54">
        <v>0</v>
      </c>
    </row>
    <row r="334" spans="1:21" s="3" customFormat="1" ht="18" customHeight="1">
      <c r="A334" s="8" t="s">
        <v>421</v>
      </c>
      <c r="B334" s="52">
        <v>0</v>
      </c>
      <c r="C334" s="52">
        <v>0</v>
      </c>
      <c r="D334" s="52">
        <v>0</v>
      </c>
      <c r="E334" s="52">
        <v>0</v>
      </c>
      <c r="F334" s="52">
        <v>0</v>
      </c>
      <c r="G334" s="52">
        <v>0</v>
      </c>
      <c r="H334" s="52">
        <v>0</v>
      </c>
      <c r="I334" s="52">
        <v>0</v>
      </c>
      <c r="J334" s="52">
        <v>0</v>
      </c>
      <c r="K334" s="52">
        <v>0</v>
      </c>
      <c r="L334" s="52">
        <v>0</v>
      </c>
      <c r="M334" s="52">
        <v>0</v>
      </c>
      <c r="N334" s="52">
        <v>0</v>
      </c>
      <c r="O334" s="52">
        <v>0</v>
      </c>
      <c r="P334" s="52">
        <v>0</v>
      </c>
      <c r="Q334" s="53">
        <v>0</v>
      </c>
      <c r="R334" s="52">
        <v>0</v>
      </c>
      <c r="S334" s="53">
        <v>0</v>
      </c>
      <c r="T334" s="52">
        <v>0</v>
      </c>
      <c r="U334" s="54">
        <v>0</v>
      </c>
    </row>
    <row r="335" spans="1:21" s="3" customFormat="1" ht="18" customHeight="1">
      <c r="A335" s="8" t="s">
        <v>422</v>
      </c>
      <c r="B335" s="52">
        <v>0</v>
      </c>
      <c r="C335" s="52">
        <v>0</v>
      </c>
      <c r="D335" s="52">
        <v>0</v>
      </c>
      <c r="E335" s="52">
        <v>0</v>
      </c>
      <c r="F335" s="52">
        <v>0</v>
      </c>
      <c r="G335" s="52">
        <v>0</v>
      </c>
      <c r="H335" s="52">
        <v>0</v>
      </c>
      <c r="I335" s="52">
        <v>0</v>
      </c>
      <c r="J335" s="52">
        <v>0</v>
      </c>
      <c r="K335" s="52">
        <v>0</v>
      </c>
      <c r="L335" s="52">
        <v>0</v>
      </c>
      <c r="M335" s="52">
        <v>0</v>
      </c>
      <c r="N335" s="52">
        <v>0</v>
      </c>
      <c r="O335" s="52">
        <v>0</v>
      </c>
      <c r="P335" s="52">
        <v>0</v>
      </c>
      <c r="Q335" s="53">
        <v>0</v>
      </c>
      <c r="R335" s="52">
        <v>0</v>
      </c>
      <c r="S335" s="53">
        <v>0</v>
      </c>
      <c r="T335" s="52">
        <v>0</v>
      </c>
      <c r="U335" s="54">
        <v>0</v>
      </c>
    </row>
    <row r="336" spans="1:21" s="3" customFormat="1" ht="18" customHeight="1">
      <c r="A336" s="8" t="s">
        <v>423</v>
      </c>
      <c r="B336" s="52">
        <v>150</v>
      </c>
      <c r="C336" s="52">
        <v>62.999996000000003</v>
      </c>
      <c r="D336" s="52">
        <v>69</v>
      </c>
      <c r="E336" s="52">
        <v>18</v>
      </c>
      <c r="F336" s="52">
        <v>0</v>
      </c>
      <c r="G336" s="52">
        <v>0</v>
      </c>
      <c r="H336" s="52">
        <v>0</v>
      </c>
      <c r="I336" s="52">
        <v>0</v>
      </c>
      <c r="J336" s="52">
        <v>0</v>
      </c>
      <c r="K336" s="52">
        <v>0</v>
      </c>
      <c r="L336" s="52">
        <v>0</v>
      </c>
      <c r="M336" s="52">
        <v>0</v>
      </c>
      <c r="N336" s="52">
        <v>0</v>
      </c>
      <c r="O336" s="52">
        <v>0</v>
      </c>
      <c r="P336" s="52">
        <v>0</v>
      </c>
      <c r="Q336" s="53">
        <v>0.2</v>
      </c>
      <c r="R336" s="52">
        <v>1.5</v>
      </c>
      <c r="S336" s="53">
        <v>5.0000012000000003E-2</v>
      </c>
      <c r="T336" s="52">
        <v>4</v>
      </c>
      <c r="U336" s="54">
        <v>1</v>
      </c>
    </row>
    <row r="337" spans="1:21" s="3" customFormat="1" ht="18" customHeight="1">
      <c r="A337" s="8" t="s">
        <v>424</v>
      </c>
      <c r="B337" s="52">
        <v>180</v>
      </c>
      <c r="C337" s="52">
        <v>75.599997999999999</v>
      </c>
      <c r="D337" s="52">
        <v>82.800003000000004</v>
      </c>
      <c r="E337" s="52">
        <v>21.6</v>
      </c>
      <c r="F337" s="52">
        <v>0</v>
      </c>
      <c r="G337" s="52">
        <v>0</v>
      </c>
      <c r="H337" s="52">
        <v>0</v>
      </c>
      <c r="I337" s="52">
        <v>0</v>
      </c>
      <c r="J337" s="52">
        <v>0</v>
      </c>
      <c r="K337" s="52">
        <v>0</v>
      </c>
      <c r="L337" s="52">
        <v>0</v>
      </c>
      <c r="M337" s="52">
        <v>0</v>
      </c>
      <c r="N337" s="52">
        <v>0</v>
      </c>
      <c r="O337" s="52">
        <v>0</v>
      </c>
      <c r="P337" s="52">
        <v>0</v>
      </c>
      <c r="Q337" s="53">
        <v>0.40000001000000002</v>
      </c>
      <c r="R337" s="52">
        <v>2</v>
      </c>
      <c r="S337" s="53">
        <v>0.10000002</v>
      </c>
      <c r="T337" s="52">
        <v>5.0000004999999996</v>
      </c>
      <c r="U337" s="54">
        <v>1</v>
      </c>
    </row>
    <row r="338" spans="1:21" s="3" customFormat="1" ht="18" customHeight="1">
      <c r="A338" s="8" t="s">
        <v>425</v>
      </c>
      <c r="B338" s="52">
        <v>445</v>
      </c>
      <c r="C338" s="52">
        <v>400.5</v>
      </c>
      <c r="D338" s="52">
        <v>22.25</v>
      </c>
      <c r="E338" s="52">
        <v>22.250005999999999</v>
      </c>
      <c r="F338" s="52">
        <v>0</v>
      </c>
      <c r="G338" s="52">
        <v>0</v>
      </c>
      <c r="H338" s="52">
        <v>0</v>
      </c>
      <c r="I338" s="52">
        <v>0</v>
      </c>
      <c r="J338" s="52">
        <v>0</v>
      </c>
      <c r="K338" s="52">
        <v>0</v>
      </c>
      <c r="L338" s="52">
        <v>0</v>
      </c>
      <c r="M338" s="52">
        <v>0</v>
      </c>
      <c r="N338" s="52">
        <v>0</v>
      </c>
      <c r="O338" s="52">
        <v>0</v>
      </c>
      <c r="P338" s="52">
        <v>0</v>
      </c>
      <c r="Q338" s="53">
        <v>0.13</v>
      </c>
      <c r="R338" s="52">
        <v>2</v>
      </c>
      <c r="S338" s="53">
        <v>0.30000000999999998</v>
      </c>
      <c r="T338" s="52">
        <v>1</v>
      </c>
      <c r="U338" s="54">
        <v>0</v>
      </c>
    </row>
    <row r="339" spans="1:21" s="3" customFormat="1" ht="18" customHeight="1">
      <c r="A339" s="8" t="s">
        <v>426</v>
      </c>
      <c r="B339" s="52">
        <v>120</v>
      </c>
      <c r="C339" s="52">
        <v>84</v>
      </c>
      <c r="D339" s="52">
        <v>18</v>
      </c>
      <c r="E339" s="52">
        <v>17.999995999999999</v>
      </c>
      <c r="F339" s="52">
        <v>0</v>
      </c>
      <c r="G339" s="52">
        <v>0</v>
      </c>
      <c r="H339" s="52">
        <v>0</v>
      </c>
      <c r="I339" s="52">
        <v>0</v>
      </c>
      <c r="J339" s="52">
        <v>0</v>
      </c>
      <c r="K339" s="52">
        <v>0</v>
      </c>
      <c r="L339" s="52">
        <v>0</v>
      </c>
      <c r="M339" s="52">
        <v>0</v>
      </c>
      <c r="N339" s="52">
        <v>0</v>
      </c>
      <c r="O339" s="52">
        <v>0</v>
      </c>
      <c r="P339" s="52">
        <v>0</v>
      </c>
      <c r="Q339" s="53">
        <v>0.2</v>
      </c>
      <c r="R339" s="52">
        <v>2</v>
      </c>
      <c r="S339" s="53">
        <v>0.10000002</v>
      </c>
      <c r="T339" s="52">
        <v>0.91666669000000001</v>
      </c>
      <c r="U339" s="54">
        <v>0</v>
      </c>
    </row>
    <row r="340" spans="1:21" s="3" customFormat="1" ht="18" customHeight="1">
      <c r="A340" s="8" t="s">
        <v>427</v>
      </c>
      <c r="B340" s="52">
        <v>242</v>
      </c>
      <c r="C340" s="52">
        <v>169.39999</v>
      </c>
      <c r="D340" s="52">
        <v>36.300002999999997</v>
      </c>
      <c r="E340" s="52">
        <v>36.299995000000003</v>
      </c>
      <c r="F340" s="52">
        <v>0</v>
      </c>
      <c r="G340" s="52">
        <v>0</v>
      </c>
      <c r="H340" s="52">
        <v>0</v>
      </c>
      <c r="I340" s="52">
        <v>0</v>
      </c>
      <c r="J340" s="52">
        <v>0</v>
      </c>
      <c r="K340" s="52">
        <v>0</v>
      </c>
      <c r="L340" s="52">
        <v>0</v>
      </c>
      <c r="M340" s="52">
        <v>0</v>
      </c>
      <c r="N340" s="52">
        <v>0</v>
      </c>
      <c r="O340" s="52">
        <v>0</v>
      </c>
      <c r="P340" s="52">
        <v>0</v>
      </c>
      <c r="Q340" s="53">
        <v>0.16</v>
      </c>
      <c r="R340" s="52">
        <v>1.8</v>
      </c>
      <c r="S340" s="53">
        <v>0.38</v>
      </c>
      <c r="T340" s="52">
        <v>0.91666669000000001</v>
      </c>
      <c r="U340" s="54">
        <v>0</v>
      </c>
    </row>
    <row r="341" spans="1:21" s="3" customFormat="1" ht="18" customHeight="1">
      <c r="A341" s="8" t="s">
        <v>428</v>
      </c>
      <c r="B341" s="52">
        <v>30</v>
      </c>
      <c r="C341" s="52">
        <v>6</v>
      </c>
      <c r="D341" s="52">
        <v>6</v>
      </c>
      <c r="E341" s="52">
        <v>18</v>
      </c>
      <c r="F341" s="52">
        <v>0</v>
      </c>
      <c r="G341" s="52">
        <v>0</v>
      </c>
      <c r="H341" s="52">
        <v>0</v>
      </c>
      <c r="I341" s="52">
        <v>0</v>
      </c>
      <c r="J341" s="52">
        <v>0</v>
      </c>
      <c r="K341" s="52">
        <v>0</v>
      </c>
      <c r="L341" s="52">
        <v>0</v>
      </c>
      <c r="M341" s="52">
        <v>0</v>
      </c>
      <c r="N341" s="52">
        <v>0</v>
      </c>
      <c r="O341" s="52">
        <v>0</v>
      </c>
      <c r="P341" s="52">
        <v>0</v>
      </c>
      <c r="Q341" s="53">
        <v>0.11</v>
      </c>
      <c r="R341" s="52">
        <v>2.2999999999999998</v>
      </c>
      <c r="S341" s="53">
        <v>8.3333313000000006E-2</v>
      </c>
      <c r="T341" s="52">
        <v>3.6666666999999999</v>
      </c>
      <c r="U341" s="54">
        <v>9</v>
      </c>
    </row>
    <row r="342" spans="1:21" s="3" customFormat="1" ht="18" customHeight="1">
      <c r="A342" s="8" t="s">
        <v>429</v>
      </c>
      <c r="B342" s="52">
        <v>30</v>
      </c>
      <c r="C342" s="52">
        <v>6</v>
      </c>
      <c r="D342" s="52">
        <v>6</v>
      </c>
      <c r="E342" s="52">
        <v>18</v>
      </c>
      <c r="F342" s="52">
        <v>0</v>
      </c>
      <c r="G342" s="52">
        <v>0</v>
      </c>
      <c r="H342" s="52">
        <v>0</v>
      </c>
      <c r="I342" s="52">
        <v>0</v>
      </c>
      <c r="J342" s="52">
        <v>0</v>
      </c>
      <c r="K342" s="52">
        <v>0</v>
      </c>
      <c r="L342" s="52">
        <v>0</v>
      </c>
      <c r="M342" s="52">
        <v>0</v>
      </c>
      <c r="N342" s="52">
        <v>0</v>
      </c>
      <c r="O342" s="52">
        <v>0</v>
      </c>
      <c r="P342" s="52">
        <v>0</v>
      </c>
      <c r="Q342" s="53">
        <v>0.11</v>
      </c>
      <c r="R342" s="52">
        <v>2</v>
      </c>
      <c r="S342" s="53">
        <v>0.13800001000000001</v>
      </c>
      <c r="T342" s="52">
        <v>5.0000004999999996</v>
      </c>
      <c r="U342" s="54">
        <v>5</v>
      </c>
    </row>
    <row r="343" spans="1:21" s="3" customFormat="1" ht="18" customHeight="1">
      <c r="A343" s="8" t="s">
        <v>430</v>
      </c>
      <c r="B343" s="52">
        <v>97</v>
      </c>
      <c r="C343" s="52">
        <v>9.6999998000000005</v>
      </c>
      <c r="D343" s="52">
        <v>40.739998</v>
      </c>
      <c r="E343" s="52">
        <v>46.560001</v>
      </c>
      <c r="F343" s="52">
        <v>0</v>
      </c>
      <c r="G343" s="52">
        <v>0</v>
      </c>
      <c r="H343" s="52">
        <v>0</v>
      </c>
      <c r="I343" s="52">
        <v>0</v>
      </c>
      <c r="J343" s="52">
        <v>0</v>
      </c>
      <c r="K343" s="52">
        <v>0</v>
      </c>
      <c r="L343" s="52">
        <v>0</v>
      </c>
      <c r="M343" s="52">
        <v>0</v>
      </c>
      <c r="N343" s="52">
        <v>0</v>
      </c>
      <c r="O343" s="52">
        <v>0</v>
      </c>
      <c r="P343" s="52">
        <v>0</v>
      </c>
      <c r="Q343" s="53">
        <v>0.16</v>
      </c>
      <c r="R343" s="52">
        <v>2.0999998999999998</v>
      </c>
      <c r="S343" s="53">
        <v>0.35000002000000002</v>
      </c>
      <c r="T343" s="52">
        <v>5.0000004999999996</v>
      </c>
      <c r="U343" s="54">
        <v>1</v>
      </c>
    </row>
    <row r="344" spans="1:21" s="3" customFormat="1" ht="18" customHeight="1">
      <c r="A344" s="8" t="s">
        <v>431</v>
      </c>
      <c r="B344" s="52">
        <v>2</v>
      </c>
      <c r="C344" s="52">
        <v>0</v>
      </c>
      <c r="D344" s="52">
        <v>0</v>
      </c>
      <c r="E344" s="52">
        <v>0</v>
      </c>
      <c r="F344" s="52">
        <v>0</v>
      </c>
      <c r="G344" s="52">
        <v>0</v>
      </c>
      <c r="H344" s="52">
        <v>0</v>
      </c>
      <c r="I344" s="52">
        <v>0</v>
      </c>
      <c r="J344" s="52">
        <v>0</v>
      </c>
      <c r="K344" s="52">
        <v>0</v>
      </c>
      <c r="L344" s="52">
        <v>0</v>
      </c>
      <c r="M344" s="52">
        <v>0</v>
      </c>
      <c r="N344" s="52">
        <v>2</v>
      </c>
      <c r="O344" s="52">
        <v>0</v>
      </c>
      <c r="P344" s="52">
        <v>0</v>
      </c>
      <c r="Q344" s="53">
        <v>5.9999998999999998E-2</v>
      </c>
      <c r="R344" s="52">
        <v>1.8</v>
      </c>
      <c r="S344" s="53">
        <v>0.30000000999999998</v>
      </c>
      <c r="T344" s="52">
        <v>3.3333335000000002</v>
      </c>
      <c r="U344" s="54">
        <v>4</v>
      </c>
    </row>
    <row r="345" spans="1:21" s="3" customFormat="1" ht="18" customHeight="1">
      <c r="A345" s="8" t="s">
        <v>432</v>
      </c>
      <c r="B345" s="52">
        <v>0</v>
      </c>
      <c r="C345" s="52">
        <v>0</v>
      </c>
      <c r="D345" s="52">
        <v>0</v>
      </c>
      <c r="E345" s="52">
        <v>0</v>
      </c>
      <c r="F345" s="52">
        <v>0</v>
      </c>
      <c r="G345" s="52">
        <v>0</v>
      </c>
      <c r="H345" s="52">
        <v>0</v>
      </c>
      <c r="I345" s="52">
        <v>0</v>
      </c>
      <c r="J345" s="52">
        <v>0</v>
      </c>
      <c r="K345" s="52">
        <v>0</v>
      </c>
      <c r="L345" s="52">
        <v>0</v>
      </c>
      <c r="M345" s="52">
        <v>0</v>
      </c>
      <c r="N345" s="52">
        <v>0</v>
      </c>
      <c r="O345" s="52">
        <v>0</v>
      </c>
      <c r="P345" s="52">
        <v>0</v>
      </c>
      <c r="Q345" s="53">
        <v>0</v>
      </c>
      <c r="R345" s="52">
        <v>0</v>
      </c>
      <c r="S345" s="53">
        <v>0</v>
      </c>
      <c r="T345" s="52">
        <v>0</v>
      </c>
      <c r="U345" s="54">
        <v>0</v>
      </c>
    </row>
    <row r="346" spans="1:21" s="3" customFormat="1" ht="18" customHeight="1">
      <c r="A346" s="8" t="s">
        <v>433</v>
      </c>
      <c r="B346" s="52">
        <v>193</v>
      </c>
      <c r="C346" s="52">
        <v>110.01</v>
      </c>
      <c r="D346" s="52">
        <v>5.79</v>
      </c>
      <c r="E346" s="52">
        <v>77.200005000000004</v>
      </c>
      <c r="F346" s="52">
        <v>0</v>
      </c>
      <c r="G346" s="52">
        <v>0</v>
      </c>
      <c r="H346" s="52">
        <v>0</v>
      </c>
      <c r="I346" s="52">
        <v>0</v>
      </c>
      <c r="J346" s="52">
        <v>0</v>
      </c>
      <c r="K346" s="52">
        <v>0</v>
      </c>
      <c r="L346" s="52">
        <v>0</v>
      </c>
      <c r="M346" s="52">
        <v>0</v>
      </c>
      <c r="N346" s="52">
        <v>0</v>
      </c>
      <c r="O346" s="52">
        <v>0</v>
      </c>
      <c r="P346" s="52">
        <v>0</v>
      </c>
      <c r="Q346" s="53">
        <v>0.31</v>
      </c>
      <c r="R346" s="52">
        <v>2.5</v>
      </c>
      <c r="S346" s="53">
        <v>9.0000032999999993E-2</v>
      </c>
      <c r="T346" s="52">
        <v>0.83333336999999996</v>
      </c>
      <c r="U346" s="54">
        <v>0</v>
      </c>
    </row>
    <row r="347" spans="1:21" s="3" customFormat="1" ht="18" customHeight="1">
      <c r="A347" s="8" t="s">
        <v>434</v>
      </c>
      <c r="B347" s="52">
        <v>260</v>
      </c>
      <c r="C347" s="52">
        <v>52</v>
      </c>
      <c r="D347" s="52">
        <v>104</v>
      </c>
      <c r="E347" s="52">
        <v>103.99999</v>
      </c>
      <c r="F347" s="52">
        <v>0</v>
      </c>
      <c r="G347" s="52">
        <v>0</v>
      </c>
      <c r="H347" s="52">
        <v>0</v>
      </c>
      <c r="I347" s="52">
        <v>0</v>
      </c>
      <c r="J347" s="52">
        <v>0</v>
      </c>
      <c r="K347" s="52">
        <v>0</v>
      </c>
      <c r="L347" s="52">
        <v>0</v>
      </c>
      <c r="M347" s="52">
        <v>0</v>
      </c>
      <c r="N347" s="52">
        <v>0</v>
      </c>
      <c r="O347" s="52">
        <v>0</v>
      </c>
      <c r="P347" s="52">
        <v>0</v>
      </c>
      <c r="Q347" s="53">
        <v>0.23999999</v>
      </c>
      <c r="R347" s="52">
        <v>2.2000000000000002</v>
      </c>
      <c r="S347" s="53">
        <v>0.30000000999999998</v>
      </c>
      <c r="T347" s="52">
        <v>1</v>
      </c>
      <c r="U347" s="54">
        <v>0</v>
      </c>
    </row>
    <row r="348" spans="1:21" s="3" customFormat="1" ht="18" customHeight="1">
      <c r="A348" s="8" t="s">
        <v>435</v>
      </c>
      <c r="B348" s="52">
        <v>49</v>
      </c>
      <c r="C348" s="52">
        <v>36.75</v>
      </c>
      <c r="D348" s="52">
        <v>6.125</v>
      </c>
      <c r="E348" s="52">
        <v>6.125</v>
      </c>
      <c r="F348" s="52">
        <v>0</v>
      </c>
      <c r="G348" s="52">
        <v>0</v>
      </c>
      <c r="H348" s="52">
        <v>0</v>
      </c>
      <c r="I348" s="52">
        <v>0</v>
      </c>
      <c r="J348" s="52">
        <v>0</v>
      </c>
      <c r="K348" s="52">
        <v>0</v>
      </c>
      <c r="L348" s="52">
        <v>0</v>
      </c>
      <c r="M348" s="52">
        <v>0</v>
      </c>
      <c r="N348" s="52">
        <v>0</v>
      </c>
      <c r="O348" s="52">
        <v>0</v>
      </c>
      <c r="P348" s="52">
        <v>0</v>
      </c>
      <c r="Q348" s="53">
        <v>5.0000001000000002E-2</v>
      </c>
      <c r="R348" s="52">
        <v>2</v>
      </c>
      <c r="S348" s="53">
        <v>0.13</v>
      </c>
      <c r="T348" s="52">
        <v>4.4155845999999999</v>
      </c>
      <c r="U348" s="54">
        <v>1</v>
      </c>
    </row>
    <row r="349" spans="1:21" s="3" customFormat="1" ht="18" customHeight="1">
      <c r="A349" s="8" t="s">
        <v>436</v>
      </c>
      <c r="B349" s="52">
        <v>190</v>
      </c>
      <c r="C349" s="52">
        <v>29.999998000000001</v>
      </c>
      <c r="D349" s="52">
        <v>14.999999000000001</v>
      </c>
      <c r="E349" s="52">
        <v>45</v>
      </c>
      <c r="F349" s="52">
        <v>100</v>
      </c>
      <c r="G349" s="52">
        <v>0</v>
      </c>
      <c r="H349" s="52">
        <v>0</v>
      </c>
      <c r="I349" s="52">
        <v>0</v>
      </c>
      <c r="J349" s="52">
        <v>0</v>
      </c>
      <c r="K349" s="52">
        <v>0</v>
      </c>
      <c r="L349" s="52">
        <v>0</v>
      </c>
      <c r="M349" s="52">
        <v>0</v>
      </c>
      <c r="N349" s="52">
        <v>0</v>
      </c>
      <c r="O349" s="52">
        <v>0</v>
      </c>
      <c r="P349" s="52">
        <v>0</v>
      </c>
      <c r="Q349" s="53">
        <v>0.14000000000000001</v>
      </c>
      <c r="R349" s="52">
        <v>2</v>
      </c>
      <c r="S349" s="53">
        <v>0.22000003000000001</v>
      </c>
      <c r="T349" s="52">
        <v>0.91666669000000001</v>
      </c>
      <c r="U349" s="54">
        <v>0</v>
      </c>
    </row>
    <row r="350" spans="1:21" s="3" customFormat="1" ht="18" customHeight="1">
      <c r="A350" s="8" t="s">
        <v>437</v>
      </c>
      <c r="B350" s="52">
        <v>0</v>
      </c>
      <c r="C350" s="52">
        <v>0</v>
      </c>
      <c r="D350" s="52">
        <v>0</v>
      </c>
      <c r="E350" s="52">
        <v>0</v>
      </c>
      <c r="F350" s="52">
        <v>0</v>
      </c>
      <c r="G350" s="52">
        <v>0</v>
      </c>
      <c r="H350" s="52">
        <v>0</v>
      </c>
      <c r="I350" s="52">
        <v>0</v>
      </c>
      <c r="J350" s="52">
        <v>0</v>
      </c>
      <c r="K350" s="52">
        <v>0</v>
      </c>
      <c r="L350" s="52">
        <v>0</v>
      </c>
      <c r="M350" s="52">
        <v>0</v>
      </c>
      <c r="N350" s="52">
        <v>0</v>
      </c>
      <c r="O350" s="52">
        <v>0</v>
      </c>
      <c r="P350" s="52">
        <v>0</v>
      </c>
      <c r="Q350" s="53">
        <v>0</v>
      </c>
      <c r="R350" s="52">
        <v>0</v>
      </c>
      <c r="S350" s="53">
        <v>0</v>
      </c>
      <c r="T350" s="52">
        <v>0</v>
      </c>
      <c r="U350" s="54">
        <v>0</v>
      </c>
    </row>
    <row r="351" spans="1:21" s="3" customFormat="1" ht="18" customHeight="1">
      <c r="A351" s="8" t="s">
        <v>438</v>
      </c>
      <c r="B351" s="52">
        <v>217</v>
      </c>
      <c r="C351" s="52">
        <v>26.039999000000002</v>
      </c>
      <c r="D351" s="52">
        <v>39.060001</v>
      </c>
      <c r="E351" s="52">
        <v>151.89999</v>
      </c>
      <c r="F351" s="52">
        <v>0</v>
      </c>
      <c r="G351" s="52">
        <v>0</v>
      </c>
      <c r="H351" s="52">
        <v>0</v>
      </c>
      <c r="I351" s="52">
        <v>0</v>
      </c>
      <c r="J351" s="52">
        <v>0</v>
      </c>
      <c r="K351" s="52">
        <v>0</v>
      </c>
      <c r="L351" s="52">
        <v>0</v>
      </c>
      <c r="M351" s="52">
        <v>0</v>
      </c>
      <c r="N351" s="52">
        <v>0</v>
      </c>
      <c r="O351" s="52">
        <v>0</v>
      </c>
      <c r="P351" s="52">
        <v>0</v>
      </c>
      <c r="Q351" s="53">
        <v>0.28999998999999999</v>
      </c>
      <c r="R351" s="52">
        <v>2.2999999999999998</v>
      </c>
      <c r="S351" s="53">
        <v>0.19</v>
      </c>
      <c r="T351" s="52">
        <v>0.83333336999999996</v>
      </c>
      <c r="U351" s="54">
        <v>0</v>
      </c>
    </row>
    <row r="352" spans="1:21" s="3" customFormat="1" ht="18" customHeight="1">
      <c r="A352" s="8" t="s">
        <v>439</v>
      </c>
      <c r="B352" s="52">
        <v>130</v>
      </c>
      <c r="C352" s="52">
        <v>13</v>
      </c>
      <c r="D352" s="52">
        <v>13</v>
      </c>
      <c r="E352" s="52">
        <v>104</v>
      </c>
      <c r="F352" s="52">
        <v>0</v>
      </c>
      <c r="G352" s="52">
        <v>0</v>
      </c>
      <c r="H352" s="52">
        <v>0</v>
      </c>
      <c r="I352" s="52">
        <v>0</v>
      </c>
      <c r="J352" s="52">
        <v>0</v>
      </c>
      <c r="K352" s="52">
        <v>0</v>
      </c>
      <c r="L352" s="52">
        <v>0</v>
      </c>
      <c r="M352" s="52">
        <v>0</v>
      </c>
      <c r="N352" s="52">
        <v>0</v>
      </c>
      <c r="O352" s="52">
        <v>0</v>
      </c>
      <c r="P352" s="52">
        <v>0</v>
      </c>
      <c r="Q352" s="53">
        <v>0.1</v>
      </c>
      <c r="R352" s="52">
        <v>1.5</v>
      </c>
      <c r="S352" s="53">
        <v>0.19999998999999999</v>
      </c>
      <c r="T352" s="52">
        <v>1.0833333999999999</v>
      </c>
      <c r="U352" s="54">
        <v>0</v>
      </c>
    </row>
    <row r="353" spans="1:21" s="3" customFormat="1" ht="18" customHeight="1">
      <c r="A353" s="8" t="s">
        <v>440</v>
      </c>
      <c r="B353" s="52">
        <v>212</v>
      </c>
      <c r="C353" s="52">
        <v>21.200001</v>
      </c>
      <c r="D353" s="52">
        <v>21.200001</v>
      </c>
      <c r="E353" s="52">
        <v>169.60001</v>
      </c>
      <c r="F353" s="52">
        <v>0</v>
      </c>
      <c r="G353" s="52">
        <v>0</v>
      </c>
      <c r="H353" s="52">
        <v>0</v>
      </c>
      <c r="I353" s="52">
        <v>0</v>
      </c>
      <c r="J353" s="52">
        <v>0</v>
      </c>
      <c r="K353" s="52">
        <v>0</v>
      </c>
      <c r="L353" s="52">
        <v>0</v>
      </c>
      <c r="M353" s="52">
        <v>0</v>
      </c>
      <c r="N353" s="52">
        <v>0</v>
      </c>
      <c r="O353" s="52">
        <v>0</v>
      </c>
      <c r="P353" s="52">
        <v>0</v>
      </c>
      <c r="Q353" s="53">
        <v>0.22</v>
      </c>
      <c r="R353" s="52">
        <v>2</v>
      </c>
      <c r="S353" s="53">
        <v>0.34000003000000001</v>
      </c>
      <c r="T353" s="52">
        <v>1.1666666999999999</v>
      </c>
      <c r="U353" s="54">
        <v>0</v>
      </c>
    </row>
    <row r="354" spans="1:21" s="3" customFormat="1" ht="18" customHeight="1">
      <c r="A354" s="8" t="s">
        <v>441</v>
      </c>
      <c r="B354" s="52">
        <v>0</v>
      </c>
      <c r="C354" s="52">
        <v>0</v>
      </c>
      <c r="D354" s="52">
        <v>0</v>
      </c>
      <c r="E354" s="52">
        <v>0</v>
      </c>
      <c r="F354" s="52">
        <v>0</v>
      </c>
      <c r="G354" s="52">
        <v>0</v>
      </c>
      <c r="H354" s="52">
        <v>0</v>
      </c>
      <c r="I354" s="52">
        <v>0</v>
      </c>
      <c r="J354" s="52">
        <v>0</v>
      </c>
      <c r="K354" s="52">
        <v>0</v>
      </c>
      <c r="L354" s="52">
        <v>0</v>
      </c>
      <c r="M354" s="52">
        <v>0</v>
      </c>
      <c r="N354" s="52">
        <v>0</v>
      </c>
      <c r="O354" s="52">
        <v>0</v>
      </c>
      <c r="P354" s="52">
        <v>0</v>
      </c>
      <c r="Q354" s="53">
        <v>0</v>
      </c>
      <c r="R354" s="52">
        <v>0</v>
      </c>
      <c r="S354" s="53">
        <v>0</v>
      </c>
      <c r="T354" s="52">
        <v>0</v>
      </c>
      <c r="U354" s="54">
        <v>0</v>
      </c>
    </row>
    <row r="355" spans="1:21" s="3" customFormat="1" ht="18" customHeight="1">
      <c r="A355" s="8" t="s">
        <v>441</v>
      </c>
      <c r="B355" s="52">
        <v>0</v>
      </c>
      <c r="C355" s="52">
        <v>0</v>
      </c>
      <c r="D355" s="52">
        <v>0</v>
      </c>
      <c r="E355" s="52">
        <v>0</v>
      </c>
      <c r="F355" s="52">
        <v>0</v>
      </c>
      <c r="G355" s="52">
        <v>0</v>
      </c>
      <c r="H355" s="52">
        <v>0</v>
      </c>
      <c r="I355" s="52">
        <v>0</v>
      </c>
      <c r="J355" s="52">
        <v>0</v>
      </c>
      <c r="K355" s="52">
        <v>0</v>
      </c>
      <c r="L355" s="52">
        <v>0</v>
      </c>
      <c r="M355" s="52">
        <v>0</v>
      </c>
      <c r="N355" s="52">
        <v>0</v>
      </c>
      <c r="O355" s="52">
        <v>0</v>
      </c>
      <c r="P355" s="52">
        <v>0</v>
      </c>
      <c r="Q355" s="53">
        <v>0</v>
      </c>
      <c r="R355" s="52">
        <v>0</v>
      </c>
      <c r="S355" s="53">
        <v>0</v>
      </c>
      <c r="T355" s="52">
        <v>0</v>
      </c>
      <c r="U355" s="54">
        <v>0</v>
      </c>
    </row>
    <row r="356" spans="1:21" s="3" customFormat="1" ht="18" customHeight="1">
      <c r="A356" s="8" t="s">
        <v>442</v>
      </c>
      <c r="B356" s="52">
        <v>0</v>
      </c>
      <c r="C356" s="52">
        <v>0</v>
      </c>
      <c r="D356" s="52">
        <v>0</v>
      </c>
      <c r="E356" s="52">
        <v>0</v>
      </c>
      <c r="F356" s="52">
        <v>0</v>
      </c>
      <c r="G356" s="52">
        <v>0</v>
      </c>
      <c r="H356" s="52">
        <v>0</v>
      </c>
      <c r="I356" s="52">
        <v>0</v>
      </c>
      <c r="J356" s="52">
        <v>0</v>
      </c>
      <c r="K356" s="52">
        <v>0</v>
      </c>
      <c r="L356" s="52">
        <v>0</v>
      </c>
      <c r="M356" s="52">
        <v>0</v>
      </c>
      <c r="N356" s="52">
        <v>0</v>
      </c>
      <c r="O356" s="52">
        <v>0</v>
      </c>
      <c r="P356" s="52">
        <v>0</v>
      </c>
      <c r="Q356" s="53">
        <v>0</v>
      </c>
      <c r="R356" s="52">
        <v>0</v>
      </c>
      <c r="S356" s="53">
        <v>0</v>
      </c>
      <c r="T356" s="52">
        <v>0</v>
      </c>
      <c r="U356" s="54">
        <v>0</v>
      </c>
    </row>
    <row r="357" spans="1:21" s="3" customFormat="1" ht="18" customHeight="1">
      <c r="A357" s="8" t="s">
        <v>443</v>
      </c>
      <c r="B357" s="52">
        <v>500</v>
      </c>
      <c r="C357" s="52">
        <v>200</v>
      </c>
      <c r="D357" s="52">
        <v>0</v>
      </c>
      <c r="E357" s="52">
        <v>0</v>
      </c>
      <c r="F357" s="52">
        <v>0</v>
      </c>
      <c r="G357" s="52">
        <v>0</v>
      </c>
      <c r="H357" s="52">
        <v>0</v>
      </c>
      <c r="I357" s="52">
        <v>0</v>
      </c>
      <c r="J357" s="52">
        <v>300</v>
      </c>
      <c r="K357" s="52">
        <v>0</v>
      </c>
      <c r="L357" s="52">
        <v>0</v>
      </c>
      <c r="M357" s="52">
        <v>0</v>
      </c>
      <c r="N357" s="52">
        <v>0</v>
      </c>
      <c r="O357" s="52">
        <v>0</v>
      </c>
      <c r="P357" s="52">
        <v>0</v>
      </c>
      <c r="Q357" s="53">
        <v>0.17</v>
      </c>
      <c r="R357" s="52">
        <v>2.2999999999999998</v>
      </c>
      <c r="S357" s="53">
        <v>0.19</v>
      </c>
      <c r="T357" s="52">
        <v>2</v>
      </c>
      <c r="U357" s="54">
        <v>1</v>
      </c>
    </row>
    <row r="358" spans="1:21" s="3" customFormat="1" ht="18" customHeight="1">
      <c r="A358" s="8" t="s">
        <v>444</v>
      </c>
      <c r="B358" s="52">
        <v>45.999996000000003</v>
      </c>
      <c r="C358" s="52">
        <v>4.5999999000000003</v>
      </c>
      <c r="D358" s="52">
        <v>34.5</v>
      </c>
      <c r="E358" s="52">
        <v>6.8999987000000003</v>
      </c>
      <c r="F358" s="52">
        <v>0</v>
      </c>
      <c r="G358" s="52">
        <v>0</v>
      </c>
      <c r="H358" s="52">
        <v>0</v>
      </c>
      <c r="I358" s="52">
        <v>0</v>
      </c>
      <c r="J358" s="52">
        <v>0</v>
      </c>
      <c r="K358" s="52">
        <v>0</v>
      </c>
      <c r="L358" s="52">
        <v>0</v>
      </c>
      <c r="M358" s="52">
        <v>0</v>
      </c>
      <c r="N358" s="52">
        <v>0</v>
      </c>
      <c r="O358" s="52">
        <v>0</v>
      </c>
      <c r="P358" s="52">
        <v>0</v>
      </c>
      <c r="Q358" s="53">
        <v>7.9999998000000003E-2</v>
      </c>
      <c r="R358" s="52">
        <v>1.6</v>
      </c>
      <c r="S358" s="53">
        <v>7.9999982999999997E-2</v>
      </c>
      <c r="T358" s="52">
        <v>3.3333335000000002</v>
      </c>
      <c r="U358" s="54">
        <v>1</v>
      </c>
    </row>
    <row r="359" spans="1:21" s="3" customFormat="1" ht="18" customHeight="1">
      <c r="A359" s="8" t="s">
        <v>445</v>
      </c>
      <c r="B359" s="52">
        <v>274</v>
      </c>
      <c r="C359" s="52">
        <v>87</v>
      </c>
      <c r="D359" s="52">
        <v>0</v>
      </c>
      <c r="E359" s="52">
        <v>0</v>
      </c>
      <c r="F359" s="52">
        <v>0</v>
      </c>
      <c r="G359" s="52">
        <v>0</v>
      </c>
      <c r="H359" s="52">
        <v>0</v>
      </c>
      <c r="I359" s="52">
        <v>0</v>
      </c>
      <c r="J359" s="52">
        <v>187</v>
      </c>
      <c r="K359" s="52">
        <v>0</v>
      </c>
      <c r="L359" s="52">
        <v>0</v>
      </c>
      <c r="M359" s="52">
        <v>0</v>
      </c>
      <c r="N359" s="52">
        <v>0</v>
      </c>
      <c r="O359" s="52">
        <v>0</v>
      </c>
      <c r="P359" s="52">
        <v>0</v>
      </c>
      <c r="Q359" s="53">
        <v>0.34999998999999998</v>
      </c>
      <c r="R359" s="52">
        <v>2</v>
      </c>
      <c r="S359" s="53">
        <v>0.19999998999999999</v>
      </c>
      <c r="T359" s="52">
        <v>4.5833335000000002</v>
      </c>
      <c r="U359" s="54">
        <v>1</v>
      </c>
    </row>
    <row r="360" spans="1:21" s="3" customFormat="1" ht="18" customHeight="1">
      <c r="A360" s="8" t="s">
        <v>446</v>
      </c>
      <c r="B360" s="52">
        <v>15</v>
      </c>
      <c r="C360" s="52">
        <v>6.75</v>
      </c>
      <c r="D360" s="52">
        <v>3.75</v>
      </c>
      <c r="E360" s="52">
        <v>4.5</v>
      </c>
      <c r="F360" s="52">
        <v>0</v>
      </c>
      <c r="G360" s="52">
        <v>0</v>
      </c>
      <c r="H360" s="52">
        <v>0</v>
      </c>
      <c r="I360" s="52">
        <v>0</v>
      </c>
      <c r="J360" s="52">
        <v>0</v>
      </c>
      <c r="K360" s="52">
        <v>0</v>
      </c>
      <c r="L360" s="52">
        <v>0</v>
      </c>
      <c r="M360" s="52">
        <v>0</v>
      </c>
      <c r="N360" s="52">
        <v>0</v>
      </c>
      <c r="O360" s="52">
        <v>0</v>
      </c>
      <c r="P360" s="52">
        <v>0</v>
      </c>
      <c r="Q360" s="53">
        <v>0.28999998999999999</v>
      </c>
      <c r="R360" s="52">
        <v>2</v>
      </c>
      <c r="S360" s="53">
        <v>0.111</v>
      </c>
      <c r="T360" s="52">
        <v>5.0000004999999996</v>
      </c>
      <c r="U360" s="54">
        <v>10</v>
      </c>
    </row>
    <row r="361" spans="1:21" s="3" customFormat="1" ht="18" customHeight="1">
      <c r="A361" s="8" t="s">
        <v>447</v>
      </c>
      <c r="B361" s="52">
        <v>1026</v>
      </c>
      <c r="C361" s="52">
        <v>187</v>
      </c>
      <c r="D361" s="52">
        <v>0</v>
      </c>
      <c r="E361" s="52">
        <v>0</v>
      </c>
      <c r="F361" s="52">
        <v>0</v>
      </c>
      <c r="G361" s="52">
        <v>0</v>
      </c>
      <c r="H361" s="52">
        <v>0</v>
      </c>
      <c r="I361" s="52">
        <v>0</v>
      </c>
      <c r="J361" s="52">
        <v>839</v>
      </c>
      <c r="K361" s="52">
        <v>0</v>
      </c>
      <c r="L361" s="52">
        <v>0</v>
      </c>
      <c r="M361" s="52">
        <v>0</v>
      </c>
      <c r="N361" s="52">
        <v>0</v>
      </c>
      <c r="O361" s="52">
        <v>0</v>
      </c>
      <c r="P361" s="52">
        <v>0</v>
      </c>
      <c r="Q361" s="53">
        <v>0.34999998999999998</v>
      </c>
      <c r="R361" s="52">
        <v>2.0999998999999998</v>
      </c>
      <c r="S361" s="53">
        <v>0.20999998</v>
      </c>
      <c r="T361" s="52">
        <v>0.66666669000000001</v>
      </c>
      <c r="U361" s="54">
        <v>1</v>
      </c>
    </row>
    <row r="362" spans="1:21" s="3" customFormat="1" ht="18" customHeight="1">
      <c r="A362" s="8" t="s">
        <v>448</v>
      </c>
      <c r="B362" s="52">
        <v>366</v>
      </c>
      <c r="C362" s="52">
        <v>260</v>
      </c>
      <c r="D362" s="52">
        <v>52</v>
      </c>
      <c r="E362" s="52">
        <v>29</v>
      </c>
      <c r="F362" s="52">
        <v>0</v>
      </c>
      <c r="G362" s="52">
        <v>0</v>
      </c>
      <c r="H362" s="52">
        <v>0</v>
      </c>
      <c r="I362" s="52">
        <v>0</v>
      </c>
      <c r="J362" s="52">
        <v>25</v>
      </c>
      <c r="K362" s="52">
        <v>0</v>
      </c>
      <c r="L362" s="52">
        <v>0</v>
      </c>
      <c r="M362" s="52">
        <v>0</v>
      </c>
      <c r="N362" s="52">
        <v>0</v>
      </c>
      <c r="O362" s="52">
        <v>0</v>
      </c>
      <c r="P362" s="52">
        <v>0</v>
      </c>
      <c r="Q362" s="53">
        <v>0.5</v>
      </c>
      <c r="R362" s="52">
        <v>2.2999999999999998</v>
      </c>
      <c r="S362" s="53">
        <v>0.26999997999999997</v>
      </c>
      <c r="T362" s="52">
        <v>1.1666666999999999</v>
      </c>
      <c r="U362" s="54">
        <v>1</v>
      </c>
    </row>
    <row r="363" spans="1:21" s="3" customFormat="1" ht="18" customHeight="1">
      <c r="A363" s="8" t="s">
        <v>449</v>
      </c>
      <c r="B363" s="52">
        <v>46</v>
      </c>
      <c r="C363" s="52">
        <v>4.5999999000000003</v>
      </c>
      <c r="D363" s="52">
        <v>4.5999999000000003</v>
      </c>
      <c r="E363" s="52">
        <v>36.799999</v>
      </c>
      <c r="F363" s="52">
        <v>0</v>
      </c>
      <c r="G363" s="52">
        <v>0</v>
      </c>
      <c r="H363" s="52">
        <v>0</v>
      </c>
      <c r="I363" s="52">
        <v>0</v>
      </c>
      <c r="J363" s="52">
        <v>0</v>
      </c>
      <c r="K363" s="52">
        <v>0</v>
      </c>
      <c r="L363" s="52">
        <v>0</v>
      </c>
      <c r="M363" s="52">
        <v>0</v>
      </c>
      <c r="N363" s="52">
        <v>0</v>
      </c>
      <c r="O363" s="52">
        <v>0</v>
      </c>
      <c r="P363" s="52">
        <v>0</v>
      </c>
      <c r="Q363" s="53">
        <v>0.19</v>
      </c>
      <c r="R363" s="52">
        <v>2.0999998999999998</v>
      </c>
      <c r="S363" s="53">
        <v>8.9999973999999996E-2</v>
      </c>
      <c r="T363" s="52">
        <v>3.3333335000000002</v>
      </c>
      <c r="U363" s="54">
        <v>10</v>
      </c>
    </row>
    <row r="364" spans="1:21" s="3" customFormat="1" ht="18" customHeight="1">
      <c r="A364" s="8" t="s">
        <v>450</v>
      </c>
      <c r="B364" s="52">
        <v>205</v>
      </c>
      <c r="C364" s="52">
        <v>5</v>
      </c>
      <c r="D364" s="52">
        <v>40</v>
      </c>
      <c r="E364" s="52">
        <v>4.9999981</v>
      </c>
      <c r="F364" s="52">
        <v>0</v>
      </c>
      <c r="G364" s="52">
        <v>0</v>
      </c>
      <c r="H364" s="52">
        <v>0</v>
      </c>
      <c r="I364" s="52">
        <v>0</v>
      </c>
      <c r="J364" s="52">
        <v>155</v>
      </c>
      <c r="K364" s="52">
        <v>0</v>
      </c>
      <c r="L364" s="52">
        <v>0</v>
      </c>
      <c r="M364" s="52">
        <v>0</v>
      </c>
      <c r="N364" s="52">
        <v>0</v>
      </c>
      <c r="O364" s="52">
        <v>0</v>
      </c>
      <c r="P364" s="52">
        <v>0</v>
      </c>
      <c r="Q364" s="53">
        <v>0.27000001000000001</v>
      </c>
      <c r="R364" s="52">
        <v>2.0999998999999998</v>
      </c>
      <c r="S364" s="53">
        <v>0.26999997999999997</v>
      </c>
      <c r="T364" s="52">
        <v>5.5500002000000004</v>
      </c>
      <c r="U364" s="54">
        <v>1</v>
      </c>
    </row>
    <row r="365" spans="1:21" s="3" customFormat="1" ht="18" customHeight="1">
      <c r="A365" s="8" t="s">
        <v>451</v>
      </c>
      <c r="B365" s="52">
        <v>87</v>
      </c>
      <c r="C365" s="52">
        <v>13.05</v>
      </c>
      <c r="D365" s="52">
        <v>56.549999</v>
      </c>
      <c r="E365" s="52">
        <v>17.400003000000002</v>
      </c>
      <c r="F365" s="52">
        <v>0</v>
      </c>
      <c r="G365" s="52">
        <v>0</v>
      </c>
      <c r="H365" s="52">
        <v>0</v>
      </c>
      <c r="I365" s="52">
        <v>0</v>
      </c>
      <c r="J365" s="52">
        <v>0</v>
      </c>
      <c r="K365" s="52">
        <v>0</v>
      </c>
      <c r="L365" s="52">
        <v>0</v>
      </c>
      <c r="M365" s="52">
        <v>0</v>
      </c>
      <c r="N365" s="52">
        <v>0</v>
      </c>
      <c r="O365" s="52">
        <v>0</v>
      </c>
      <c r="P365" s="52">
        <v>0</v>
      </c>
      <c r="Q365" s="53">
        <v>0.23</v>
      </c>
      <c r="R365" s="52">
        <v>2.0999998999999998</v>
      </c>
      <c r="S365" s="53">
        <v>0.13285714000000001</v>
      </c>
      <c r="T365" s="52">
        <v>2.1666666999999999</v>
      </c>
      <c r="U365" s="54">
        <v>7</v>
      </c>
    </row>
    <row r="366" spans="1:21" s="3" customFormat="1" ht="18" customHeight="1">
      <c r="A366" s="8" t="s">
        <v>452</v>
      </c>
      <c r="B366" s="52">
        <v>30</v>
      </c>
      <c r="C366" s="52">
        <v>7.5</v>
      </c>
      <c r="D366" s="52">
        <v>7.5</v>
      </c>
      <c r="E366" s="52">
        <v>15</v>
      </c>
      <c r="F366" s="52">
        <v>0</v>
      </c>
      <c r="G366" s="52">
        <v>0</v>
      </c>
      <c r="H366" s="52">
        <v>0</v>
      </c>
      <c r="I366" s="52">
        <v>0</v>
      </c>
      <c r="J366" s="52">
        <v>0</v>
      </c>
      <c r="K366" s="52">
        <v>0</v>
      </c>
      <c r="L366" s="52">
        <v>0</v>
      </c>
      <c r="M366" s="52">
        <v>0</v>
      </c>
      <c r="N366" s="52">
        <v>0</v>
      </c>
      <c r="O366" s="52">
        <v>0</v>
      </c>
      <c r="P366" s="52">
        <v>0</v>
      </c>
      <c r="Q366" s="53">
        <v>0.25</v>
      </c>
      <c r="R366" s="52">
        <v>2.0999998999999998</v>
      </c>
      <c r="S366" s="53">
        <v>0.33000003999999999</v>
      </c>
      <c r="T366" s="52">
        <v>9.0909099999999992</v>
      </c>
      <c r="U366" s="54">
        <v>1</v>
      </c>
    </row>
    <row r="367" spans="1:21" s="3" customFormat="1" ht="18" customHeight="1">
      <c r="A367" s="8" t="s">
        <v>453</v>
      </c>
      <c r="B367" s="52">
        <v>23</v>
      </c>
      <c r="C367" s="52">
        <v>7.1300001000000002</v>
      </c>
      <c r="D367" s="52">
        <v>6.21</v>
      </c>
      <c r="E367" s="52">
        <v>9.6599988999999997</v>
      </c>
      <c r="F367" s="52">
        <v>0</v>
      </c>
      <c r="G367" s="52">
        <v>0</v>
      </c>
      <c r="H367" s="52">
        <v>0</v>
      </c>
      <c r="I367" s="52">
        <v>0</v>
      </c>
      <c r="J367" s="52">
        <v>0</v>
      </c>
      <c r="K367" s="52">
        <v>0</v>
      </c>
      <c r="L367" s="52">
        <v>0</v>
      </c>
      <c r="M367" s="52">
        <v>0</v>
      </c>
      <c r="N367" s="52">
        <v>0</v>
      </c>
      <c r="O367" s="52">
        <v>0</v>
      </c>
      <c r="P367" s="52">
        <v>0</v>
      </c>
      <c r="Q367" s="53">
        <v>0.23</v>
      </c>
      <c r="R367" s="52">
        <v>2.0999998999999998</v>
      </c>
      <c r="S367" s="53">
        <v>0.31</v>
      </c>
      <c r="T367" s="52">
        <v>11.666667</v>
      </c>
      <c r="U367" s="54">
        <v>1</v>
      </c>
    </row>
    <row r="368" spans="1:21" s="3" customFormat="1" ht="18" customHeight="1">
      <c r="A368" s="8" t="s">
        <v>454</v>
      </c>
      <c r="B368" s="52">
        <v>20</v>
      </c>
      <c r="C368" s="52">
        <v>4</v>
      </c>
      <c r="D368" s="52">
        <v>4</v>
      </c>
      <c r="E368" s="52">
        <v>12</v>
      </c>
      <c r="F368" s="52">
        <v>0</v>
      </c>
      <c r="G368" s="52">
        <v>0</v>
      </c>
      <c r="H368" s="52">
        <v>0</v>
      </c>
      <c r="I368" s="52">
        <v>0</v>
      </c>
      <c r="J368" s="52">
        <v>0</v>
      </c>
      <c r="K368" s="52">
        <v>0</v>
      </c>
      <c r="L368" s="52">
        <v>0</v>
      </c>
      <c r="M368" s="52">
        <v>0</v>
      </c>
      <c r="N368" s="52">
        <v>0</v>
      </c>
      <c r="O368" s="52">
        <v>0</v>
      </c>
      <c r="P368" s="52">
        <v>0</v>
      </c>
      <c r="Q368" s="53">
        <v>0.19</v>
      </c>
      <c r="R368" s="52">
        <v>2.2999999999999998</v>
      </c>
      <c r="S368" s="53">
        <v>0.10000002</v>
      </c>
      <c r="T368" s="52">
        <v>4.1666670000000003</v>
      </c>
      <c r="U368" s="54">
        <v>9</v>
      </c>
    </row>
    <row r="369" spans="1:21" s="3" customFormat="1" ht="18" customHeight="1">
      <c r="A369" s="8" t="s">
        <v>455</v>
      </c>
      <c r="B369" s="52">
        <v>43</v>
      </c>
      <c r="C369" s="52">
        <v>32.25</v>
      </c>
      <c r="D369" s="52">
        <v>5.375</v>
      </c>
      <c r="E369" s="52">
        <v>5.375</v>
      </c>
      <c r="F369" s="52">
        <v>0</v>
      </c>
      <c r="G369" s="52">
        <v>0</v>
      </c>
      <c r="H369" s="52">
        <v>0</v>
      </c>
      <c r="I369" s="52">
        <v>0</v>
      </c>
      <c r="J369" s="52">
        <v>0</v>
      </c>
      <c r="K369" s="52">
        <v>0</v>
      </c>
      <c r="L369" s="52">
        <v>0</v>
      </c>
      <c r="M369" s="52">
        <v>0</v>
      </c>
      <c r="N369" s="52">
        <v>0</v>
      </c>
      <c r="O369" s="52">
        <v>0</v>
      </c>
      <c r="P369" s="52">
        <v>0</v>
      </c>
      <c r="Q369" s="53">
        <v>0.20999999</v>
      </c>
      <c r="R369" s="52">
        <v>2.2999999999999998</v>
      </c>
      <c r="S369" s="53">
        <v>0.28999996</v>
      </c>
      <c r="T369" s="52">
        <v>6.7729087000000003</v>
      </c>
      <c r="U369" s="54">
        <v>1</v>
      </c>
    </row>
    <row r="370" spans="1:21" s="3" customFormat="1" ht="18" customHeight="1">
      <c r="A370" s="8" t="s">
        <v>456</v>
      </c>
      <c r="B370" s="52">
        <v>21</v>
      </c>
      <c r="C370" s="52">
        <v>0</v>
      </c>
      <c r="D370" s="52">
        <v>0</v>
      </c>
      <c r="E370" s="52">
        <v>0</v>
      </c>
      <c r="F370" s="52">
        <v>0</v>
      </c>
      <c r="G370" s="52">
        <v>0</v>
      </c>
      <c r="H370" s="52">
        <v>0</v>
      </c>
      <c r="I370" s="52">
        <v>0</v>
      </c>
      <c r="J370" s="52">
        <v>0</v>
      </c>
      <c r="K370" s="52">
        <v>21</v>
      </c>
      <c r="L370" s="52">
        <v>0</v>
      </c>
      <c r="M370" s="52">
        <v>0</v>
      </c>
      <c r="N370" s="52">
        <v>0</v>
      </c>
      <c r="O370" s="52">
        <v>0</v>
      </c>
      <c r="P370" s="52">
        <v>0</v>
      </c>
      <c r="Q370" s="53">
        <v>7.0000000000000007E-2</v>
      </c>
      <c r="R370" s="52">
        <v>5</v>
      </c>
      <c r="S370" s="53">
        <v>0.5</v>
      </c>
      <c r="T370" s="52">
        <v>10.000000999999999</v>
      </c>
      <c r="U370" s="54">
        <v>1</v>
      </c>
    </row>
    <row r="371" spans="1:21" s="3" customFormat="1" ht="18" customHeight="1">
      <c r="A371" s="8" t="s">
        <v>457</v>
      </c>
      <c r="B371" s="52">
        <v>714</v>
      </c>
      <c r="C371" s="52">
        <v>18.899999999999999</v>
      </c>
      <c r="D371" s="52">
        <v>191.10001</v>
      </c>
      <c r="E371" s="52">
        <v>155</v>
      </c>
      <c r="F371" s="52">
        <v>0</v>
      </c>
      <c r="G371" s="52">
        <v>0</v>
      </c>
      <c r="H371" s="52">
        <v>0</v>
      </c>
      <c r="I371" s="52">
        <v>0</v>
      </c>
      <c r="J371" s="52">
        <v>348.99997000000002</v>
      </c>
      <c r="K371" s="52">
        <v>0</v>
      </c>
      <c r="L371" s="52">
        <v>0</v>
      </c>
      <c r="M371" s="52">
        <v>0</v>
      </c>
      <c r="N371" s="52">
        <v>0</v>
      </c>
      <c r="O371" s="52">
        <v>0</v>
      </c>
      <c r="P371" s="52">
        <v>0</v>
      </c>
      <c r="Q371" s="53">
        <v>9.0000003999999995E-2</v>
      </c>
      <c r="R371" s="52">
        <v>2</v>
      </c>
      <c r="S371" s="53">
        <v>0.47000003000000001</v>
      </c>
      <c r="T371" s="52">
        <v>1.5000001000000001</v>
      </c>
      <c r="U371" s="54">
        <v>1</v>
      </c>
    </row>
    <row r="372" spans="1:21" s="3" customFormat="1" ht="18" customHeight="1">
      <c r="A372" s="8" t="s">
        <v>458</v>
      </c>
      <c r="B372" s="52">
        <v>54</v>
      </c>
      <c r="C372" s="52">
        <v>19.98</v>
      </c>
      <c r="D372" s="52">
        <v>15.66</v>
      </c>
      <c r="E372" s="52">
        <v>18.360002999999999</v>
      </c>
      <c r="F372" s="52">
        <v>0</v>
      </c>
      <c r="G372" s="52">
        <v>0</v>
      </c>
      <c r="H372" s="52">
        <v>0</v>
      </c>
      <c r="I372" s="52">
        <v>0</v>
      </c>
      <c r="J372" s="52">
        <v>0</v>
      </c>
      <c r="K372" s="52">
        <v>0</v>
      </c>
      <c r="L372" s="52">
        <v>0</v>
      </c>
      <c r="M372" s="52">
        <v>0</v>
      </c>
      <c r="N372" s="52">
        <v>0</v>
      </c>
      <c r="O372" s="52">
        <v>0</v>
      </c>
      <c r="P372" s="52">
        <v>0</v>
      </c>
      <c r="Q372" s="53">
        <v>0.20999999</v>
      </c>
      <c r="R372" s="52">
        <v>1.9</v>
      </c>
      <c r="S372" s="53">
        <v>0.33000003999999999</v>
      </c>
      <c r="T372" s="52">
        <v>4.8333335000000002</v>
      </c>
      <c r="U372" s="54">
        <v>1</v>
      </c>
    </row>
    <row r="373" spans="1:21" s="3" customFormat="1" ht="18" customHeight="1">
      <c r="A373" s="8" t="s">
        <v>459</v>
      </c>
      <c r="B373" s="52">
        <v>200</v>
      </c>
      <c r="C373" s="52">
        <v>26.200001</v>
      </c>
      <c r="D373" s="52">
        <v>68.119995000000003</v>
      </c>
      <c r="E373" s="52">
        <v>36.680003999999997</v>
      </c>
      <c r="F373" s="52">
        <v>0</v>
      </c>
      <c r="G373" s="52">
        <v>0</v>
      </c>
      <c r="H373" s="52">
        <v>0</v>
      </c>
      <c r="I373" s="52">
        <v>0</v>
      </c>
      <c r="J373" s="52">
        <v>0</v>
      </c>
      <c r="K373" s="52">
        <v>0</v>
      </c>
      <c r="L373" s="52">
        <v>0</v>
      </c>
      <c r="M373" s="52">
        <v>0</v>
      </c>
      <c r="N373" s="52">
        <v>0</v>
      </c>
      <c r="O373" s="52">
        <v>69</v>
      </c>
      <c r="P373" s="52">
        <v>0</v>
      </c>
      <c r="Q373" s="53">
        <v>0.20999999</v>
      </c>
      <c r="R373" s="52">
        <v>1.9</v>
      </c>
      <c r="S373" s="53">
        <v>0.33000003999999999</v>
      </c>
      <c r="T373" s="52">
        <v>2.5000002000000001</v>
      </c>
      <c r="U373" s="54">
        <v>1</v>
      </c>
    </row>
    <row r="374" spans="1:21" s="3" customFormat="1" ht="18" customHeight="1">
      <c r="A374" s="8" t="s">
        <v>460</v>
      </c>
      <c r="B374" s="52">
        <v>205</v>
      </c>
      <c r="C374" s="52">
        <v>75.849997999999999</v>
      </c>
      <c r="D374" s="52">
        <v>100.45</v>
      </c>
      <c r="E374" s="52">
        <v>28.699997</v>
      </c>
      <c r="F374" s="52">
        <v>0</v>
      </c>
      <c r="G374" s="52">
        <v>0</v>
      </c>
      <c r="H374" s="52">
        <v>0</v>
      </c>
      <c r="I374" s="52">
        <v>0</v>
      </c>
      <c r="J374" s="52">
        <v>0</v>
      </c>
      <c r="K374" s="52">
        <v>0</v>
      </c>
      <c r="L374" s="52">
        <v>0</v>
      </c>
      <c r="M374" s="52">
        <v>0</v>
      </c>
      <c r="N374" s="52">
        <v>0</v>
      </c>
      <c r="O374" s="52">
        <v>0</v>
      </c>
      <c r="P374" s="52">
        <v>0</v>
      </c>
      <c r="Q374" s="53">
        <v>0.31</v>
      </c>
      <c r="R374" s="52">
        <v>2.7</v>
      </c>
      <c r="S374" s="53">
        <v>0.26999997999999997</v>
      </c>
      <c r="T374" s="52">
        <v>0.91666669000000001</v>
      </c>
      <c r="U374" s="54">
        <v>0</v>
      </c>
    </row>
    <row r="375" spans="1:21" s="3" customFormat="1" ht="18" customHeight="1">
      <c r="A375" s="8" t="s">
        <v>461</v>
      </c>
      <c r="B375" s="52">
        <v>77</v>
      </c>
      <c r="C375" s="52">
        <v>57.75</v>
      </c>
      <c r="D375" s="52">
        <v>9.625</v>
      </c>
      <c r="E375" s="52">
        <v>9.625</v>
      </c>
      <c r="F375" s="52">
        <v>0</v>
      </c>
      <c r="G375" s="52">
        <v>0</v>
      </c>
      <c r="H375" s="52">
        <v>0</v>
      </c>
      <c r="I375" s="52">
        <v>0</v>
      </c>
      <c r="J375" s="52">
        <v>0</v>
      </c>
      <c r="K375" s="52">
        <v>0</v>
      </c>
      <c r="L375" s="52">
        <v>0</v>
      </c>
      <c r="M375" s="52">
        <v>0</v>
      </c>
      <c r="N375" s="52">
        <v>0</v>
      </c>
      <c r="O375" s="52">
        <v>0</v>
      </c>
      <c r="P375" s="52">
        <v>0</v>
      </c>
      <c r="Q375" s="53">
        <v>0.20999999</v>
      </c>
      <c r="R375" s="52">
        <v>2.2999999999999998</v>
      </c>
      <c r="S375" s="53">
        <v>0.20999998</v>
      </c>
      <c r="T375" s="52">
        <v>2.5000002000000001</v>
      </c>
      <c r="U375" s="54">
        <v>5</v>
      </c>
    </row>
    <row r="376" spans="1:21" s="3" customFormat="1" ht="18" customHeight="1">
      <c r="A376" s="8" t="s">
        <v>462</v>
      </c>
      <c r="B376" s="52">
        <v>733</v>
      </c>
      <c r="C376" s="52">
        <v>0</v>
      </c>
      <c r="D376" s="52">
        <v>227</v>
      </c>
      <c r="E376" s="52">
        <v>204</v>
      </c>
      <c r="F376" s="52">
        <v>0</v>
      </c>
      <c r="G376" s="52">
        <v>0</v>
      </c>
      <c r="H376" s="52">
        <v>0</v>
      </c>
      <c r="I376" s="52">
        <v>0</v>
      </c>
      <c r="J376" s="52">
        <v>302</v>
      </c>
      <c r="K376" s="52">
        <v>0</v>
      </c>
      <c r="L376" s="52">
        <v>0</v>
      </c>
      <c r="M376" s="52">
        <v>0</v>
      </c>
      <c r="N376" s="52">
        <v>0</v>
      </c>
      <c r="O376" s="52">
        <v>0</v>
      </c>
      <c r="P376" s="52">
        <v>0</v>
      </c>
      <c r="Q376" s="53">
        <v>0.30000000999999998</v>
      </c>
      <c r="R376" s="52">
        <v>2.5</v>
      </c>
      <c r="S376" s="53">
        <v>0.17000002</v>
      </c>
      <c r="T376" s="52">
        <v>3.1666666999999999</v>
      </c>
      <c r="U376" s="54">
        <v>1</v>
      </c>
    </row>
    <row r="377" spans="1:21" s="3" customFormat="1" ht="18" customHeight="1">
      <c r="A377" s="8" t="s">
        <v>463</v>
      </c>
      <c r="B377" s="52">
        <v>27</v>
      </c>
      <c r="C377" s="52">
        <v>11.610001</v>
      </c>
      <c r="D377" s="52">
        <v>2.7</v>
      </c>
      <c r="E377" s="52">
        <v>12.69</v>
      </c>
      <c r="F377" s="52">
        <v>0</v>
      </c>
      <c r="G377" s="52">
        <v>0</v>
      </c>
      <c r="H377" s="52">
        <v>0</v>
      </c>
      <c r="I377" s="52">
        <v>0</v>
      </c>
      <c r="J377" s="52">
        <v>0</v>
      </c>
      <c r="K377" s="52">
        <v>0</v>
      </c>
      <c r="L377" s="52">
        <v>0</v>
      </c>
      <c r="M377" s="52">
        <v>0</v>
      </c>
      <c r="N377" s="52">
        <v>0</v>
      </c>
      <c r="O377" s="52">
        <v>0</v>
      </c>
      <c r="P377" s="52">
        <v>0</v>
      </c>
      <c r="Q377" s="53">
        <v>0.23</v>
      </c>
      <c r="R377" s="52">
        <v>1.9</v>
      </c>
      <c r="S377" s="53">
        <v>0.31</v>
      </c>
      <c r="T377" s="52">
        <v>10.000000999999999</v>
      </c>
      <c r="U377" s="54">
        <v>1</v>
      </c>
    </row>
    <row r="378" spans="1:21" s="3" customFormat="1" ht="18" customHeight="1">
      <c r="A378" s="8" t="s">
        <v>464</v>
      </c>
      <c r="B378" s="52">
        <v>723</v>
      </c>
      <c r="C378" s="52">
        <v>50</v>
      </c>
      <c r="D378" s="52">
        <v>0</v>
      </c>
      <c r="E378" s="52">
        <v>0</v>
      </c>
      <c r="F378" s="52">
        <v>0</v>
      </c>
      <c r="G378" s="52">
        <v>0</v>
      </c>
      <c r="H378" s="52">
        <v>0</v>
      </c>
      <c r="I378" s="52">
        <v>0</v>
      </c>
      <c r="J378" s="52">
        <v>673</v>
      </c>
      <c r="K378" s="52">
        <v>0</v>
      </c>
      <c r="L378" s="52">
        <v>0</v>
      </c>
      <c r="M378" s="52">
        <v>0</v>
      </c>
      <c r="N378" s="52">
        <v>0</v>
      </c>
      <c r="O378" s="52">
        <v>0</v>
      </c>
      <c r="P378" s="52">
        <v>0</v>
      </c>
      <c r="Q378" s="53">
        <v>0.25</v>
      </c>
      <c r="R378" s="52">
        <v>2.5</v>
      </c>
      <c r="S378" s="53">
        <v>0.31</v>
      </c>
      <c r="T378" s="52">
        <v>2.1666666999999999</v>
      </c>
      <c r="U378" s="54">
        <v>1</v>
      </c>
    </row>
    <row r="379" spans="1:21" s="3" customFormat="1" ht="18" customHeight="1">
      <c r="A379" s="8" t="s">
        <v>465</v>
      </c>
      <c r="B379" s="52">
        <v>0</v>
      </c>
      <c r="C379" s="52">
        <v>0</v>
      </c>
      <c r="D379" s="52">
        <v>0</v>
      </c>
      <c r="E379" s="52">
        <v>0</v>
      </c>
      <c r="F379" s="52">
        <v>0</v>
      </c>
      <c r="G379" s="52">
        <v>0</v>
      </c>
      <c r="H379" s="52">
        <v>0</v>
      </c>
      <c r="I379" s="52">
        <v>0</v>
      </c>
      <c r="J379" s="52">
        <v>0</v>
      </c>
      <c r="K379" s="52">
        <v>0</v>
      </c>
      <c r="L379" s="52">
        <v>0</v>
      </c>
      <c r="M379" s="52">
        <v>0</v>
      </c>
      <c r="N379" s="52">
        <v>0</v>
      </c>
      <c r="O379" s="52">
        <v>0</v>
      </c>
      <c r="P379" s="52">
        <v>0</v>
      </c>
      <c r="Q379" s="53">
        <v>0</v>
      </c>
      <c r="R379" s="52">
        <v>0</v>
      </c>
      <c r="S379" s="53">
        <v>0</v>
      </c>
      <c r="T379" s="52">
        <v>0</v>
      </c>
      <c r="U379" s="54">
        <v>0</v>
      </c>
    </row>
    <row r="380" spans="1:21" s="3" customFormat="1" ht="18" customHeight="1">
      <c r="A380" s="8" t="s">
        <v>466</v>
      </c>
      <c r="B380" s="52">
        <v>216</v>
      </c>
      <c r="C380" s="52">
        <v>12</v>
      </c>
      <c r="D380" s="52">
        <v>38</v>
      </c>
      <c r="E380" s="52">
        <v>66</v>
      </c>
      <c r="F380" s="52">
        <v>0</v>
      </c>
      <c r="G380" s="52">
        <v>0</v>
      </c>
      <c r="H380" s="52">
        <v>100</v>
      </c>
      <c r="I380" s="52">
        <v>0</v>
      </c>
      <c r="J380" s="52">
        <v>0</v>
      </c>
      <c r="K380" s="52">
        <v>0</v>
      </c>
      <c r="L380" s="52">
        <v>0</v>
      </c>
      <c r="M380" s="52">
        <v>0</v>
      </c>
      <c r="N380" s="52">
        <v>0</v>
      </c>
      <c r="O380" s="52">
        <v>0</v>
      </c>
      <c r="P380" s="52">
        <v>0</v>
      </c>
      <c r="Q380" s="53">
        <v>5.0000001000000002E-2</v>
      </c>
      <c r="R380" s="52">
        <v>2</v>
      </c>
      <c r="S380" s="53">
        <v>0.44999999000000002</v>
      </c>
      <c r="T380" s="52">
        <v>0.91666669000000001</v>
      </c>
      <c r="U380" s="54">
        <v>0</v>
      </c>
    </row>
    <row r="381" spans="1:21" s="3" customFormat="1" ht="18" customHeight="1">
      <c r="A381" s="8" t="s">
        <v>467</v>
      </c>
      <c r="B381" s="52">
        <v>152</v>
      </c>
      <c r="C381" s="52">
        <v>76</v>
      </c>
      <c r="D381" s="52">
        <v>0</v>
      </c>
      <c r="E381" s="52">
        <v>76</v>
      </c>
      <c r="F381" s="52">
        <v>0</v>
      </c>
      <c r="G381" s="52">
        <v>0</v>
      </c>
      <c r="H381" s="52">
        <v>0</v>
      </c>
      <c r="I381" s="52">
        <v>0</v>
      </c>
      <c r="J381" s="52">
        <v>0</v>
      </c>
      <c r="K381" s="52">
        <v>0</v>
      </c>
      <c r="L381" s="52">
        <v>0</v>
      </c>
      <c r="M381" s="52">
        <v>0</v>
      </c>
      <c r="N381" s="52">
        <v>0</v>
      </c>
      <c r="O381" s="52">
        <v>0</v>
      </c>
      <c r="P381" s="52">
        <v>0</v>
      </c>
      <c r="Q381" s="53">
        <v>0.1</v>
      </c>
      <c r="R381" s="52">
        <v>3</v>
      </c>
      <c r="S381" s="53">
        <v>0.14999998</v>
      </c>
      <c r="T381" s="52">
        <v>1</v>
      </c>
      <c r="U381" s="54">
        <v>0</v>
      </c>
    </row>
    <row r="382" spans="1:21" s="3" customFormat="1" ht="18" customHeight="1">
      <c r="A382" s="8" t="s">
        <v>468</v>
      </c>
      <c r="B382" s="52">
        <v>160</v>
      </c>
      <c r="C382" s="52">
        <v>64</v>
      </c>
      <c r="D382" s="52">
        <v>0</v>
      </c>
      <c r="E382" s="52">
        <v>96</v>
      </c>
      <c r="F382" s="52">
        <v>0</v>
      </c>
      <c r="G382" s="52">
        <v>0</v>
      </c>
      <c r="H382" s="52">
        <v>0</v>
      </c>
      <c r="I382" s="52">
        <v>0</v>
      </c>
      <c r="J382" s="52">
        <v>0</v>
      </c>
      <c r="K382" s="52">
        <v>0</v>
      </c>
      <c r="L382" s="52">
        <v>0</v>
      </c>
      <c r="M382" s="52">
        <v>0</v>
      </c>
      <c r="N382" s="52">
        <v>0</v>
      </c>
      <c r="O382" s="52">
        <v>0</v>
      </c>
      <c r="P382" s="52">
        <v>0</v>
      </c>
      <c r="Q382" s="53">
        <v>0.22</v>
      </c>
      <c r="R382" s="52">
        <v>2.2000000000000002</v>
      </c>
      <c r="S382" s="53">
        <v>0.22000003000000001</v>
      </c>
      <c r="T382" s="52">
        <v>2.5000002000000001</v>
      </c>
      <c r="U382" s="54">
        <v>1</v>
      </c>
    </row>
    <row r="383" spans="1:21" s="3" customFormat="1" ht="18" customHeight="1">
      <c r="A383" s="8" t="s">
        <v>469</v>
      </c>
      <c r="B383" s="52">
        <v>0</v>
      </c>
      <c r="C383" s="52">
        <v>0</v>
      </c>
      <c r="D383" s="52">
        <v>0</v>
      </c>
      <c r="E383" s="52">
        <v>0</v>
      </c>
      <c r="F383" s="52">
        <v>0</v>
      </c>
      <c r="G383" s="52">
        <v>0</v>
      </c>
      <c r="H383" s="52">
        <v>0</v>
      </c>
      <c r="I383" s="52">
        <v>0</v>
      </c>
      <c r="J383" s="52">
        <v>0</v>
      </c>
      <c r="K383" s="52">
        <v>0</v>
      </c>
      <c r="L383" s="52">
        <v>0</v>
      </c>
      <c r="M383" s="52">
        <v>0</v>
      </c>
      <c r="N383" s="52">
        <v>0</v>
      </c>
      <c r="O383" s="52">
        <v>0</v>
      </c>
      <c r="P383" s="52">
        <v>0</v>
      </c>
      <c r="Q383" s="53">
        <v>0</v>
      </c>
      <c r="R383" s="52">
        <v>0</v>
      </c>
      <c r="S383" s="53">
        <v>0</v>
      </c>
      <c r="T383" s="52">
        <v>0</v>
      </c>
      <c r="U383" s="54">
        <v>0</v>
      </c>
    </row>
    <row r="384" spans="1:21" s="3" customFormat="1" ht="18" customHeight="1">
      <c r="A384" s="8" t="s">
        <v>470</v>
      </c>
      <c r="B384" s="52">
        <v>0</v>
      </c>
      <c r="C384" s="52">
        <v>0</v>
      </c>
      <c r="D384" s="52">
        <v>0</v>
      </c>
      <c r="E384" s="52">
        <v>0</v>
      </c>
      <c r="F384" s="52">
        <v>0</v>
      </c>
      <c r="G384" s="52">
        <v>0</v>
      </c>
      <c r="H384" s="52">
        <v>0</v>
      </c>
      <c r="I384" s="52">
        <v>0</v>
      </c>
      <c r="J384" s="52">
        <v>0</v>
      </c>
      <c r="K384" s="52">
        <v>0</v>
      </c>
      <c r="L384" s="52">
        <v>0</v>
      </c>
      <c r="M384" s="52">
        <v>0</v>
      </c>
      <c r="N384" s="52">
        <v>0</v>
      </c>
      <c r="O384" s="52">
        <v>0</v>
      </c>
      <c r="P384" s="52">
        <v>0</v>
      </c>
      <c r="Q384" s="53">
        <v>0</v>
      </c>
      <c r="R384" s="52">
        <v>0</v>
      </c>
      <c r="S384" s="53">
        <v>0</v>
      </c>
      <c r="T384" s="52">
        <v>0</v>
      </c>
      <c r="U384" s="54">
        <v>0</v>
      </c>
    </row>
    <row r="385" spans="1:21" s="3" customFormat="1" ht="18" customHeight="1">
      <c r="A385" s="8" t="s">
        <v>471</v>
      </c>
      <c r="B385" s="52">
        <v>525</v>
      </c>
      <c r="C385" s="52">
        <v>0</v>
      </c>
      <c r="D385" s="52">
        <v>0</v>
      </c>
      <c r="E385" s="52">
        <v>0</v>
      </c>
      <c r="F385" s="52">
        <v>0</v>
      </c>
      <c r="G385" s="52">
        <v>0</v>
      </c>
      <c r="H385" s="52">
        <v>525</v>
      </c>
      <c r="I385" s="52">
        <v>0</v>
      </c>
      <c r="J385" s="52">
        <v>0</v>
      </c>
      <c r="K385" s="52">
        <v>0</v>
      </c>
      <c r="L385" s="52">
        <v>0</v>
      </c>
      <c r="M385" s="52">
        <v>0</v>
      </c>
      <c r="N385" s="52">
        <v>0</v>
      </c>
      <c r="O385" s="52">
        <v>0</v>
      </c>
      <c r="P385" s="52">
        <v>0</v>
      </c>
      <c r="Q385" s="53">
        <v>0.2</v>
      </c>
      <c r="R385" s="52">
        <v>2</v>
      </c>
      <c r="S385" s="53">
        <v>0.25</v>
      </c>
      <c r="T385" s="52">
        <v>0</v>
      </c>
      <c r="U385" s="54">
        <v>1</v>
      </c>
    </row>
    <row r="386" spans="1:21" s="3" customFormat="1" ht="18" customHeight="1">
      <c r="A386" s="8" t="s">
        <v>472</v>
      </c>
      <c r="B386" s="52">
        <v>90</v>
      </c>
      <c r="C386" s="52">
        <v>10</v>
      </c>
      <c r="D386" s="52">
        <v>0</v>
      </c>
      <c r="E386" s="52">
        <v>0</v>
      </c>
      <c r="F386" s="52">
        <v>0</v>
      </c>
      <c r="G386" s="52">
        <v>0</v>
      </c>
      <c r="H386" s="52">
        <v>0</v>
      </c>
      <c r="I386" s="52">
        <v>0</v>
      </c>
      <c r="J386" s="52">
        <v>0</v>
      </c>
      <c r="K386" s="52">
        <v>80</v>
      </c>
      <c r="L386" s="52">
        <v>0</v>
      </c>
      <c r="M386" s="52">
        <v>0</v>
      </c>
      <c r="N386" s="52">
        <v>0</v>
      </c>
      <c r="O386" s="52">
        <v>0</v>
      </c>
      <c r="P386" s="52">
        <v>0</v>
      </c>
      <c r="Q386" s="53">
        <v>0.1</v>
      </c>
      <c r="R386" s="52">
        <v>1.4</v>
      </c>
      <c r="S386" s="53">
        <v>0.5</v>
      </c>
      <c r="T386" s="52">
        <v>12.000000999999999</v>
      </c>
      <c r="U386" s="54">
        <v>1</v>
      </c>
    </row>
    <row r="387" spans="1:21" s="3" customFormat="1" ht="18" customHeight="1">
      <c r="A387" s="8" t="s">
        <v>473</v>
      </c>
      <c r="B387" s="52">
        <v>90</v>
      </c>
      <c r="C387" s="52">
        <v>10</v>
      </c>
      <c r="D387" s="52">
        <v>0</v>
      </c>
      <c r="E387" s="52">
        <v>0</v>
      </c>
      <c r="F387" s="52">
        <v>0</v>
      </c>
      <c r="G387" s="52">
        <v>0</v>
      </c>
      <c r="H387" s="52">
        <v>0</v>
      </c>
      <c r="I387" s="52">
        <v>0</v>
      </c>
      <c r="J387" s="52">
        <v>0</v>
      </c>
      <c r="K387" s="52">
        <v>80</v>
      </c>
      <c r="L387" s="52">
        <v>0</v>
      </c>
      <c r="M387" s="52">
        <v>0</v>
      </c>
      <c r="N387" s="52">
        <v>0</v>
      </c>
      <c r="O387" s="52">
        <v>0</v>
      </c>
      <c r="P387" s="52">
        <v>0</v>
      </c>
      <c r="Q387" s="53">
        <v>0.14000000000000001</v>
      </c>
      <c r="R387" s="52">
        <v>1.6</v>
      </c>
      <c r="S387" s="53">
        <v>0.5</v>
      </c>
      <c r="T387" s="52">
        <v>12.000000999999999</v>
      </c>
      <c r="U387" s="54">
        <v>1</v>
      </c>
    </row>
    <row r="388" spans="1:21" s="3" customFormat="1" ht="18" customHeight="1">
      <c r="A388" s="8" t="s">
        <v>474</v>
      </c>
      <c r="B388" s="52">
        <v>8</v>
      </c>
      <c r="C388" s="52">
        <v>0.80000000999999998</v>
      </c>
      <c r="D388" s="52">
        <v>6.4000000999999997</v>
      </c>
      <c r="E388" s="52">
        <v>0.79999971000000003</v>
      </c>
      <c r="F388" s="52">
        <v>0</v>
      </c>
      <c r="G388" s="52">
        <v>0</v>
      </c>
      <c r="H388" s="52">
        <v>0</v>
      </c>
      <c r="I388" s="52">
        <v>0</v>
      </c>
      <c r="J388" s="52">
        <v>0</v>
      </c>
      <c r="K388" s="52">
        <v>0</v>
      </c>
      <c r="L388" s="52">
        <v>0</v>
      </c>
      <c r="M388" s="52">
        <v>0</v>
      </c>
      <c r="N388" s="52">
        <v>0</v>
      </c>
      <c r="O388" s="52">
        <v>0</v>
      </c>
      <c r="P388" s="52">
        <v>0</v>
      </c>
      <c r="Q388" s="53">
        <v>2.5000000000000001E-2</v>
      </c>
      <c r="R388" s="52">
        <v>1.25</v>
      </c>
      <c r="S388" s="53">
        <v>1.9999981E-2</v>
      </c>
      <c r="T388" s="52">
        <v>1.6666666999999999</v>
      </c>
      <c r="U388" s="54">
        <v>1</v>
      </c>
    </row>
    <row r="389" spans="1:21" s="3" customFormat="1" ht="18" customHeight="1">
      <c r="A389" s="8" t="s">
        <v>475</v>
      </c>
      <c r="B389" s="52">
        <v>40</v>
      </c>
      <c r="C389" s="52">
        <v>10</v>
      </c>
      <c r="D389" s="52">
        <v>10</v>
      </c>
      <c r="E389" s="52">
        <v>20</v>
      </c>
      <c r="F389" s="52">
        <v>0</v>
      </c>
      <c r="G389" s="52">
        <v>0</v>
      </c>
      <c r="H389" s="52">
        <v>0</v>
      </c>
      <c r="I389" s="52">
        <v>0</v>
      </c>
      <c r="J389" s="52">
        <v>0</v>
      </c>
      <c r="K389" s="52">
        <v>0</v>
      </c>
      <c r="L389" s="52">
        <v>0</v>
      </c>
      <c r="M389" s="52">
        <v>0</v>
      </c>
      <c r="N389" s="52">
        <v>0</v>
      </c>
      <c r="O389" s="52">
        <v>0</v>
      </c>
      <c r="P389" s="52">
        <v>0</v>
      </c>
      <c r="Q389" s="53">
        <v>0.1</v>
      </c>
      <c r="R389" s="52">
        <v>1.8</v>
      </c>
      <c r="S389" s="53">
        <v>6.0000001999999997E-2</v>
      </c>
      <c r="T389" s="52">
        <v>4.5</v>
      </c>
      <c r="U389" s="54">
        <v>1</v>
      </c>
    </row>
    <row r="390" spans="1:21" s="3" customFormat="1" ht="18" customHeight="1">
      <c r="A390" s="8" t="s">
        <v>476</v>
      </c>
      <c r="B390" s="52">
        <v>60</v>
      </c>
      <c r="C390" s="52">
        <v>6</v>
      </c>
      <c r="D390" s="52">
        <v>12</v>
      </c>
      <c r="E390" s="52">
        <v>42</v>
      </c>
      <c r="F390" s="52">
        <v>0</v>
      </c>
      <c r="G390" s="52">
        <v>0</v>
      </c>
      <c r="H390" s="52">
        <v>0</v>
      </c>
      <c r="I390" s="52">
        <v>0</v>
      </c>
      <c r="J390" s="52">
        <v>0</v>
      </c>
      <c r="K390" s="52">
        <v>0</v>
      </c>
      <c r="L390" s="52">
        <v>0</v>
      </c>
      <c r="M390" s="52">
        <v>0</v>
      </c>
      <c r="N390" s="52">
        <v>0</v>
      </c>
      <c r="O390" s="52">
        <v>0</v>
      </c>
      <c r="P390" s="52">
        <v>0</v>
      </c>
      <c r="Q390" s="53">
        <v>0.30000000999999998</v>
      </c>
      <c r="R390" s="52">
        <v>2.5999998999999998</v>
      </c>
      <c r="S390" s="53">
        <v>0.19999998999999999</v>
      </c>
      <c r="T390" s="52">
        <v>5.0000004999999996</v>
      </c>
      <c r="U390" s="54">
        <v>1</v>
      </c>
    </row>
    <row r="391" spans="1:21" s="3" customFormat="1" ht="18" customHeight="1">
      <c r="A391" s="8" t="s">
        <v>477</v>
      </c>
      <c r="B391" s="52">
        <v>46</v>
      </c>
      <c r="C391" s="52">
        <v>6.9000000999999997</v>
      </c>
      <c r="D391" s="52">
        <v>11.5</v>
      </c>
      <c r="E391" s="52">
        <v>27.6</v>
      </c>
      <c r="F391" s="52">
        <v>0</v>
      </c>
      <c r="G391" s="52">
        <v>0</v>
      </c>
      <c r="H391" s="52">
        <v>0</v>
      </c>
      <c r="I391" s="52">
        <v>0</v>
      </c>
      <c r="J391" s="52">
        <v>0</v>
      </c>
      <c r="K391" s="52">
        <v>0</v>
      </c>
      <c r="L391" s="52">
        <v>0</v>
      </c>
      <c r="M391" s="52">
        <v>0</v>
      </c>
      <c r="N391" s="52">
        <v>0</v>
      </c>
      <c r="O391" s="52">
        <v>0</v>
      </c>
      <c r="P391" s="52">
        <v>0</v>
      </c>
      <c r="Q391" s="53">
        <v>0.25999999000000001</v>
      </c>
      <c r="R391" s="52">
        <v>2.4000001000000002</v>
      </c>
      <c r="S391" s="53">
        <v>0.10000002</v>
      </c>
      <c r="T391" s="52">
        <v>5.0000004999999996</v>
      </c>
      <c r="U391" s="54">
        <v>1</v>
      </c>
    </row>
    <row r="392" spans="1:21" s="3" customFormat="1" ht="18" customHeight="1">
      <c r="A392" s="8" t="s">
        <v>478</v>
      </c>
      <c r="B392" s="52">
        <v>55</v>
      </c>
      <c r="C392" s="52">
        <v>8.25</v>
      </c>
      <c r="D392" s="52">
        <v>38.5</v>
      </c>
      <c r="E392" s="52">
        <v>8.2499990000000007</v>
      </c>
      <c r="F392" s="52">
        <v>0</v>
      </c>
      <c r="G392" s="52">
        <v>0</v>
      </c>
      <c r="H392" s="52">
        <v>0</v>
      </c>
      <c r="I392" s="52">
        <v>0</v>
      </c>
      <c r="J392" s="52">
        <v>0</v>
      </c>
      <c r="K392" s="52">
        <v>0</v>
      </c>
      <c r="L392" s="52">
        <v>0</v>
      </c>
      <c r="M392" s="52">
        <v>0</v>
      </c>
      <c r="N392" s="52">
        <v>0</v>
      </c>
      <c r="O392" s="52">
        <v>0</v>
      </c>
      <c r="P392" s="52">
        <v>0</v>
      </c>
      <c r="Q392" s="53">
        <v>0.12</v>
      </c>
      <c r="R392" s="52">
        <v>2</v>
      </c>
      <c r="S392" s="53">
        <v>0.12</v>
      </c>
      <c r="T392" s="52">
        <v>4.1666670000000003</v>
      </c>
      <c r="U392" s="54">
        <v>1</v>
      </c>
    </row>
    <row r="393" spans="1:21" s="3" customFormat="1" ht="18" customHeight="1">
      <c r="A393" s="8" t="s">
        <v>479</v>
      </c>
      <c r="B393" s="52">
        <v>90</v>
      </c>
      <c r="C393" s="52">
        <v>9</v>
      </c>
      <c r="D393" s="52">
        <v>72</v>
      </c>
      <c r="E393" s="52">
        <v>8.9999970999999999</v>
      </c>
      <c r="F393" s="52">
        <v>0</v>
      </c>
      <c r="G393" s="52">
        <v>0</v>
      </c>
      <c r="H393" s="52">
        <v>0</v>
      </c>
      <c r="I393" s="52">
        <v>0</v>
      </c>
      <c r="J393" s="52">
        <v>0</v>
      </c>
      <c r="K393" s="52">
        <v>0</v>
      </c>
      <c r="L393" s="52">
        <v>0</v>
      </c>
      <c r="M393" s="52">
        <v>0</v>
      </c>
      <c r="N393" s="52">
        <v>0</v>
      </c>
      <c r="O393" s="52">
        <v>0</v>
      </c>
      <c r="P393" s="52">
        <v>0</v>
      </c>
      <c r="Q393" s="53">
        <v>0.22</v>
      </c>
      <c r="R393" s="52">
        <v>2.8</v>
      </c>
      <c r="S393" s="53">
        <v>0.25999999000000001</v>
      </c>
      <c r="T393" s="52">
        <v>4.1666670000000003</v>
      </c>
      <c r="U393" s="54">
        <v>1</v>
      </c>
    </row>
    <row r="394" spans="1:21" s="3" customFormat="1" ht="18" customHeight="1">
      <c r="A394" s="8" t="s">
        <v>480</v>
      </c>
      <c r="B394" s="52">
        <v>62</v>
      </c>
      <c r="C394" s="52">
        <v>15.5</v>
      </c>
      <c r="D394" s="52">
        <v>43.399997999999997</v>
      </c>
      <c r="E394" s="52">
        <v>3.1000008999999999</v>
      </c>
      <c r="F394" s="52">
        <v>0</v>
      </c>
      <c r="G394" s="52">
        <v>0</v>
      </c>
      <c r="H394" s="52">
        <v>0</v>
      </c>
      <c r="I394" s="52">
        <v>0</v>
      </c>
      <c r="J394" s="52">
        <v>0</v>
      </c>
      <c r="K394" s="52">
        <v>0</v>
      </c>
      <c r="L394" s="52">
        <v>0</v>
      </c>
      <c r="M394" s="52">
        <v>0</v>
      </c>
      <c r="N394" s="52">
        <v>0</v>
      </c>
      <c r="O394" s="52">
        <v>0</v>
      </c>
      <c r="P394" s="52">
        <v>0</v>
      </c>
      <c r="Q394" s="53">
        <v>0.25999999000000001</v>
      </c>
      <c r="R394" s="52">
        <v>2.8</v>
      </c>
      <c r="S394" s="53">
        <v>0.13999998999999999</v>
      </c>
      <c r="T394" s="52">
        <v>5.0000004999999996</v>
      </c>
      <c r="U394" s="54">
        <v>1</v>
      </c>
    </row>
    <row r="395" spans="1:21" s="3" customFormat="1" ht="18" customHeight="1">
      <c r="A395" s="8" t="s">
        <v>481</v>
      </c>
      <c r="B395" s="52">
        <v>101</v>
      </c>
      <c r="C395" s="52">
        <v>0</v>
      </c>
      <c r="D395" s="52">
        <v>20</v>
      </c>
      <c r="E395" s="52">
        <v>25</v>
      </c>
      <c r="F395" s="52">
        <v>0</v>
      </c>
      <c r="G395" s="52">
        <v>0</v>
      </c>
      <c r="H395" s="52">
        <v>56</v>
      </c>
      <c r="I395" s="52">
        <v>0</v>
      </c>
      <c r="J395" s="52">
        <v>0</v>
      </c>
      <c r="K395" s="52">
        <v>0</v>
      </c>
      <c r="L395" s="52">
        <v>0</v>
      </c>
      <c r="M395" s="52">
        <v>0</v>
      </c>
      <c r="N395" s="52">
        <v>0</v>
      </c>
      <c r="O395" s="52">
        <v>0</v>
      </c>
      <c r="P395" s="52">
        <v>0</v>
      </c>
      <c r="Q395" s="53">
        <v>5.0000001000000002E-2</v>
      </c>
      <c r="R395" s="52">
        <v>1.5</v>
      </c>
      <c r="S395" s="53">
        <v>0.25</v>
      </c>
      <c r="T395" s="52">
        <v>1</v>
      </c>
      <c r="U395" s="54">
        <v>0</v>
      </c>
    </row>
    <row r="396" spans="1:21" s="3" customFormat="1" ht="18" customHeight="1">
      <c r="A396" s="8" t="s">
        <v>482</v>
      </c>
      <c r="B396" s="52">
        <v>0</v>
      </c>
      <c r="C396" s="52">
        <v>0</v>
      </c>
      <c r="D396" s="52">
        <v>0</v>
      </c>
      <c r="E396" s="52">
        <v>0</v>
      </c>
      <c r="F396" s="52">
        <v>0</v>
      </c>
      <c r="G396" s="52">
        <v>0</v>
      </c>
      <c r="H396" s="52">
        <v>0</v>
      </c>
      <c r="I396" s="52">
        <v>0</v>
      </c>
      <c r="J396" s="52">
        <v>0</v>
      </c>
      <c r="K396" s="52">
        <v>0</v>
      </c>
      <c r="L396" s="52">
        <v>0</v>
      </c>
      <c r="M396" s="52">
        <v>0</v>
      </c>
      <c r="N396" s="52">
        <v>0</v>
      </c>
      <c r="O396" s="52">
        <v>0</v>
      </c>
      <c r="P396" s="52">
        <v>0</v>
      </c>
      <c r="Q396" s="53">
        <v>0</v>
      </c>
      <c r="R396" s="52">
        <v>0</v>
      </c>
      <c r="S396" s="53">
        <v>0</v>
      </c>
      <c r="T396" s="52">
        <v>0</v>
      </c>
      <c r="U396" s="54">
        <v>0</v>
      </c>
    </row>
    <row r="397" spans="1:21" s="3" customFormat="1" ht="18" customHeight="1">
      <c r="A397" s="8" t="s">
        <v>483</v>
      </c>
      <c r="B397" s="52">
        <v>0</v>
      </c>
      <c r="C397" s="52">
        <v>0</v>
      </c>
      <c r="D397" s="52">
        <v>0</v>
      </c>
      <c r="E397" s="52">
        <v>0</v>
      </c>
      <c r="F397" s="52">
        <v>0</v>
      </c>
      <c r="G397" s="52">
        <v>0</v>
      </c>
      <c r="H397" s="52">
        <v>0</v>
      </c>
      <c r="I397" s="52">
        <v>0</v>
      </c>
      <c r="J397" s="52">
        <v>0</v>
      </c>
      <c r="K397" s="52">
        <v>0</v>
      </c>
      <c r="L397" s="52">
        <v>0</v>
      </c>
      <c r="M397" s="52">
        <v>0</v>
      </c>
      <c r="N397" s="52">
        <v>0</v>
      </c>
      <c r="O397" s="52">
        <v>0</v>
      </c>
      <c r="P397" s="52">
        <v>0</v>
      </c>
      <c r="Q397" s="53">
        <v>0</v>
      </c>
      <c r="R397" s="52">
        <v>0</v>
      </c>
      <c r="S397" s="53">
        <v>0</v>
      </c>
      <c r="T397" s="52">
        <v>0</v>
      </c>
      <c r="U397" s="54">
        <v>0</v>
      </c>
    </row>
    <row r="398" spans="1:21" s="3" customFormat="1" ht="18" customHeight="1">
      <c r="A398" s="8" t="s">
        <v>484</v>
      </c>
      <c r="B398" s="52">
        <v>60</v>
      </c>
      <c r="C398" s="52">
        <v>50</v>
      </c>
      <c r="D398" s="52">
        <v>0</v>
      </c>
      <c r="E398" s="52">
        <v>0</v>
      </c>
      <c r="F398" s="52">
        <v>0</v>
      </c>
      <c r="G398" s="52">
        <v>10</v>
      </c>
      <c r="H398" s="52">
        <v>0</v>
      </c>
      <c r="I398" s="52">
        <v>0</v>
      </c>
      <c r="J398" s="52">
        <v>0</v>
      </c>
      <c r="K398" s="52">
        <v>0</v>
      </c>
      <c r="L398" s="52">
        <v>0</v>
      </c>
      <c r="M398" s="52">
        <v>0</v>
      </c>
      <c r="N398" s="52">
        <v>0</v>
      </c>
      <c r="O398" s="52">
        <v>0</v>
      </c>
      <c r="P398" s="52">
        <v>0</v>
      </c>
      <c r="Q398" s="53">
        <v>0.5</v>
      </c>
      <c r="R398" s="52">
        <v>2</v>
      </c>
      <c r="S398" s="53">
        <v>5.0000012000000003E-2</v>
      </c>
      <c r="T398" s="52">
        <v>1</v>
      </c>
      <c r="U398" s="54">
        <v>1</v>
      </c>
    </row>
    <row r="399" spans="1:21" s="3" customFormat="1" ht="18" customHeight="1">
      <c r="A399" s="8" t="s">
        <v>485</v>
      </c>
      <c r="B399" s="52">
        <v>0</v>
      </c>
      <c r="C399" s="52">
        <v>0</v>
      </c>
      <c r="D399" s="52">
        <v>0</v>
      </c>
      <c r="E399" s="52">
        <v>0</v>
      </c>
      <c r="F399" s="52">
        <v>0</v>
      </c>
      <c r="G399" s="52">
        <v>0</v>
      </c>
      <c r="H399" s="52">
        <v>0</v>
      </c>
      <c r="I399" s="52">
        <v>0</v>
      </c>
      <c r="J399" s="52">
        <v>0</v>
      </c>
      <c r="K399" s="52">
        <v>0</v>
      </c>
      <c r="L399" s="52">
        <v>0</v>
      </c>
      <c r="M399" s="52">
        <v>0</v>
      </c>
      <c r="N399" s="52">
        <v>0</v>
      </c>
      <c r="O399" s="52">
        <v>0</v>
      </c>
      <c r="P399" s="52">
        <v>0</v>
      </c>
      <c r="Q399" s="53">
        <v>0</v>
      </c>
      <c r="R399" s="52">
        <v>0</v>
      </c>
      <c r="S399" s="53">
        <v>0</v>
      </c>
      <c r="T399" s="52">
        <v>0</v>
      </c>
      <c r="U399" s="54">
        <v>0</v>
      </c>
    </row>
    <row r="400" spans="1:21" s="3" customFormat="1" ht="18" customHeight="1">
      <c r="A400" s="8" t="s">
        <v>486</v>
      </c>
      <c r="B400" s="52">
        <v>237</v>
      </c>
      <c r="C400" s="52">
        <v>47.400002000000001</v>
      </c>
      <c r="D400" s="52">
        <v>11.85</v>
      </c>
      <c r="E400" s="52">
        <v>177.75</v>
      </c>
      <c r="F400" s="52">
        <v>0</v>
      </c>
      <c r="G400" s="52">
        <v>0</v>
      </c>
      <c r="H400" s="52">
        <v>0</v>
      </c>
      <c r="I400" s="52">
        <v>0</v>
      </c>
      <c r="J400" s="52">
        <v>0</v>
      </c>
      <c r="K400" s="52">
        <v>0</v>
      </c>
      <c r="L400" s="52">
        <v>0</v>
      </c>
      <c r="M400" s="52">
        <v>0</v>
      </c>
      <c r="N400" s="52">
        <v>0</v>
      </c>
      <c r="O400" s="52">
        <v>0</v>
      </c>
      <c r="P400" s="52">
        <v>0</v>
      </c>
      <c r="Q400" s="53">
        <v>0.15000000999999999</v>
      </c>
      <c r="R400" s="52">
        <v>2</v>
      </c>
      <c r="S400" s="53">
        <v>0.37</v>
      </c>
      <c r="T400" s="52">
        <v>1</v>
      </c>
      <c r="U400" s="54">
        <v>0</v>
      </c>
    </row>
    <row r="401" spans="1:21" s="3" customFormat="1" ht="18" customHeight="1">
      <c r="A401" s="8" t="s">
        <v>487</v>
      </c>
      <c r="B401" s="52">
        <v>130</v>
      </c>
      <c r="C401" s="52">
        <v>13</v>
      </c>
      <c r="D401" s="52">
        <v>104</v>
      </c>
      <c r="E401" s="52">
        <v>12.999995</v>
      </c>
      <c r="F401" s="52">
        <v>0</v>
      </c>
      <c r="G401" s="52">
        <v>0</v>
      </c>
      <c r="H401" s="52">
        <v>0</v>
      </c>
      <c r="I401" s="52">
        <v>0</v>
      </c>
      <c r="J401" s="52">
        <v>0</v>
      </c>
      <c r="K401" s="52">
        <v>0</v>
      </c>
      <c r="L401" s="52">
        <v>0</v>
      </c>
      <c r="M401" s="52">
        <v>0</v>
      </c>
      <c r="N401" s="52">
        <v>0</v>
      </c>
      <c r="O401" s="52">
        <v>0</v>
      </c>
      <c r="P401" s="52">
        <v>0</v>
      </c>
      <c r="Q401" s="53">
        <v>0.2</v>
      </c>
      <c r="R401" s="52">
        <v>2</v>
      </c>
      <c r="S401" s="53">
        <v>0.10000002</v>
      </c>
      <c r="T401" s="52">
        <v>1.0833333999999999</v>
      </c>
      <c r="U401" s="54">
        <v>1</v>
      </c>
    </row>
    <row r="402" spans="1:21" s="3" customFormat="1" ht="18" customHeight="1">
      <c r="A402" s="8" t="s">
        <v>488</v>
      </c>
      <c r="B402" s="52">
        <v>180</v>
      </c>
      <c r="C402" s="52">
        <v>18</v>
      </c>
      <c r="D402" s="52">
        <v>144</v>
      </c>
      <c r="E402" s="52">
        <v>17.999994000000001</v>
      </c>
      <c r="F402" s="52">
        <v>0</v>
      </c>
      <c r="G402" s="52">
        <v>0</v>
      </c>
      <c r="H402" s="52">
        <v>0</v>
      </c>
      <c r="I402" s="52">
        <v>0</v>
      </c>
      <c r="J402" s="52">
        <v>0</v>
      </c>
      <c r="K402" s="52">
        <v>0</v>
      </c>
      <c r="L402" s="52">
        <v>0</v>
      </c>
      <c r="M402" s="52">
        <v>0</v>
      </c>
      <c r="N402" s="52">
        <v>0</v>
      </c>
      <c r="O402" s="52">
        <v>0</v>
      </c>
      <c r="P402" s="52">
        <v>0</v>
      </c>
      <c r="Q402" s="53">
        <v>0.25</v>
      </c>
      <c r="R402" s="52">
        <v>2</v>
      </c>
      <c r="S402" s="53">
        <v>0.25</v>
      </c>
      <c r="T402" s="52">
        <v>2.0833335000000002</v>
      </c>
      <c r="U402" s="54">
        <v>1</v>
      </c>
    </row>
    <row r="403" spans="1:21" s="3" customFormat="1" ht="18" customHeight="1">
      <c r="A403" s="8" t="s">
        <v>489</v>
      </c>
      <c r="B403" s="52">
        <v>0</v>
      </c>
      <c r="C403" s="52">
        <v>0</v>
      </c>
      <c r="D403" s="52">
        <v>0</v>
      </c>
      <c r="E403" s="52">
        <v>0</v>
      </c>
      <c r="F403" s="52">
        <v>0</v>
      </c>
      <c r="G403" s="52">
        <v>0</v>
      </c>
      <c r="H403" s="52">
        <v>0</v>
      </c>
      <c r="I403" s="52">
        <v>0</v>
      </c>
      <c r="J403" s="52">
        <v>0</v>
      </c>
      <c r="K403" s="52">
        <v>0</v>
      </c>
      <c r="L403" s="52">
        <v>0</v>
      </c>
      <c r="M403" s="52">
        <v>0</v>
      </c>
      <c r="N403" s="52">
        <v>0</v>
      </c>
      <c r="O403" s="52">
        <v>0</v>
      </c>
      <c r="P403" s="52">
        <v>0</v>
      </c>
      <c r="Q403" s="53">
        <v>0</v>
      </c>
      <c r="R403" s="52">
        <v>0</v>
      </c>
      <c r="S403" s="53">
        <v>0</v>
      </c>
      <c r="T403" s="52">
        <v>0</v>
      </c>
      <c r="U403" s="54">
        <v>0</v>
      </c>
    </row>
    <row r="404" spans="1:21" s="3" customFormat="1" ht="18" customHeight="1">
      <c r="A404" s="8" t="s">
        <v>490</v>
      </c>
      <c r="B404" s="52">
        <v>0</v>
      </c>
      <c r="C404" s="52">
        <v>0</v>
      </c>
      <c r="D404" s="52">
        <v>0</v>
      </c>
      <c r="E404" s="52">
        <v>0</v>
      </c>
      <c r="F404" s="52">
        <v>0</v>
      </c>
      <c r="G404" s="52">
        <v>0</v>
      </c>
      <c r="H404" s="52">
        <v>0</v>
      </c>
      <c r="I404" s="52">
        <v>0</v>
      </c>
      <c r="J404" s="52">
        <v>0</v>
      </c>
      <c r="K404" s="52">
        <v>0</v>
      </c>
      <c r="L404" s="52">
        <v>0</v>
      </c>
      <c r="M404" s="52">
        <v>0</v>
      </c>
      <c r="N404" s="52">
        <v>0</v>
      </c>
      <c r="O404" s="52">
        <v>0</v>
      </c>
      <c r="P404" s="52">
        <v>0</v>
      </c>
      <c r="Q404" s="53">
        <v>0</v>
      </c>
      <c r="R404" s="52">
        <v>0</v>
      </c>
      <c r="S404" s="53">
        <v>0</v>
      </c>
      <c r="T404" s="52">
        <v>0</v>
      </c>
      <c r="U404" s="54">
        <v>0</v>
      </c>
    </row>
    <row r="405" spans="1:21" s="3" customFormat="1" ht="18" customHeight="1">
      <c r="A405" s="8" t="s">
        <v>491</v>
      </c>
      <c r="B405" s="52">
        <v>120</v>
      </c>
      <c r="C405" s="52">
        <v>18</v>
      </c>
      <c r="D405" s="52">
        <v>18</v>
      </c>
      <c r="E405" s="52">
        <v>84</v>
      </c>
      <c r="F405" s="52">
        <v>0</v>
      </c>
      <c r="G405" s="52">
        <v>0</v>
      </c>
      <c r="H405" s="52">
        <v>0</v>
      </c>
      <c r="I405" s="52">
        <v>0</v>
      </c>
      <c r="J405" s="52">
        <v>0</v>
      </c>
      <c r="K405" s="52">
        <v>0</v>
      </c>
      <c r="L405" s="52">
        <v>0</v>
      </c>
      <c r="M405" s="52">
        <v>0</v>
      </c>
      <c r="N405" s="52">
        <v>0</v>
      </c>
      <c r="O405" s="52">
        <v>0</v>
      </c>
      <c r="P405" s="52">
        <v>0</v>
      </c>
      <c r="Q405" s="53">
        <v>0.1</v>
      </c>
      <c r="R405" s="52">
        <v>1.5</v>
      </c>
      <c r="S405" s="53">
        <v>0.14999998</v>
      </c>
      <c r="T405" s="52">
        <v>0.91666669000000001</v>
      </c>
      <c r="U405" s="54">
        <v>0</v>
      </c>
    </row>
    <row r="406" spans="1:21" s="3" customFormat="1" ht="18" customHeight="1">
      <c r="A406" s="8" t="s">
        <v>492</v>
      </c>
      <c r="B406" s="52">
        <v>211</v>
      </c>
      <c r="C406" s="52">
        <v>31.650002000000001</v>
      </c>
      <c r="D406" s="52">
        <v>31.650002000000001</v>
      </c>
      <c r="E406" s="52">
        <v>147.69999999999999</v>
      </c>
      <c r="F406" s="52">
        <v>0</v>
      </c>
      <c r="G406" s="52">
        <v>0</v>
      </c>
      <c r="H406" s="52">
        <v>0</v>
      </c>
      <c r="I406" s="52">
        <v>0</v>
      </c>
      <c r="J406" s="52">
        <v>0</v>
      </c>
      <c r="K406" s="52">
        <v>0</v>
      </c>
      <c r="L406" s="52">
        <v>0</v>
      </c>
      <c r="M406" s="52">
        <v>0</v>
      </c>
      <c r="N406" s="52">
        <v>0</v>
      </c>
      <c r="O406" s="52">
        <v>0</v>
      </c>
      <c r="P406" s="52">
        <v>0</v>
      </c>
      <c r="Q406" s="53">
        <v>0.19</v>
      </c>
      <c r="R406" s="52">
        <v>2.0999998999999998</v>
      </c>
      <c r="S406" s="53">
        <v>0.33000003999999999</v>
      </c>
      <c r="T406" s="52">
        <v>1.0833333999999999</v>
      </c>
      <c r="U406" s="54">
        <v>0</v>
      </c>
    </row>
    <row r="407" spans="1:21" s="3" customFormat="1" ht="18" customHeight="1">
      <c r="A407" s="8" t="s">
        <v>493</v>
      </c>
      <c r="B407" s="52">
        <v>0</v>
      </c>
      <c r="C407" s="52">
        <v>0</v>
      </c>
      <c r="D407" s="52">
        <v>0</v>
      </c>
      <c r="E407" s="52">
        <v>0</v>
      </c>
      <c r="F407" s="52">
        <v>0</v>
      </c>
      <c r="G407" s="52">
        <v>0</v>
      </c>
      <c r="H407" s="52">
        <v>0</v>
      </c>
      <c r="I407" s="52">
        <v>0</v>
      </c>
      <c r="J407" s="52">
        <v>0</v>
      </c>
      <c r="K407" s="52">
        <v>0</v>
      </c>
      <c r="L407" s="52">
        <v>0</v>
      </c>
      <c r="M407" s="52">
        <v>0</v>
      </c>
      <c r="N407" s="52">
        <v>0</v>
      </c>
      <c r="O407" s="52">
        <v>0</v>
      </c>
      <c r="P407" s="52">
        <v>0</v>
      </c>
      <c r="Q407" s="53">
        <v>0</v>
      </c>
      <c r="R407" s="52">
        <v>0</v>
      </c>
      <c r="S407" s="53">
        <v>0</v>
      </c>
      <c r="T407" s="52">
        <v>0</v>
      </c>
      <c r="U407" s="54">
        <v>0</v>
      </c>
    </row>
    <row r="408" spans="1:21" s="3" customFormat="1" ht="18" customHeight="1">
      <c r="A408" s="8" t="s">
        <v>494</v>
      </c>
      <c r="B408" s="52">
        <v>0</v>
      </c>
      <c r="C408" s="52">
        <v>0</v>
      </c>
      <c r="D408" s="52">
        <v>0</v>
      </c>
      <c r="E408" s="52">
        <v>0</v>
      </c>
      <c r="F408" s="52">
        <v>0</v>
      </c>
      <c r="G408" s="52">
        <v>0</v>
      </c>
      <c r="H408" s="52">
        <v>0</v>
      </c>
      <c r="I408" s="52">
        <v>0</v>
      </c>
      <c r="J408" s="52">
        <v>0</v>
      </c>
      <c r="K408" s="52">
        <v>0</v>
      </c>
      <c r="L408" s="52">
        <v>0</v>
      </c>
      <c r="M408" s="52">
        <v>0</v>
      </c>
      <c r="N408" s="52">
        <v>0</v>
      </c>
      <c r="O408" s="52">
        <v>0</v>
      </c>
      <c r="P408" s="52">
        <v>0</v>
      </c>
      <c r="Q408" s="53">
        <v>0</v>
      </c>
      <c r="R408" s="52">
        <v>0</v>
      </c>
      <c r="S408" s="53">
        <v>0</v>
      </c>
      <c r="T408" s="52">
        <v>0</v>
      </c>
      <c r="U408" s="54">
        <v>0</v>
      </c>
    </row>
    <row r="409" spans="1:21" s="3" customFormat="1" ht="18" customHeight="1">
      <c r="A409" s="8" t="s">
        <v>495</v>
      </c>
      <c r="B409" s="52">
        <v>209.99997999999999</v>
      </c>
      <c r="C409" s="52">
        <v>168</v>
      </c>
      <c r="D409" s="52">
        <v>31.500001999999999</v>
      </c>
      <c r="E409" s="52">
        <v>10.49999</v>
      </c>
      <c r="F409" s="52">
        <v>0</v>
      </c>
      <c r="G409" s="52">
        <v>0</v>
      </c>
      <c r="H409" s="52">
        <v>0</v>
      </c>
      <c r="I409" s="52">
        <v>0</v>
      </c>
      <c r="J409" s="52">
        <v>0</v>
      </c>
      <c r="K409" s="52">
        <v>0</v>
      </c>
      <c r="L409" s="52">
        <v>0</v>
      </c>
      <c r="M409" s="52">
        <v>0</v>
      </c>
      <c r="N409" s="52">
        <v>0</v>
      </c>
      <c r="O409" s="52">
        <v>0</v>
      </c>
      <c r="P409" s="52">
        <v>0</v>
      </c>
      <c r="Q409" s="53">
        <v>0.2</v>
      </c>
      <c r="R409" s="52">
        <v>2</v>
      </c>
      <c r="S409" s="53">
        <v>0.10000002</v>
      </c>
      <c r="T409" s="52">
        <v>0.83333336999999996</v>
      </c>
      <c r="U409" s="54">
        <v>0</v>
      </c>
    </row>
    <row r="410" spans="1:21" s="3" customFormat="1" ht="18" customHeight="1">
      <c r="A410" s="8" t="s">
        <v>496</v>
      </c>
      <c r="B410" s="52">
        <v>98</v>
      </c>
      <c r="C410" s="52">
        <v>44.099997999999999</v>
      </c>
      <c r="D410" s="52">
        <v>26.950001</v>
      </c>
      <c r="E410" s="52">
        <v>26.949997</v>
      </c>
      <c r="F410" s="52">
        <v>0</v>
      </c>
      <c r="G410" s="52">
        <v>0</v>
      </c>
      <c r="H410" s="52">
        <v>0</v>
      </c>
      <c r="I410" s="52">
        <v>0</v>
      </c>
      <c r="J410" s="52">
        <v>0</v>
      </c>
      <c r="K410" s="52">
        <v>0</v>
      </c>
      <c r="L410" s="52">
        <v>0</v>
      </c>
      <c r="M410" s="52">
        <v>0</v>
      </c>
      <c r="N410" s="52">
        <v>0</v>
      </c>
      <c r="O410" s="52">
        <v>0</v>
      </c>
      <c r="P410" s="52">
        <v>0</v>
      </c>
      <c r="Q410" s="53">
        <v>0.22</v>
      </c>
      <c r="R410" s="52">
        <v>2</v>
      </c>
      <c r="S410" s="53">
        <v>0.22000003000000001</v>
      </c>
      <c r="T410" s="52">
        <v>4.3333335000000002</v>
      </c>
      <c r="U410" s="54">
        <v>1</v>
      </c>
    </row>
    <row r="411" spans="1:21" s="3" customFormat="1" ht="18" customHeight="1">
      <c r="A411" s="8" t="s">
        <v>497</v>
      </c>
      <c r="B411" s="52">
        <v>98</v>
      </c>
      <c r="C411" s="52">
        <v>44.099997999999999</v>
      </c>
      <c r="D411" s="52">
        <v>26.950001</v>
      </c>
      <c r="E411" s="52">
        <v>26.949997</v>
      </c>
      <c r="F411" s="52">
        <v>0</v>
      </c>
      <c r="G411" s="52">
        <v>0</v>
      </c>
      <c r="H411" s="52">
        <v>0</v>
      </c>
      <c r="I411" s="52">
        <v>0</v>
      </c>
      <c r="J411" s="52">
        <v>0</v>
      </c>
      <c r="K411" s="52">
        <v>0</v>
      </c>
      <c r="L411" s="52">
        <v>0</v>
      </c>
      <c r="M411" s="52">
        <v>0</v>
      </c>
      <c r="N411" s="52">
        <v>0</v>
      </c>
      <c r="O411" s="52">
        <v>0</v>
      </c>
      <c r="P411" s="52">
        <v>0</v>
      </c>
      <c r="Q411" s="53">
        <v>0.28000000000000003</v>
      </c>
      <c r="R411" s="52">
        <v>2.8</v>
      </c>
      <c r="S411" s="53">
        <v>0.27999996999999999</v>
      </c>
      <c r="T411" s="52">
        <v>5.0000004999999996</v>
      </c>
      <c r="U411" s="54">
        <v>1</v>
      </c>
    </row>
    <row r="412" spans="1:21" s="3" customFormat="1" ht="18" customHeight="1">
      <c r="A412" s="8" t="s">
        <v>498</v>
      </c>
      <c r="B412" s="52">
        <v>90</v>
      </c>
      <c r="C412" s="52">
        <v>25.000001999999999</v>
      </c>
      <c r="D412" s="52">
        <v>15</v>
      </c>
      <c r="E412" s="52">
        <v>10</v>
      </c>
      <c r="F412" s="52">
        <v>0</v>
      </c>
      <c r="G412" s="52">
        <v>0</v>
      </c>
      <c r="H412" s="52">
        <v>0</v>
      </c>
      <c r="I412" s="52">
        <v>0</v>
      </c>
      <c r="J412" s="52">
        <v>0</v>
      </c>
      <c r="K412" s="52">
        <v>40</v>
      </c>
      <c r="L412" s="52">
        <v>0</v>
      </c>
      <c r="M412" s="52">
        <v>0</v>
      </c>
      <c r="N412" s="52">
        <v>0</v>
      </c>
      <c r="O412" s="52">
        <v>0</v>
      </c>
      <c r="P412" s="52">
        <v>0</v>
      </c>
      <c r="Q412" s="53">
        <v>0.25</v>
      </c>
      <c r="R412" s="52">
        <v>2</v>
      </c>
      <c r="S412" s="53">
        <v>0.14999998</v>
      </c>
      <c r="T412" s="52">
        <v>3.0000002000000001</v>
      </c>
      <c r="U412" s="54">
        <v>8</v>
      </c>
    </row>
    <row r="413" spans="1:21" s="3" customFormat="1" ht="18" customHeight="1">
      <c r="A413" s="8" t="s">
        <v>499</v>
      </c>
      <c r="B413" s="52">
        <v>40</v>
      </c>
      <c r="C413" s="52">
        <v>0</v>
      </c>
      <c r="D413" s="52">
        <v>0</v>
      </c>
      <c r="E413" s="52">
        <v>0</v>
      </c>
      <c r="F413" s="52">
        <v>0</v>
      </c>
      <c r="G413" s="52">
        <v>0</v>
      </c>
      <c r="H413" s="52">
        <v>0</v>
      </c>
      <c r="I413" s="52">
        <v>0</v>
      </c>
      <c r="J413" s="52">
        <v>0</v>
      </c>
      <c r="K413" s="52">
        <v>40</v>
      </c>
      <c r="L413" s="52">
        <v>0</v>
      </c>
      <c r="M413" s="52">
        <v>0</v>
      </c>
      <c r="N413" s="52">
        <v>0</v>
      </c>
      <c r="O413" s="52">
        <v>0</v>
      </c>
      <c r="P413" s="52">
        <v>0</v>
      </c>
      <c r="Q413" s="53">
        <v>7.9999998000000003E-2</v>
      </c>
      <c r="R413" s="52">
        <v>1.5</v>
      </c>
      <c r="S413" s="53">
        <v>0.13714290000000001</v>
      </c>
      <c r="T413" s="52">
        <v>3.3333335000000002</v>
      </c>
      <c r="U413" s="54">
        <v>7</v>
      </c>
    </row>
    <row r="414" spans="1:21" s="3" customFormat="1" ht="18" customHeight="1">
      <c r="A414" s="8" t="s">
        <v>500</v>
      </c>
      <c r="B414" s="52">
        <v>160</v>
      </c>
      <c r="C414" s="52">
        <v>80</v>
      </c>
      <c r="D414" s="52">
        <v>16</v>
      </c>
      <c r="E414" s="52">
        <v>63.999996000000003</v>
      </c>
      <c r="F414" s="52">
        <v>0</v>
      </c>
      <c r="G414" s="52">
        <v>0</v>
      </c>
      <c r="H414" s="52">
        <v>0</v>
      </c>
      <c r="I414" s="52">
        <v>0</v>
      </c>
      <c r="J414" s="52">
        <v>0</v>
      </c>
      <c r="K414" s="52">
        <v>0</v>
      </c>
      <c r="L414" s="52">
        <v>0</v>
      </c>
      <c r="M414" s="52">
        <v>0</v>
      </c>
      <c r="N414" s="52">
        <v>0</v>
      </c>
      <c r="O414" s="52">
        <v>0</v>
      </c>
      <c r="P414" s="52">
        <v>0</v>
      </c>
      <c r="Q414" s="53">
        <v>0.15000000999999999</v>
      </c>
      <c r="R414" s="52">
        <v>1.5</v>
      </c>
      <c r="S414" s="53">
        <v>0.30000000999999998</v>
      </c>
      <c r="T414" s="52">
        <v>2</v>
      </c>
      <c r="U414" s="54">
        <v>1</v>
      </c>
    </row>
    <row r="415" spans="1:21" s="3" customFormat="1" ht="18" customHeight="1">
      <c r="A415" s="8" t="s">
        <v>501</v>
      </c>
      <c r="B415" s="52">
        <v>241</v>
      </c>
      <c r="C415" s="52">
        <v>134.96001000000001</v>
      </c>
      <c r="D415" s="52">
        <v>0</v>
      </c>
      <c r="E415" s="52">
        <v>106.04</v>
      </c>
      <c r="F415" s="52">
        <v>0</v>
      </c>
      <c r="G415" s="52">
        <v>0</v>
      </c>
      <c r="H415" s="52">
        <v>0</v>
      </c>
      <c r="I415" s="52">
        <v>0</v>
      </c>
      <c r="J415" s="52">
        <v>0</v>
      </c>
      <c r="K415" s="52">
        <v>0</v>
      </c>
      <c r="L415" s="52">
        <v>0</v>
      </c>
      <c r="M415" s="52">
        <v>0</v>
      </c>
      <c r="N415" s="52">
        <v>0</v>
      </c>
      <c r="O415" s="52">
        <v>0</v>
      </c>
      <c r="P415" s="52">
        <v>0</v>
      </c>
      <c r="Q415" s="53">
        <v>0.23999999</v>
      </c>
      <c r="R415" s="52">
        <v>2</v>
      </c>
      <c r="S415" s="53">
        <v>0.27999996999999999</v>
      </c>
      <c r="T415" s="52">
        <v>1</v>
      </c>
      <c r="U415" s="54">
        <v>0</v>
      </c>
    </row>
    <row r="416" spans="1:21" s="3" customFormat="1" ht="18" customHeight="1">
      <c r="A416" s="8" t="s">
        <v>502</v>
      </c>
      <c r="B416" s="52">
        <v>260</v>
      </c>
      <c r="C416" s="52">
        <v>145.60001</v>
      </c>
      <c r="D416" s="52">
        <v>0</v>
      </c>
      <c r="E416" s="52">
        <v>114.4</v>
      </c>
      <c r="F416" s="52">
        <v>0</v>
      </c>
      <c r="G416" s="52">
        <v>0</v>
      </c>
      <c r="H416" s="52">
        <v>0</v>
      </c>
      <c r="I416" s="52">
        <v>0</v>
      </c>
      <c r="J416" s="52">
        <v>0</v>
      </c>
      <c r="K416" s="52">
        <v>0</v>
      </c>
      <c r="L416" s="52">
        <v>0</v>
      </c>
      <c r="M416" s="52">
        <v>0</v>
      </c>
      <c r="N416" s="52">
        <v>0</v>
      </c>
      <c r="O416" s="52">
        <v>0</v>
      </c>
      <c r="P416" s="52">
        <v>0</v>
      </c>
      <c r="Q416" s="53">
        <v>0.25999999000000001</v>
      </c>
      <c r="R416" s="52">
        <v>2.2000000000000002</v>
      </c>
      <c r="S416" s="53">
        <v>0.36000000999999998</v>
      </c>
      <c r="T416" s="52">
        <v>1.0833333999999999</v>
      </c>
      <c r="U416" s="54">
        <v>0</v>
      </c>
    </row>
    <row r="417" spans="1:21" s="3" customFormat="1" ht="18" customHeight="1">
      <c r="A417" s="8" t="s">
        <v>503</v>
      </c>
      <c r="B417" s="52">
        <v>120</v>
      </c>
      <c r="C417" s="52">
        <v>24</v>
      </c>
      <c r="D417" s="52">
        <v>46</v>
      </c>
      <c r="E417" s="52">
        <v>0</v>
      </c>
      <c r="F417" s="52">
        <v>50</v>
      </c>
      <c r="G417" s="52">
        <v>0</v>
      </c>
      <c r="H417" s="52">
        <v>0</v>
      </c>
      <c r="I417" s="52">
        <v>0</v>
      </c>
      <c r="J417" s="52">
        <v>0</v>
      </c>
      <c r="K417" s="52">
        <v>0</v>
      </c>
      <c r="L417" s="52">
        <v>0</v>
      </c>
      <c r="M417" s="52">
        <v>0</v>
      </c>
      <c r="N417" s="52">
        <v>0</v>
      </c>
      <c r="O417" s="52">
        <v>0</v>
      </c>
      <c r="P417" s="52">
        <v>0</v>
      </c>
      <c r="Q417" s="53">
        <v>0.30000000999999998</v>
      </c>
      <c r="R417" s="52">
        <v>2.2000000000000002</v>
      </c>
      <c r="S417" s="53">
        <v>0.25999999000000001</v>
      </c>
      <c r="T417" s="52">
        <v>8.3333340000000007</v>
      </c>
      <c r="U417" s="54">
        <v>1</v>
      </c>
    </row>
    <row r="418" spans="1:21" s="3" customFormat="1" ht="18" customHeight="1">
      <c r="A418" s="8" t="s">
        <v>503</v>
      </c>
      <c r="B418" s="52">
        <v>120</v>
      </c>
      <c r="C418" s="52">
        <v>24</v>
      </c>
      <c r="D418" s="52">
        <v>46</v>
      </c>
      <c r="E418" s="52">
        <v>0</v>
      </c>
      <c r="F418" s="52">
        <v>50</v>
      </c>
      <c r="G418" s="52">
        <v>0</v>
      </c>
      <c r="H418" s="52">
        <v>0</v>
      </c>
      <c r="I418" s="52">
        <v>0</v>
      </c>
      <c r="J418" s="52">
        <v>0</v>
      </c>
      <c r="K418" s="52">
        <v>0</v>
      </c>
      <c r="L418" s="52">
        <v>0</v>
      </c>
      <c r="M418" s="52">
        <v>0</v>
      </c>
      <c r="N418" s="52">
        <v>0</v>
      </c>
      <c r="O418" s="52">
        <v>0</v>
      </c>
      <c r="P418" s="52">
        <v>0</v>
      </c>
      <c r="Q418" s="53">
        <v>0.30000000999999998</v>
      </c>
      <c r="R418" s="52">
        <v>2.2000000000000002</v>
      </c>
      <c r="S418" s="53">
        <v>0.25999999000000001</v>
      </c>
      <c r="T418" s="52">
        <v>8.3333340000000007</v>
      </c>
      <c r="U418" s="54">
        <v>1</v>
      </c>
    </row>
    <row r="419" spans="1:21" s="3" customFormat="1" ht="18" customHeight="1">
      <c r="A419" s="8" t="s">
        <v>503</v>
      </c>
      <c r="B419" s="52">
        <v>120</v>
      </c>
      <c r="C419" s="52">
        <v>24</v>
      </c>
      <c r="D419" s="52">
        <v>46</v>
      </c>
      <c r="E419" s="52">
        <v>0</v>
      </c>
      <c r="F419" s="52">
        <v>50</v>
      </c>
      <c r="G419" s="52">
        <v>0</v>
      </c>
      <c r="H419" s="52">
        <v>0</v>
      </c>
      <c r="I419" s="52">
        <v>0</v>
      </c>
      <c r="J419" s="52">
        <v>0</v>
      </c>
      <c r="K419" s="52">
        <v>0</v>
      </c>
      <c r="L419" s="52">
        <v>0</v>
      </c>
      <c r="M419" s="52">
        <v>0</v>
      </c>
      <c r="N419" s="52">
        <v>0</v>
      </c>
      <c r="O419" s="52">
        <v>0</v>
      </c>
      <c r="P419" s="52">
        <v>0</v>
      </c>
      <c r="Q419" s="53">
        <v>0.30000000999999998</v>
      </c>
      <c r="R419" s="52">
        <v>2.2000000000000002</v>
      </c>
      <c r="S419" s="53">
        <v>0.25999999000000001</v>
      </c>
      <c r="T419" s="52">
        <v>8.3333340000000007</v>
      </c>
      <c r="U419" s="54">
        <v>1</v>
      </c>
    </row>
    <row r="420" spans="1:21" s="3" customFormat="1" ht="18" customHeight="1">
      <c r="A420" s="8" t="s">
        <v>504</v>
      </c>
      <c r="B420" s="52">
        <v>0</v>
      </c>
      <c r="C420" s="52">
        <v>0</v>
      </c>
      <c r="D420" s="52">
        <v>0</v>
      </c>
      <c r="E420" s="52">
        <v>0</v>
      </c>
      <c r="F420" s="52">
        <v>0</v>
      </c>
      <c r="G420" s="52">
        <v>0</v>
      </c>
      <c r="H420" s="52">
        <v>0</v>
      </c>
      <c r="I420" s="52">
        <v>0</v>
      </c>
      <c r="J420" s="52">
        <v>0</v>
      </c>
      <c r="K420" s="52">
        <v>0</v>
      </c>
      <c r="L420" s="52">
        <v>0</v>
      </c>
      <c r="M420" s="52">
        <v>0</v>
      </c>
      <c r="N420" s="52">
        <v>0</v>
      </c>
      <c r="O420" s="52">
        <v>0</v>
      </c>
      <c r="P420" s="52">
        <v>0</v>
      </c>
      <c r="Q420" s="53">
        <v>0</v>
      </c>
      <c r="R420" s="52">
        <v>0</v>
      </c>
      <c r="S420" s="53">
        <v>0</v>
      </c>
      <c r="T420" s="52">
        <v>0</v>
      </c>
      <c r="U420" s="54">
        <v>0</v>
      </c>
    </row>
    <row r="421" spans="1:21" s="3" customFormat="1" ht="18" customHeight="1">
      <c r="A421" s="8" t="s">
        <v>505</v>
      </c>
      <c r="B421" s="52">
        <v>0</v>
      </c>
      <c r="C421" s="52">
        <v>0</v>
      </c>
      <c r="D421" s="52">
        <v>0</v>
      </c>
      <c r="E421" s="52">
        <v>0</v>
      </c>
      <c r="F421" s="52">
        <v>0</v>
      </c>
      <c r="G421" s="52">
        <v>0</v>
      </c>
      <c r="H421" s="52">
        <v>0</v>
      </c>
      <c r="I421" s="52">
        <v>0</v>
      </c>
      <c r="J421" s="52">
        <v>0</v>
      </c>
      <c r="K421" s="52">
        <v>0</v>
      </c>
      <c r="L421" s="52">
        <v>0</v>
      </c>
      <c r="M421" s="52">
        <v>0</v>
      </c>
      <c r="N421" s="52">
        <v>0</v>
      </c>
      <c r="O421" s="52">
        <v>0</v>
      </c>
      <c r="P421" s="52">
        <v>0</v>
      </c>
      <c r="Q421" s="53">
        <v>0</v>
      </c>
      <c r="R421" s="52">
        <v>0</v>
      </c>
      <c r="S421" s="53">
        <v>0</v>
      </c>
      <c r="T421" s="52">
        <v>0</v>
      </c>
      <c r="U421" s="54">
        <v>0</v>
      </c>
    </row>
    <row r="422" spans="1:21" s="3" customFormat="1" ht="18" customHeight="1">
      <c r="A422" s="8" t="s">
        <v>505</v>
      </c>
      <c r="B422" s="52">
        <v>0</v>
      </c>
      <c r="C422" s="52">
        <v>0</v>
      </c>
      <c r="D422" s="52">
        <v>0</v>
      </c>
      <c r="E422" s="52">
        <v>0</v>
      </c>
      <c r="F422" s="52">
        <v>0</v>
      </c>
      <c r="G422" s="52">
        <v>0</v>
      </c>
      <c r="H422" s="52">
        <v>0</v>
      </c>
      <c r="I422" s="52">
        <v>0</v>
      </c>
      <c r="J422" s="52">
        <v>0</v>
      </c>
      <c r="K422" s="52">
        <v>0</v>
      </c>
      <c r="L422" s="52">
        <v>0</v>
      </c>
      <c r="M422" s="52">
        <v>0</v>
      </c>
      <c r="N422" s="52">
        <v>0</v>
      </c>
      <c r="O422" s="52">
        <v>0</v>
      </c>
      <c r="P422" s="52">
        <v>0</v>
      </c>
      <c r="Q422" s="53">
        <v>0</v>
      </c>
      <c r="R422" s="52">
        <v>0</v>
      </c>
      <c r="S422" s="53">
        <v>0</v>
      </c>
      <c r="T422" s="52">
        <v>0</v>
      </c>
      <c r="U422" s="54">
        <v>0</v>
      </c>
    </row>
    <row r="423" spans="1:21" s="3" customFormat="1" ht="18" customHeight="1">
      <c r="A423" s="8" t="s">
        <v>506</v>
      </c>
      <c r="B423" s="52">
        <v>177</v>
      </c>
      <c r="C423" s="52">
        <v>53.100002000000003</v>
      </c>
      <c r="D423" s="52">
        <v>44.25</v>
      </c>
      <c r="E423" s="52">
        <v>79.650002000000001</v>
      </c>
      <c r="F423" s="52">
        <v>0</v>
      </c>
      <c r="G423" s="52">
        <v>0</v>
      </c>
      <c r="H423" s="52">
        <v>0</v>
      </c>
      <c r="I423" s="52">
        <v>0</v>
      </c>
      <c r="J423" s="52">
        <v>0</v>
      </c>
      <c r="K423" s="52">
        <v>0</v>
      </c>
      <c r="L423" s="52">
        <v>0</v>
      </c>
      <c r="M423" s="52">
        <v>0</v>
      </c>
      <c r="N423" s="52">
        <v>0</v>
      </c>
      <c r="O423" s="52">
        <v>0</v>
      </c>
      <c r="P423" s="52">
        <v>0</v>
      </c>
      <c r="Q423" s="53">
        <v>0.19</v>
      </c>
      <c r="R423" s="52">
        <v>2</v>
      </c>
      <c r="S423" s="53">
        <v>0.25</v>
      </c>
      <c r="T423" s="52">
        <v>1.0833333999999999</v>
      </c>
      <c r="U423" s="54">
        <v>0</v>
      </c>
    </row>
    <row r="424" spans="1:21" s="3" customFormat="1" ht="18" customHeight="1">
      <c r="A424" s="8" t="s">
        <v>507</v>
      </c>
      <c r="B424" s="52">
        <v>158</v>
      </c>
      <c r="C424" s="52">
        <v>23</v>
      </c>
      <c r="D424" s="52">
        <v>23</v>
      </c>
      <c r="E424" s="52">
        <v>47</v>
      </c>
      <c r="F424" s="52">
        <v>0</v>
      </c>
      <c r="G424" s="52">
        <v>0</v>
      </c>
      <c r="H424" s="52">
        <v>0</v>
      </c>
      <c r="I424" s="52">
        <v>65</v>
      </c>
      <c r="J424" s="52">
        <v>0</v>
      </c>
      <c r="K424" s="52">
        <v>0</v>
      </c>
      <c r="L424" s="52">
        <v>0</v>
      </c>
      <c r="M424" s="52">
        <v>0</v>
      </c>
      <c r="N424" s="52">
        <v>0</v>
      </c>
      <c r="O424" s="52">
        <v>0</v>
      </c>
      <c r="P424" s="52">
        <v>0</v>
      </c>
      <c r="Q424" s="53">
        <v>9.0000003999999995E-2</v>
      </c>
      <c r="R424" s="52">
        <v>1.5</v>
      </c>
      <c r="S424" s="53">
        <v>0.31</v>
      </c>
      <c r="T424" s="52">
        <v>1.0833333999999999</v>
      </c>
      <c r="U424" s="54">
        <v>0</v>
      </c>
    </row>
    <row r="425" spans="1:21" s="3" customFormat="1" ht="18" customHeight="1">
      <c r="A425" s="8" t="s">
        <v>508</v>
      </c>
      <c r="B425" s="52">
        <v>250</v>
      </c>
      <c r="C425" s="52">
        <v>12.5</v>
      </c>
      <c r="D425" s="52">
        <v>12.5</v>
      </c>
      <c r="E425" s="52">
        <v>225</v>
      </c>
      <c r="F425" s="52">
        <v>0</v>
      </c>
      <c r="G425" s="52">
        <v>0</v>
      </c>
      <c r="H425" s="52">
        <v>0</v>
      </c>
      <c r="I425" s="52">
        <v>0</v>
      </c>
      <c r="J425" s="52">
        <v>0</v>
      </c>
      <c r="K425" s="52">
        <v>0</v>
      </c>
      <c r="L425" s="52">
        <v>0</v>
      </c>
      <c r="M425" s="52">
        <v>0</v>
      </c>
      <c r="N425" s="52">
        <v>0</v>
      </c>
      <c r="O425" s="52">
        <v>0</v>
      </c>
      <c r="P425" s="52">
        <v>0</v>
      </c>
      <c r="Q425" s="53">
        <v>5.0000001000000002E-2</v>
      </c>
      <c r="R425" s="52">
        <v>2</v>
      </c>
      <c r="S425" s="53">
        <v>0.5</v>
      </c>
      <c r="T425" s="52">
        <v>2.5000002000000001</v>
      </c>
      <c r="U425" s="54">
        <v>1</v>
      </c>
    </row>
    <row r="426" spans="1:21" s="3" customFormat="1" ht="18" customHeight="1">
      <c r="A426" s="8" t="s">
        <v>509</v>
      </c>
      <c r="B426" s="52">
        <v>90</v>
      </c>
      <c r="C426" s="52">
        <v>81</v>
      </c>
      <c r="D426" s="52">
        <v>9</v>
      </c>
      <c r="E426" s="52">
        <v>0</v>
      </c>
      <c r="F426" s="52">
        <v>0</v>
      </c>
      <c r="G426" s="52">
        <v>0</v>
      </c>
      <c r="H426" s="52">
        <v>0</v>
      </c>
      <c r="I426" s="52">
        <v>0</v>
      </c>
      <c r="J426" s="52">
        <v>0</v>
      </c>
      <c r="K426" s="52">
        <v>0</v>
      </c>
      <c r="L426" s="52">
        <v>0</v>
      </c>
      <c r="M426" s="52">
        <v>0</v>
      </c>
      <c r="N426" s="52">
        <v>0</v>
      </c>
      <c r="O426" s="52">
        <v>0</v>
      </c>
      <c r="P426" s="52">
        <v>0</v>
      </c>
      <c r="Q426" s="53">
        <v>0.1</v>
      </c>
      <c r="R426" s="52">
        <v>2</v>
      </c>
      <c r="S426" s="53">
        <v>0.10000002</v>
      </c>
      <c r="T426" s="52">
        <v>1</v>
      </c>
      <c r="U426" s="54">
        <v>0</v>
      </c>
    </row>
    <row r="427" spans="1:21" s="3" customFormat="1" ht="18" customHeight="1">
      <c r="A427" s="8" t="s">
        <v>510</v>
      </c>
      <c r="B427" s="52">
        <v>18</v>
      </c>
      <c r="C427" s="52">
        <v>4.5</v>
      </c>
      <c r="D427" s="52">
        <v>4.5</v>
      </c>
      <c r="E427" s="52">
        <v>9</v>
      </c>
      <c r="F427" s="52">
        <v>0</v>
      </c>
      <c r="G427" s="52">
        <v>0</v>
      </c>
      <c r="H427" s="52">
        <v>0</v>
      </c>
      <c r="I427" s="52">
        <v>0</v>
      </c>
      <c r="J427" s="52">
        <v>0</v>
      </c>
      <c r="K427" s="52">
        <v>0</v>
      </c>
      <c r="L427" s="52">
        <v>0</v>
      </c>
      <c r="M427" s="52">
        <v>0</v>
      </c>
      <c r="N427" s="52">
        <v>0</v>
      </c>
      <c r="O427" s="52">
        <v>0</v>
      </c>
      <c r="P427" s="52">
        <v>0</v>
      </c>
      <c r="Q427" s="53">
        <v>7.9999998000000003E-2</v>
      </c>
      <c r="R427" s="52">
        <v>1.5</v>
      </c>
      <c r="S427" s="53">
        <v>5.0000012000000003E-2</v>
      </c>
      <c r="T427" s="52">
        <v>7.5000004999999996</v>
      </c>
      <c r="U427" s="54">
        <v>1</v>
      </c>
    </row>
    <row r="428" spans="1:21" s="3" customFormat="1" ht="18" customHeight="1">
      <c r="A428" s="8" t="s">
        <v>511</v>
      </c>
      <c r="B428" s="52">
        <v>90</v>
      </c>
      <c r="C428" s="52">
        <v>63</v>
      </c>
      <c r="D428" s="52">
        <v>13.500000999999999</v>
      </c>
      <c r="E428" s="52">
        <v>13.499998</v>
      </c>
      <c r="F428" s="52">
        <v>0</v>
      </c>
      <c r="G428" s="52">
        <v>0</v>
      </c>
      <c r="H428" s="52">
        <v>0</v>
      </c>
      <c r="I428" s="52">
        <v>0</v>
      </c>
      <c r="J428" s="52">
        <v>0</v>
      </c>
      <c r="K428" s="52">
        <v>0</v>
      </c>
      <c r="L428" s="52">
        <v>0</v>
      </c>
      <c r="M428" s="52">
        <v>0</v>
      </c>
      <c r="N428" s="52">
        <v>0</v>
      </c>
      <c r="O428" s="52">
        <v>0</v>
      </c>
      <c r="P428" s="52">
        <v>0</v>
      </c>
      <c r="Q428" s="53">
        <v>0.2</v>
      </c>
      <c r="R428" s="52">
        <v>2</v>
      </c>
      <c r="S428" s="53">
        <v>0.10000002</v>
      </c>
      <c r="T428" s="52">
        <v>1</v>
      </c>
      <c r="U428" s="54">
        <v>0</v>
      </c>
    </row>
    <row r="429" spans="1:21" s="3" customFormat="1" ht="18" customHeight="1">
      <c r="A429" s="8" t="s">
        <v>512</v>
      </c>
      <c r="B429" s="52">
        <v>12.999999000000001</v>
      </c>
      <c r="C429" s="52">
        <v>1.95</v>
      </c>
      <c r="D429" s="52">
        <v>9.0999993999999997</v>
      </c>
      <c r="E429" s="52">
        <v>1.9499997</v>
      </c>
      <c r="F429" s="52">
        <v>0</v>
      </c>
      <c r="G429" s="52">
        <v>0</v>
      </c>
      <c r="H429" s="52">
        <v>0</v>
      </c>
      <c r="I429" s="52">
        <v>0</v>
      </c>
      <c r="J429" s="52">
        <v>0</v>
      </c>
      <c r="K429" s="52">
        <v>0</v>
      </c>
      <c r="L429" s="52">
        <v>0</v>
      </c>
      <c r="M429" s="52">
        <v>0</v>
      </c>
      <c r="N429" s="52">
        <v>0</v>
      </c>
      <c r="O429" s="52">
        <v>0</v>
      </c>
      <c r="P429" s="52">
        <v>0</v>
      </c>
      <c r="Q429" s="53">
        <v>5.0000001000000002E-2</v>
      </c>
      <c r="R429" s="52">
        <v>2</v>
      </c>
      <c r="S429" s="53">
        <v>9.9999905E-3</v>
      </c>
      <c r="T429" s="52">
        <v>8.3333340000000007</v>
      </c>
      <c r="U429" s="54">
        <v>1</v>
      </c>
    </row>
    <row r="430" spans="1:21" s="3" customFormat="1" ht="18" customHeight="1">
      <c r="A430" s="8" t="s">
        <v>513</v>
      </c>
      <c r="B430" s="52">
        <v>40</v>
      </c>
      <c r="C430" s="52">
        <v>4</v>
      </c>
      <c r="D430" s="52">
        <v>30</v>
      </c>
      <c r="E430" s="52">
        <v>5.9999989999999999</v>
      </c>
      <c r="F430" s="52">
        <v>0</v>
      </c>
      <c r="G430" s="52">
        <v>0</v>
      </c>
      <c r="H430" s="52">
        <v>0</v>
      </c>
      <c r="I430" s="52">
        <v>0</v>
      </c>
      <c r="J430" s="52">
        <v>0</v>
      </c>
      <c r="K430" s="52">
        <v>0</v>
      </c>
      <c r="L430" s="52">
        <v>0</v>
      </c>
      <c r="M430" s="52">
        <v>0</v>
      </c>
      <c r="N430" s="52">
        <v>0</v>
      </c>
      <c r="O430" s="52">
        <v>0</v>
      </c>
      <c r="P430" s="52">
        <v>0</v>
      </c>
      <c r="Q430" s="53">
        <v>5.0000001000000002E-2</v>
      </c>
      <c r="R430" s="52">
        <v>2</v>
      </c>
      <c r="S430" s="53">
        <v>2.4999976E-2</v>
      </c>
      <c r="T430" s="52">
        <v>3.3333335000000002</v>
      </c>
      <c r="U430" s="54">
        <v>1</v>
      </c>
    </row>
    <row r="431" spans="1:21" s="3" customFormat="1" ht="18" customHeight="1">
      <c r="A431" s="8" t="s">
        <v>514</v>
      </c>
      <c r="B431" s="52">
        <v>230</v>
      </c>
      <c r="C431" s="52">
        <v>11.5</v>
      </c>
      <c r="D431" s="52">
        <v>184</v>
      </c>
      <c r="E431" s="52">
        <v>34.499996000000003</v>
      </c>
      <c r="F431" s="52">
        <v>0</v>
      </c>
      <c r="G431" s="52">
        <v>0</v>
      </c>
      <c r="H431" s="52">
        <v>0</v>
      </c>
      <c r="I431" s="52">
        <v>0</v>
      </c>
      <c r="J431" s="52">
        <v>0</v>
      </c>
      <c r="K431" s="52">
        <v>0</v>
      </c>
      <c r="L431" s="52">
        <v>0</v>
      </c>
      <c r="M431" s="52">
        <v>0</v>
      </c>
      <c r="N431" s="52">
        <v>0</v>
      </c>
      <c r="O431" s="52">
        <v>0</v>
      </c>
      <c r="P431" s="52">
        <v>0</v>
      </c>
      <c r="Q431" s="53">
        <v>0.30000000999999998</v>
      </c>
      <c r="R431" s="52">
        <v>2</v>
      </c>
      <c r="S431" s="53">
        <v>0.14999998</v>
      </c>
      <c r="T431" s="52">
        <v>1</v>
      </c>
      <c r="U431" s="54">
        <v>1</v>
      </c>
    </row>
    <row r="432" spans="1:21" s="3" customFormat="1" ht="18" customHeight="1">
      <c r="A432" s="8" t="s">
        <v>515</v>
      </c>
      <c r="B432" s="52">
        <v>18</v>
      </c>
      <c r="C432" s="52">
        <v>9.9000006000000003</v>
      </c>
      <c r="D432" s="52">
        <v>2.7</v>
      </c>
      <c r="E432" s="52">
        <v>5.3999990999999996</v>
      </c>
      <c r="F432" s="52">
        <v>0</v>
      </c>
      <c r="G432" s="52">
        <v>0</v>
      </c>
      <c r="H432" s="52">
        <v>0</v>
      </c>
      <c r="I432" s="52">
        <v>0</v>
      </c>
      <c r="J432" s="52">
        <v>0</v>
      </c>
      <c r="K432" s="52">
        <v>0</v>
      </c>
      <c r="L432" s="52">
        <v>0</v>
      </c>
      <c r="M432" s="52">
        <v>0</v>
      </c>
      <c r="N432" s="52">
        <v>0</v>
      </c>
      <c r="O432" s="52">
        <v>0</v>
      </c>
      <c r="P432" s="52">
        <v>0</v>
      </c>
      <c r="Q432" s="53">
        <v>7.5000002999999996E-2</v>
      </c>
      <c r="R432" s="52">
        <v>2</v>
      </c>
      <c r="S432" s="53">
        <v>6.0000001999999997E-2</v>
      </c>
      <c r="T432" s="52">
        <v>2.0833335000000002</v>
      </c>
      <c r="U432" s="54">
        <v>10</v>
      </c>
    </row>
    <row r="433" spans="1:21" s="3" customFormat="1" ht="18" customHeight="1">
      <c r="A433" s="8" t="s">
        <v>516</v>
      </c>
      <c r="B433" s="52">
        <v>0</v>
      </c>
      <c r="C433" s="52">
        <v>0</v>
      </c>
      <c r="D433" s="52">
        <v>0</v>
      </c>
      <c r="E433" s="52">
        <v>0</v>
      </c>
      <c r="F433" s="52">
        <v>0</v>
      </c>
      <c r="G433" s="52">
        <v>0</v>
      </c>
      <c r="H433" s="52">
        <v>0</v>
      </c>
      <c r="I433" s="52">
        <v>0</v>
      </c>
      <c r="J433" s="52">
        <v>0</v>
      </c>
      <c r="K433" s="52">
        <v>0</v>
      </c>
      <c r="L433" s="52">
        <v>0</v>
      </c>
      <c r="M433" s="52">
        <v>0</v>
      </c>
      <c r="N433" s="52">
        <v>0</v>
      </c>
      <c r="O433" s="52">
        <v>0</v>
      </c>
      <c r="P433" s="52">
        <v>0</v>
      </c>
      <c r="Q433" s="53">
        <v>0</v>
      </c>
      <c r="R433" s="52">
        <v>0</v>
      </c>
      <c r="S433" s="53">
        <v>0</v>
      </c>
      <c r="T433" s="52">
        <v>0</v>
      </c>
      <c r="U433" s="54">
        <v>0</v>
      </c>
    </row>
    <row r="434" spans="1:21" s="3" customFormat="1" ht="18" customHeight="1">
      <c r="A434" s="8" t="s">
        <v>517</v>
      </c>
      <c r="B434" s="52">
        <v>196</v>
      </c>
      <c r="C434" s="52">
        <v>32</v>
      </c>
      <c r="D434" s="52">
        <v>0</v>
      </c>
      <c r="E434" s="52">
        <v>0</v>
      </c>
      <c r="F434" s="52">
        <v>0</v>
      </c>
      <c r="G434" s="52">
        <v>0</v>
      </c>
      <c r="H434" s="52">
        <v>0</v>
      </c>
      <c r="I434" s="52">
        <v>0</v>
      </c>
      <c r="J434" s="52">
        <v>164</v>
      </c>
      <c r="K434" s="52">
        <v>0</v>
      </c>
      <c r="L434" s="52">
        <v>0</v>
      </c>
      <c r="M434" s="52">
        <v>0</v>
      </c>
      <c r="N434" s="52">
        <v>0</v>
      </c>
      <c r="O434" s="52">
        <v>0</v>
      </c>
      <c r="P434" s="52">
        <v>0</v>
      </c>
      <c r="Q434" s="53">
        <v>0.30000000999999998</v>
      </c>
      <c r="R434" s="52">
        <v>2.2000000000000002</v>
      </c>
      <c r="S434" s="53">
        <v>0.27999996999999999</v>
      </c>
      <c r="T434" s="52">
        <v>6.0000004999999996</v>
      </c>
      <c r="U434" s="54">
        <v>1</v>
      </c>
    </row>
    <row r="435" spans="1:21" s="3" customFormat="1" ht="18" customHeight="1">
      <c r="A435" s="8" t="s">
        <v>518</v>
      </c>
      <c r="B435" s="52">
        <v>0</v>
      </c>
      <c r="C435" s="52">
        <v>0</v>
      </c>
      <c r="D435" s="52">
        <v>0</v>
      </c>
      <c r="E435" s="52">
        <v>0</v>
      </c>
      <c r="F435" s="52">
        <v>0</v>
      </c>
      <c r="G435" s="52">
        <v>0</v>
      </c>
      <c r="H435" s="52">
        <v>0</v>
      </c>
      <c r="I435" s="52">
        <v>0</v>
      </c>
      <c r="J435" s="52">
        <v>0</v>
      </c>
      <c r="K435" s="52">
        <v>0</v>
      </c>
      <c r="L435" s="52">
        <v>0</v>
      </c>
      <c r="M435" s="52">
        <v>0</v>
      </c>
      <c r="N435" s="52">
        <v>0</v>
      </c>
      <c r="O435" s="52">
        <v>0</v>
      </c>
      <c r="P435" s="52">
        <v>0</v>
      </c>
      <c r="Q435" s="53">
        <v>0</v>
      </c>
      <c r="R435" s="52">
        <v>0</v>
      </c>
      <c r="S435" s="53">
        <v>0</v>
      </c>
      <c r="T435" s="52">
        <v>0</v>
      </c>
      <c r="U435" s="54">
        <v>0</v>
      </c>
    </row>
    <row r="436" spans="1:21" s="3" customFormat="1" ht="18" customHeight="1">
      <c r="A436" s="8" t="s">
        <v>519</v>
      </c>
      <c r="B436" s="52">
        <v>0</v>
      </c>
      <c r="C436" s="52">
        <v>0</v>
      </c>
      <c r="D436" s="52">
        <v>0</v>
      </c>
      <c r="E436" s="52">
        <v>0</v>
      </c>
      <c r="F436" s="52">
        <v>0</v>
      </c>
      <c r="G436" s="52">
        <v>0</v>
      </c>
      <c r="H436" s="52">
        <v>0</v>
      </c>
      <c r="I436" s="52">
        <v>0</v>
      </c>
      <c r="J436" s="52">
        <v>0</v>
      </c>
      <c r="K436" s="52">
        <v>0</v>
      </c>
      <c r="L436" s="52">
        <v>0</v>
      </c>
      <c r="M436" s="52">
        <v>0</v>
      </c>
      <c r="N436" s="52">
        <v>0</v>
      </c>
      <c r="O436" s="52">
        <v>0</v>
      </c>
      <c r="P436" s="52">
        <v>0</v>
      </c>
      <c r="Q436" s="53">
        <v>0</v>
      </c>
      <c r="R436" s="52">
        <v>0</v>
      </c>
      <c r="S436" s="53">
        <v>0</v>
      </c>
      <c r="T436" s="52">
        <v>0</v>
      </c>
      <c r="U436" s="54">
        <v>0</v>
      </c>
    </row>
    <row r="437" spans="1:21" s="3" customFormat="1" ht="18" customHeight="1">
      <c r="A437" s="8" t="s">
        <v>520</v>
      </c>
      <c r="B437" s="52">
        <v>0</v>
      </c>
      <c r="C437" s="52">
        <v>0</v>
      </c>
      <c r="D437" s="52">
        <v>0</v>
      </c>
      <c r="E437" s="52">
        <v>0</v>
      </c>
      <c r="F437" s="52">
        <v>0</v>
      </c>
      <c r="G437" s="52">
        <v>0</v>
      </c>
      <c r="H437" s="52">
        <v>0</v>
      </c>
      <c r="I437" s="52">
        <v>0</v>
      </c>
      <c r="J437" s="52">
        <v>0</v>
      </c>
      <c r="K437" s="52">
        <v>0</v>
      </c>
      <c r="L437" s="52">
        <v>0</v>
      </c>
      <c r="M437" s="52">
        <v>0</v>
      </c>
      <c r="N437" s="52">
        <v>0</v>
      </c>
      <c r="O437" s="52">
        <v>0</v>
      </c>
      <c r="P437" s="52">
        <v>0</v>
      </c>
      <c r="Q437" s="53">
        <v>0</v>
      </c>
      <c r="R437" s="52">
        <v>0</v>
      </c>
      <c r="S437" s="53">
        <v>0</v>
      </c>
      <c r="T437" s="52">
        <v>0</v>
      </c>
      <c r="U437" s="54">
        <v>0</v>
      </c>
    </row>
    <row r="438" spans="1:21" s="3" customFormat="1" ht="18" customHeight="1">
      <c r="A438" s="8" t="s">
        <v>521</v>
      </c>
      <c r="B438" s="52">
        <v>5</v>
      </c>
      <c r="C438" s="52">
        <v>1.25</v>
      </c>
      <c r="D438" s="52">
        <v>3.75</v>
      </c>
      <c r="E438" s="52">
        <v>0</v>
      </c>
      <c r="F438" s="52">
        <v>0</v>
      </c>
      <c r="G438" s="52">
        <v>0</v>
      </c>
      <c r="H438" s="52">
        <v>0</v>
      </c>
      <c r="I438" s="52">
        <v>0</v>
      </c>
      <c r="J438" s="52">
        <v>0</v>
      </c>
      <c r="K438" s="52">
        <v>0</v>
      </c>
      <c r="L438" s="52">
        <v>0</v>
      </c>
      <c r="M438" s="52">
        <v>0</v>
      </c>
      <c r="N438" s="52">
        <v>0</v>
      </c>
      <c r="O438" s="52">
        <v>0</v>
      </c>
      <c r="P438" s="52">
        <v>0</v>
      </c>
      <c r="Q438" s="53">
        <v>0.125</v>
      </c>
      <c r="R438" s="52">
        <v>1.75</v>
      </c>
      <c r="S438" s="53">
        <v>5.0000012000000003E-2</v>
      </c>
      <c r="T438" s="52">
        <v>3.3333335000000002</v>
      </c>
      <c r="U438" s="54">
        <v>1</v>
      </c>
    </row>
    <row r="439" spans="1:21" s="3" customFormat="1" ht="18" customHeight="1">
      <c r="A439" s="8" t="s">
        <v>522</v>
      </c>
      <c r="B439" s="52">
        <v>0</v>
      </c>
      <c r="C439" s="52">
        <v>0</v>
      </c>
      <c r="D439" s="52">
        <v>0</v>
      </c>
      <c r="E439" s="52">
        <v>0</v>
      </c>
      <c r="F439" s="52">
        <v>0</v>
      </c>
      <c r="G439" s="52">
        <v>0</v>
      </c>
      <c r="H439" s="52">
        <v>0</v>
      </c>
      <c r="I439" s="52">
        <v>0</v>
      </c>
      <c r="J439" s="52">
        <v>0</v>
      </c>
      <c r="K439" s="52">
        <v>0</v>
      </c>
      <c r="L439" s="52">
        <v>0</v>
      </c>
      <c r="M439" s="52">
        <v>0</v>
      </c>
      <c r="N439" s="52">
        <v>0</v>
      </c>
      <c r="O439" s="52">
        <v>0</v>
      </c>
      <c r="P439" s="52">
        <v>0</v>
      </c>
      <c r="Q439" s="53">
        <v>0</v>
      </c>
      <c r="R439" s="52">
        <v>0</v>
      </c>
      <c r="S439" s="53">
        <v>0</v>
      </c>
      <c r="T439" s="52">
        <v>0</v>
      </c>
      <c r="U439" s="54">
        <v>0</v>
      </c>
    </row>
    <row r="440" spans="1:21" s="3" customFormat="1" ht="18" customHeight="1">
      <c r="A440" s="8" t="s">
        <v>523</v>
      </c>
      <c r="B440" s="52">
        <v>415</v>
      </c>
      <c r="C440" s="52">
        <v>369</v>
      </c>
      <c r="D440" s="52">
        <v>20.5</v>
      </c>
      <c r="E440" s="52">
        <v>20.500005999999999</v>
      </c>
      <c r="F440" s="52">
        <v>0</v>
      </c>
      <c r="G440" s="52">
        <v>0</v>
      </c>
      <c r="H440" s="52">
        <v>0</v>
      </c>
      <c r="I440" s="52">
        <v>5</v>
      </c>
      <c r="J440" s="52">
        <v>0</v>
      </c>
      <c r="K440" s="52">
        <v>0</v>
      </c>
      <c r="L440" s="52">
        <v>0</v>
      </c>
      <c r="M440" s="52">
        <v>0</v>
      </c>
      <c r="N440" s="52">
        <v>0</v>
      </c>
      <c r="O440" s="52">
        <v>0</v>
      </c>
      <c r="P440" s="52">
        <v>0</v>
      </c>
      <c r="Q440" s="53">
        <v>0.15000000999999999</v>
      </c>
      <c r="R440" s="52">
        <v>2</v>
      </c>
      <c r="S440" s="53">
        <v>0.49000000999999999</v>
      </c>
      <c r="T440" s="52">
        <v>1</v>
      </c>
      <c r="U440" s="54">
        <v>1</v>
      </c>
    </row>
    <row r="441" spans="1:21" s="3" customFormat="1" ht="18" customHeight="1">
      <c r="A441" s="8" t="s">
        <v>524</v>
      </c>
      <c r="B441" s="52">
        <v>25</v>
      </c>
      <c r="C441" s="52">
        <v>2.5</v>
      </c>
      <c r="D441" s="52">
        <v>15.000000999999999</v>
      </c>
      <c r="E441" s="52">
        <v>7.4999989999999999</v>
      </c>
      <c r="F441" s="52">
        <v>0</v>
      </c>
      <c r="G441" s="52">
        <v>0</v>
      </c>
      <c r="H441" s="52">
        <v>0</v>
      </c>
      <c r="I441" s="52">
        <v>0</v>
      </c>
      <c r="J441" s="52">
        <v>0</v>
      </c>
      <c r="K441" s="52">
        <v>0</v>
      </c>
      <c r="L441" s="52">
        <v>0</v>
      </c>
      <c r="M441" s="52">
        <v>0</v>
      </c>
      <c r="N441" s="52">
        <v>0</v>
      </c>
      <c r="O441" s="52">
        <v>0</v>
      </c>
      <c r="P441" s="52">
        <v>0</v>
      </c>
      <c r="Q441" s="53">
        <v>2.5000000000000001E-2</v>
      </c>
      <c r="R441" s="52">
        <v>1.5</v>
      </c>
      <c r="S441" s="53">
        <v>0.14999998</v>
      </c>
      <c r="T441" s="52">
        <v>10.000000999999999</v>
      </c>
      <c r="U441" s="54">
        <v>1</v>
      </c>
    </row>
    <row r="442" spans="1:21" s="3" customFormat="1" ht="18" customHeight="1">
      <c r="A442" s="8" t="s">
        <v>525</v>
      </c>
      <c r="B442" s="52">
        <v>158.99997999999999</v>
      </c>
      <c r="C442" s="52">
        <v>1.5899999</v>
      </c>
      <c r="D442" s="52">
        <v>14.31</v>
      </c>
      <c r="E442" s="52">
        <v>143.09998999999999</v>
      </c>
      <c r="F442" s="52">
        <v>0</v>
      </c>
      <c r="G442" s="52">
        <v>0</v>
      </c>
      <c r="H442" s="52">
        <v>0</v>
      </c>
      <c r="I442" s="52">
        <v>0</v>
      </c>
      <c r="J442" s="52">
        <v>0</v>
      </c>
      <c r="K442" s="52">
        <v>0</v>
      </c>
      <c r="L442" s="52">
        <v>0</v>
      </c>
      <c r="M442" s="52">
        <v>0</v>
      </c>
      <c r="N442" s="52">
        <v>0</v>
      </c>
      <c r="O442" s="52">
        <v>0</v>
      </c>
      <c r="P442" s="52">
        <v>0</v>
      </c>
      <c r="Q442" s="53">
        <v>0.15000000999999999</v>
      </c>
      <c r="R442" s="52">
        <v>2.2999999999999998</v>
      </c>
      <c r="S442" s="53">
        <v>0.38999999000000002</v>
      </c>
      <c r="T442" s="52">
        <v>2.5000002000000001</v>
      </c>
      <c r="U442" s="54">
        <v>1</v>
      </c>
    </row>
    <row r="443" spans="1:21" s="3" customFormat="1" ht="18" customHeight="1">
      <c r="A443" s="8" t="s">
        <v>526</v>
      </c>
      <c r="B443" s="52">
        <v>173</v>
      </c>
      <c r="C443" s="52">
        <v>1.73</v>
      </c>
      <c r="D443" s="52">
        <v>15.570001</v>
      </c>
      <c r="E443" s="52">
        <v>155.69999999999999</v>
      </c>
      <c r="F443" s="52">
        <v>0</v>
      </c>
      <c r="G443" s="52">
        <v>0</v>
      </c>
      <c r="H443" s="52">
        <v>0</v>
      </c>
      <c r="I443" s="52">
        <v>0</v>
      </c>
      <c r="J443" s="52">
        <v>0</v>
      </c>
      <c r="K443" s="52">
        <v>0</v>
      </c>
      <c r="L443" s="52">
        <v>0</v>
      </c>
      <c r="M443" s="52">
        <v>0</v>
      </c>
      <c r="N443" s="52">
        <v>0</v>
      </c>
      <c r="O443" s="52">
        <v>0</v>
      </c>
      <c r="P443" s="52">
        <v>0</v>
      </c>
      <c r="Q443" s="53">
        <v>0.25</v>
      </c>
      <c r="R443" s="52">
        <v>2.2999999999999998</v>
      </c>
      <c r="S443" s="53">
        <v>0.38999999000000002</v>
      </c>
      <c r="T443" s="52">
        <v>2.5000002000000001</v>
      </c>
      <c r="U443" s="54">
        <v>1</v>
      </c>
    </row>
    <row r="444" spans="1:21" s="3" customFormat="1" ht="18" customHeight="1">
      <c r="A444" s="8" t="s">
        <v>527</v>
      </c>
      <c r="B444" s="52">
        <v>125</v>
      </c>
      <c r="C444" s="52">
        <v>18.75</v>
      </c>
      <c r="D444" s="52">
        <v>18.75</v>
      </c>
      <c r="E444" s="52">
        <v>87.5</v>
      </c>
      <c r="F444" s="52">
        <v>0</v>
      </c>
      <c r="G444" s="52">
        <v>0</v>
      </c>
      <c r="H444" s="52">
        <v>0</v>
      </c>
      <c r="I444" s="52">
        <v>0</v>
      </c>
      <c r="J444" s="52">
        <v>0</v>
      </c>
      <c r="K444" s="52">
        <v>0</v>
      </c>
      <c r="L444" s="52">
        <v>0</v>
      </c>
      <c r="M444" s="52">
        <v>0</v>
      </c>
      <c r="N444" s="52">
        <v>0</v>
      </c>
      <c r="O444" s="52">
        <v>0</v>
      </c>
      <c r="P444" s="52">
        <v>0</v>
      </c>
      <c r="Q444" s="53">
        <v>0.1</v>
      </c>
      <c r="R444" s="52">
        <v>1.5</v>
      </c>
      <c r="S444" s="53">
        <v>0.14999998</v>
      </c>
      <c r="T444" s="52">
        <v>0.91666669000000001</v>
      </c>
      <c r="U444" s="54">
        <v>0</v>
      </c>
    </row>
    <row r="445" spans="1:21" s="3" customFormat="1" ht="18" customHeight="1">
      <c r="A445" s="8" t="s">
        <v>528</v>
      </c>
      <c r="B445" s="52">
        <v>180</v>
      </c>
      <c r="C445" s="52">
        <v>18</v>
      </c>
      <c r="D445" s="52">
        <v>36</v>
      </c>
      <c r="E445" s="52">
        <v>126</v>
      </c>
      <c r="F445" s="52">
        <v>0</v>
      </c>
      <c r="G445" s="52">
        <v>0</v>
      </c>
      <c r="H445" s="52">
        <v>0</v>
      </c>
      <c r="I445" s="52">
        <v>0</v>
      </c>
      <c r="J445" s="52">
        <v>0</v>
      </c>
      <c r="K445" s="52">
        <v>0</v>
      </c>
      <c r="L445" s="52">
        <v>0</v>
      </c>
      <c r="M445" s="52">
        <v>0</v>
      </c>
      <c r="N445" s="52">
        <v>0</v>
      </c>
      <c r="O445" s="52">
        <v>0</v>
      </c>
      <c r="P445" s="52">
        <v>0</v>
      </c>
      <c r="Q445" s="53">
        <v>0.22</v>
      </c>
      <c r="R445" s="52">
        <v>2</v>
      </c>
      <c r="S445" s="53">
        <v>0.34000003000000001</v>
      </c>
      <c r="T445" s="52">
        <v>1.3333333999999999</v>
      </c>
      <c r="U445" s="54">
        <v>0</v>
      </c>
    </row>
    <row r="446" spans="1:21" s="3" customFormat="1" ht="18" customHeight="1">
      <c r="A446" s="8" t="s">
        <v>529</v>
      </c>
      <c r="B446" s="52">
        <v>172</v>
      </c>
      <c r="C446" s="52">
        <v>25.800001000000002</v>
      </c>
      <c r="D446" s="52">
        <v>25.800001000000002</v>
      </c>
      <c r="E446" s="52">
        <v>120.4</v>
      </c>
      <c r="F446" s="52">
        <v>0</v>
      </c>
      <c r="G446" s="52">
        <v>0</v>
      </c>
      <c r="H446" s="52">
        <v>0</v>
      </c>
      <c r="I446" s="52">
        <v>0</v>
      </c>
      <c r="J446" s="52">
        <v>0</v>
      </c>
      <c r="K446" s="52">
        <v>0</v>
      </c>
      <c r="L446" s="52">
        <v>0</v>
      </c>
      <c r="M446" s="52">
        <v>0</v>
      </c>
      <c r="N446" s="52">
        <v>0</v>
      </c>
      <c r="O446" s="52">
        <v>0</v>
      </c>
      <c r="P446" s="52">
        <v>0</v>
      </c>
      <c r="Q446" s="53">
        <v>0.15000000999999999</v>
      </c>
      <c r="R446" s="52">
        <v>2</v>
      </c>
      <c r="S446" s="53">
        <v>0.25</v>
      </c>
      <c r="T446" s="52">
        <v>1</v>
      </c>
      <c r="U446" s="54">
        <v>0</v>
      </c>
    </row>
    <row r="447" spans="1:21" s="3" customFormat="1" ht="18" customHeight="1">
      <c r="A447" s="8" t="s">
        <v>530</v>
      </c>
      <c r="B447" s="52">
        <v>900</v>
      </c>
      <c r="C447" s="52">
        <v>0</v>
      </c>
      <c r="D447" s="52">
        <v>648</v>
      </c>
      <c r="E447" s="52">
        <v>251.99996999999999</v>
      </c>
      <c r="F447" s="52">
        <v>0</v>
      </c>
      <c r="G447" s="52">
        <v>0</v>
      </c>
      <c r="H447" s="52">
        <v>0</v>
      </c>
      <c r="I447" s="52">
        <v>0</v>
      </c>
      <c r="J447" s="52">
        <v>0</v>
      </c>
      <c r="K447" s="52">
        <v>0</v>
      </c>
      <c r="L447" s="52">
        <v>0</v>
      </c>
      <c r="M447" s="52">
        <v>0</v>
      </c>
      <c r="N447" s="52">
        <v>0</v>
      </c>
      <c r="O447" s="52">
        <v>0</v>
      </c>
      <c r="P447" s="52">
        <v>0</v>
      </c>
      <c r="Q447" s="53">
        <v>0.2</v>
      </c>
      <c r="R447" s="52">
        <v>1.8</v>
      </c>
      <c r="S447" s="53">
        <v>0.5</v>
      </c>
      <c r="T447" s="52">
        <v>0.66666669000000001</v>
      </c>
      <c r="U447" s="54">
        <v>1</v>
      </c>
    </row>
    <row r="448" spans="1:21" s="3" customFormat="1" ht="18" customHeight="1">
      <c r="A448" s="8" t="s">
        <v>531</v>
      </c>
      <c r="B448" s="52">
        <v>0</v>
      </c>
      <c r="C448" s="52">
        <v>0</v>
      </c>
      <c r="D448" s="52">
        <v>0</v>
      </c>
      <c r="E448" s="52">
        <v>0</v>
      </c>
      <c r="F448" s="52">
        <v>0</v>
      </c>
      <c r="G448" s="52">
        <v>0</v>
      </c>
      <c r="H448" s="52">
        <v>0</v>
      </c>
      <c r="I448" s="52">
        <v>0</v>
      </c>
      <c r="J448" s="52">
        <v>0</v>
      </c>
      <c r="K448" s="52">
        <v>0</v>
      </c>
      <c r="L448" s="52">
        <v>0</v>
      </c>
      <c r="M448" s="52">
        <v>0</v>
      </c>
      <c r="N448" s="52">
        <v>0</v>
      </c>
      <c r="O448" s="52">
        <v>0</v>
      </c>
      <c r="P448" s="52">
        <v>0</v>
      </c>
      <c r="Q448" s="53">
        <v>0</v>
      </c>
      <c r="R448" s="52">
        <v>0</v>
      </c>
      <c r="S448" s="53">
        <v>0</v>
      </c>
      <c r="T448" s="52">
        <v>0</v>
      </c>
      <c r="U448" s="54">
        <v>0</v>
      </c>
    </row>
    <row r="449" spans="1:21" s="3" customFormat="1" ht="18" customHeight="1">
      <c r="A449" s="8" t="s">
        <v>532</v>
      </c>
      <c r="B449" s="52">
        <v>261</v>
      </c>
      <c r="C449" s="52">
        <v>21</v>
      </c>
      <c r="D449" s="52">
        <v>63</v>
      </c>
      <c r="E449" s="52">
        <v>85</v>
      </c>
      <c r="F449" s="52">
        <v>92</v>
      </c>
      <c r="G449" s="52">
        <v>0</v>
      </c>
      <c r="H449" s="52">
        <v>0</v>
      </c>
      <c r="I449" s="52">
        <v>0</v>
      </c>
      <c r="J449" s="52">
        <v>0</v>
      </c>
      <c r="K449" s="52">
        <v>0</v>
      </c>
      <c r="L449" s="52">
        <v>0</v>
      </c>
      <c r="M449" s="52">
        <v>0</v>
      </c>
      <c r="N449" s="52">
        <v>0</v>
      </c>
      <c r="O449" s="52">
        <v>0</v>
      </c>
      <c r="P449" s="52">
        <v>0</v>
      </c>
      <c r="Q449" s="53">
        <v>0.20999999</v>
      </c>
      <c r="R449" s="52">
        <v>2.2999999999999998</v>
      </c>
      <c r="S449" s="53">
        <v>0.33000003999999999</v>
      </c>
      <c r="T449" s="52">
        <v>1</v>
      </c>
      <c r="U449" s="54">
        <v>0</v>
      </c>
    </row>
    <row r="450" spans="1:21" s="3" customFormat="1" ht="18" customHeight="1">
      <c r="A450" s="8" t="s">
        <v>533</v>
      </c>
      <c r="B450" s="52">
        <v>142</v>
      </c>
      <c r="C450" s="52">
        <v>7.0999999000000003</v>
      </c>
      <c r="D450" s="52">
        <v>14.2</v>
      </c>
      <c r="E450" s="52">
        <v>120.7</v>
      </c>
      <c r="F450" s="52">
        <v>0</v>
      </c>
      <c r="G450" s="52">
        <v>0</v>
      </c>
      <c r="H450" s="52">
        <v>0</v>
      </c>
      <c r="I450" s="52">
        <v>0</v>
      </c>
      <c r="J450" s="52">
        <v>0</v>
      </c>
      <c r="K450" s="52">
        <v>0</v>
      </c>
      <c r="L450" s="52">
        <v>0</v>
      </c>
      <c r="M450" s="52">
        <v>0</v>
      </c>
      <c r="N450" s="52">
        <v>0</v>
      </c>
      <c r="O450" s="52">
        <v>0</v>
      </c>
      <c r="P450" s="52">
        <v>0</v>
      </c>
      <c r="Q450" s="53">
        <v>0.16</v>
      </c>
      <c r="R450" s="52">
        <v>2</v>
      </c>
      <c r="S450" s="53">
        <v>0.15999996999999999</v>
      </c>
      <c r="T450" s="52">
        <v>0.91666669000000001</v>
      </c>
      <c r="U450" s="54">
        <v>0</v>
      </c>
    </row>
    <row r="451" spans="1:21" s="3" customFormat="1" ht="18" customHeight="1">
      <c r="A451" s="8" t="s">
        <v>534</v>
      </c>
      <c r="B451" s="52">
        <v>198</v>
      </c>
      <c r="C451" s="52">
        <v>9.9000006000000003</v>
      </c>
      <c r="D451" s="52">
        <v>9.9000006000000003</v>
      </c>
      <c r="E451" s="52">
        <v>178.2</v>
      </c>
      <c r="F451" s="52">
        <v>0</v>
      </c>
      <c r="G451" s="52">
        <v>0</v>
      </c>
      <c r="H451" s="52">
        <v>0</v>
      </c>
      <c r="I451" s="52">
        <v>0</v>
      </c>
      <c r="J451" s="52">
        <v>0</v>
      </c>
      <c r="K451" s="52">
        <v>0</v>
      </c>
      <c r="L451" s="52">
        <v>0</v>
      </c>
      <c r="M451" s="52">
        <v>0</v>
      </c>
      <c r="N451" s="52">
        <v>0</v>
      </c>
      <c r="O451" s="52">
        <v>0</v>
      </c>
      <c r="P451" s="52">
        <v>0</v>
      </c>
      <c r="Q451" s="53">
        <v>0.28000000000000003</v>
      </c>
      <c r="R451" s="52">
        <v>2.4000001000000002</v>
      </c>
      <c r="S451" s="53">
        <v>0.27999996999999999</v>
      </c>
      <c r="T451" s="52">
        <v>1.0833333999999999</v>
      </c>
      <c r="U451" s="54">
        <v>0</v>
      </c>
    </row>
    <row r="452" spans="1:21" s="3" customFormat="1" ht="18" customHeight="1">
      <c r="A452" s="8" t="s">
        <v>535</v>
      </c>
      <c r="B452" s="52">
        <v>190</v>
      </c>
      <c r="C452" s="52">
        <v>90</v>
      </c>
      <c r="D452" s="52">
        <v>0</v>
      </c>
      <c r="E452" s="52">
        <v>0</v>
      </c>
      <c r="F452" s="52">
        <v>0</v>
      </c>
      <c r="G452" s="52">
        <v>0</v>
      </c>
      <c r="H452" s="52">
        <v>100</v>
      </c>
      <c r="I452" s="52">
        <v>0</v>
      </c>
      <c r="J452" s="52">
        <v>0</v>
      </c>
      <c r="K452" s="52">
        <v>0</v>
      </c>
      <c r="L452" s="52">
        <v>0</v>
      </c>
      <c r="M452" s="52">
        <v>0</v>
      </c>
      <c r="N452" s="52">
        <v>0</v>
      </c>
      <c r="O452" s="52">
        <v>0</v>
      </c>
      <c r="P452" s="52">
        <v>0</v>
      </c>
      <c r="Q452" s="53">
        <v>0.1</v>
      </c>
      <c r="R452" s="52">
        <v>2</v>
      </c>
      <c r="S452" s="53">
        <v>0.35000002000000002</v>
      </c>
      <c r="T452" s="52">
        <v>1</v>
      </c>
      <c r="U452" s="54">
        <v>0</v>
      </c>
    </row>
    <row r="453" spans="1:21" s="3" customFormat="1" ht="18" customHeight="1">
      <c r="A453" s="8" t="s">
        <v>536</v>
      </c>
      <c r="B453" s="52">
        <v>234</v>
      </c>
      <c r="C453" s="52">
        <v>66</v>
      </c>
      <c r="D453" s="52">
        <v>28</v>
      </c>
      <c r="E453" s="52">
        <v>50</v>
      </c>
      <c r="F453" s="52">
        <v>0</v>
      </c>
      <c r="G453" s="52">
        <v>0</v>
      </c>
      <c r="H453" s="52">
        <v>90</v>
      </c>
      <c r="I453" s="52">
        <v>0</v>
      </c>
      <c r="J453" s="52">
        <v>0</v>
      </c>
      <c r="K453" s="52">
        <v>0</v>
      </c>
      <c r="L453" s="52">
        <v>0</v>
      </c>
      <c r="M453" s="52">
        <v>0</v>
      </c>
      <c r="N453" s="52">
        <v>0</v>
      </c>
      <c r="O453" s="52">
        <v>0</v>
      </c>
      <c r="P453" s="52">
        <v>0</v>
      </c>
      <c r="Q453" s="53">
        <v>0.22</v>
      </c>
      <c r="R453" s="52">
        <v>2.4000001000000002</v>
      </c>
      <c r="S453" s="53">
        <v>0.36000000999999998</v>
      </c>
      <c r="T453" s="52">
        <v>1</v>
      </c>
      <c r="U453" s="54">
        <v>0</v>
      </c>
    </row>
    <row r="454" spans="1:21" s="3" customFormat="1" ht="18" customHeight="1">
      <c r="A454" s="8" t="s">
        <v>537</v>
      </c>
      <c r="B454" s="52">
        <v>200</v>
      </c>
      <c r="C454" s="52">
        <v>0</v>
      </c>
      <c r="D454" s="52">
        <v>0</v>
      </c>
      <c r="E454" s="52">
        <v>200</v>
      </c>
      <c r="F454" s="52">
        <v>0</v>
      </c>
      <c r="G454" s="52">
        <v>0</v>
      </c>
      <c r="H454" s="52">
        <v>0</v>
      </c>
      <c r="I454" s="52">
        <v>0</v>
      </c>
      <c r="J454" s="52">
        <v>0</v>
      </c>
      <c r="K454" s="52">
        <v>0</v>
      </c>
      <c r="L454" s="52">
        <v>0</v>
      </c>
      <c r="M454" s="52">
        <v>0</v>
      </c>
      <c r="N454" s="52">
        <v>0</v>
      </c>
      <c r="O454" s="52">
        <v>0</v>
      </c>
      <c r="P454" s="52">
        <v>0</v>
      </c>
      <c r="Q454" s="53">
        <v>0.30000000999999998</v>
      </c>
      <c r="R454" s="52">
        <v>2</v>
      </c>
      <c r="S454" s="53">
        <v>0.25</v>
      </c>
      <c r="T454" s="52">
        <v>1.5000001000000001</v>
      </c>
      <c r="U454" s="54">
        <v>1</v>
      </c>
    </row>
    <row r="455" spans="1:21" s="3" customFormat="1" ht="18" customHeight="1">
      <c r="A455" s="8" t="s">
        <v>538</v>
      </c>
      <c r="B455" s="52">
        <v>0</v>
      </c>
      <c r="C455" s="52">
        <v>0</v>
      </c>
      <c r="D455" s="52">
        <v>0</v>
      </c>
      <c r="E455" s="52">
        <v>0</v>
      </c>
      <c r="F455" s="52">
        <v>0</v>
      </c>
      <c r="G455" s="52">
        <v>0</v>
      </c>
      <c r="H455" s="52">
        <v>0</v>
      </c>
      <c r="I455" s="52">
        <v>0</v>
      </c>
      <c r="J455" s="52">
        <v>0</v>
      </c>
      <c r="K455" s="52">
        <v>0</v>
      </c>
      <c r="L455" s="52">
        <v>0</v>
      </c>
      <c r="M455" s="52">
        <v>0</v>
      </c>
      <c r="N455" s="52">
        <v>0</v>
      </c>
      <c r="O455" s="52">
        <v>0</v>
      </c>
      <c r="P455" s="52">
        <v>0</v>
      </c>
      <c r="Q455" s="53">
        <v>0</v>
      </c>
      <c r="R455" s="52">
        <v>0</v>
      </c>
      <c r="S455" s="53">
        <v>0</v>
      </c>
      <c r="T455" s="52">
        <v>0</v>
      </c>
      <c r="U455" s="54">
        <v>0</v>
      </c>
    </row>
    <row r="456" spans="1:21" s="3" customFormat="1" ht="18" customHeight="1">
      <c r="A456" s="8" t="s">
        <v>539</v>
      </c>
      <c r="B456" s="52">
        <v>22</v>
      </c>
      <c r="C456" s="52">
        <v>0</v>
      </c>
      <c r="D456" s="52">
        <v>0</v>
      </c>
      <c r="E456" s="52">
        <v>0</v>
      </c>
      <c r="F456" s="52">
        <v>0</v>
      </c>
      <c r="G456" s="52">
        <v>0</v>
      </c>
      <c r="H456" s="52">
        <v>0</v>
      </c>
      <c r="I456" s="52">
        <v>0</v>
      </c>
      <c r="J456" s="52">
        <v>0</v>
      </c>
      <c r="K456" s="52">
        <v>22</v>
      </c>
      <c r="L456" s="52">
        <v>0</v>
      </c>
      <c r="M456" s="52">
        <v>0</v>
      </c>
      <c r="N456" s="52">
        <v>0</v>
      </c>
      <c r="O456" s="52">
        <v>0</v>
      </c>
      <c r="P456" s="52">
        <v>0</v>
      </c>
      <c r="Q456" s="53">
        <v>2.9999998999999999E-2</v>
      </c>
      <c r="R456" s="52">
        <v>4</v>
      </c>
      <c r="S456" s="53">
        <v>0.28999996</v>
      </c>
      <c r="T456" s="52">
        <v>10.000000999999999</v>
      </c>
      <c r="U456" s="54">
        <v>1</v>
      </c>
    </row>
    <row r="457" spans="1:21" s="3" customFormat="1" ht="18" customHeight="1">
      <c r="A457" s="8" t="s">
        <v>540</v>
      </c>
      <c r="B457" s="52">
        <v>0</v>
      </c>
      <c r="C457" s="52">
        <v>0</v>
      </c>
      <c r="D457" s="52">
        <v>0</v>
      </c>
      <c r="E457" s="52">
        <v>0</v>
      </c>
      <c r="F457" s="52">
        <v>0</v>
      </c>
      <c r="G457" s="52">
        <v>0</v>
      </c>
      <c r="H457" s="52">
        <v>0</v>
      </c>
      <c r="I457" s="52">
        <v>0</v>
      </c>
      <c r="J457" s="52">
        <v>0</v>
      </c>
      <c r="K457" s="52">
        <v>0</v>
      </c>
      <c r="L457" s="52">
        <v>0</v>
      </c>
      <c r="M457" s="52">
        <v>0</v>
      </c>
      <c r="N457" s="52">
        <v>0</v>
      </c>
      <c r="O457" s="52">
        <v>0</v>
      </c>
      <c r="P457" s="52">
        <v>0</v>
      </c>
      <c r="Q457" s="53">
        <v>0</v>
      </c>
      <c r="R457" s="52">
        <v>0</v>
      </c>
      <c r="S457" s="53">
        <v>0</v>
      </c>
      <c r="T457" s="52">
        <v>0</v>
      </c>
      <c r="U457" s="54">
        <v>0</v>
      </c>
    </row>
    <row r="458" spans="1:21" s="3" customFormat="1" ht="18" customHeight="1">
      <c r="A458" s="8" t="s">
        <v>541</v>
      </c>
      <c r="B458" s="52">
        <v>120</v>
      </c>
      <c r="C458" s="52">
        <v>84</v>
      </c>
      <c r="D458" s="52">
        <v>18</v>
      </c>
      <c r="E458" s="52">
        <v>17.999995999999999</v>
      </c>
      <c r="F458" s="52">
        <v>0</v>
      </c>
      <c r="G458" s="52">
        <v>0</v>
      </c>
      <c r="H458" s="52">
        <v>0</v>
      </c>
      <c r="I458" s="52">
        <v>0</v>
      </c>
      <c r="J458" s="52">
        <v>0</v>
      </c>
      <c r="K458" s="52">
        <v>0</v>
      </c>
      <c r="L458" s="52">
        <v>0</v>
      </c>
      <c r="M458" s="52">
        <v>0</v>
      </c>
      <c r="N458" s="52">
        <v>0</v>
      </c>
      <c r="O458" s="52">
        <v>0</v>
      </c>
      <c r="P458" s="52">
        <v>0</v>
      </c>
      <c r="Q458" s="53">
        <v>0.25</v>
      </c>
      <c r="R458" s="52">
        <v>2</v>
      </c>
      <c r="S458" s="53">
        <v>0.10000002</v>
      </c>
      <c r="T458" s="52">
        <v>1</v>
      </c>
      <c r="U458" s="54">
        <v>0</v>
      </c>
    </row>
    <row r="459" spans="1:21" s="3" customFormat="1" ht="18" customHeight="1">
      <c r="A459" s="8" t="s">
        <v>542</v>
      </c>
      <c r="B459" s="52">
        <v>11</v>
      </c>
      <c r="C459" s="52">
        <v>0</v>
      </c>
      <c r="D459" s="52">
        <v>1</v>
      </c>
      <c r="E459" s="52">
        <v>0</v>
      </c>
      <c r="F459" s="52">
        <v>0</v>
      </c>
      <c r="G459" s="52">
        <v>0</v>
      </c>
      <c r="H459" s="52">
        <v>0</v>
      </c>
      <c r="I459" s="52">
        <v>0</v>
      </c>
      <c r="J459" s="52">
        <v>0</v>
      </c>
      <c r="K459" s="52">
        <v>10</v>
      </c>
      <c r="L459" s="52">
        <v>0</v>
      </c>
      <c r="M459" s="52">
        <v>0</v>
      </c>
      <c r="N459" s="52">
        <v>0</v>
      </c>
      <c r="O459" s="52">
        <v>0</v>
      </c>
      <c r="P459" s="52">
        <v>0</v>
      </c>
      <c r="Q459" s="53">
        <v>0.16</v>
      </c>
      <c r="R459" s="52">
        <v>1.8</v>
      </c>
      <c r="S459" s="53">
        <v>0.24000001000000001</v>
      </c>
      <c r="T459" s="52">
        <v>12.000000999999999</v>
      </c>
      <c r="U459" s="54">
        <v>1</v>
      </c>
    </row>
    <row r="460" spans="1:21" s="3" customFormat="1" ht="18" customHeight="1">
      <c r="A460" s="8" t="s">
        <v>543</v>
      </c>
      <c r="B460" s="52">
        <v>700</v>
      </c>
      <c r="C460" s="52">
        <v>0</v>
      </c>
      <c r="D460" s="52">
        <v>0</v>
      </c>
      <c r="E460" s="52">
        <v>0</v>
      </c>
      <c r="F460" s="52">
        <v>0</v>
      </c>
      <c r="G460" s="52">
        <v>0</v>
      </c>
      <c r="H460" s="52">
        <v>0</v>
      </c>
      <c r="I460" s="52">
        <v>0</v>
      </c>
      <c r="J460" s="52">
        <v>700</v>
      </c>
      <c r="K460" s="52">
        <v>0</v>
      </c>
      <c r="L460" s="52">
        <v>0</v>
      </c>
      <c r="M460" s="52">
        <v>0</v>
      </c>
      <c r="N460" s="52">
        <v>0</v>
      </c>
      <c r="O460" s="52">
        <v>0</v>
      </c>
      <c r="P460" s="52">
        <v>0</v>
      </c>
      <c r="Q460" s="53">
        <v>5.0000001000000002E-2</v>
      </c>
      <c r="R460" s="52">
        <v>2</v>
      </c>
      <c r="S460" s="53">
        <v>0.35000002000000002</v>
      </c>
      <c r="T460" s="52">
        <v>1.5000001000000001</v>
      </c>
      <c r="U460" s="54">
        <v>1</v>
      </c>
    </row>
    <row r="461" spans="1:21" s="3" customFormat="1" ht="18" customHeight="1">
      <c r="A461" s="8" t="s">
        <v>544</v>
      </c>
      <c r="B461" s="52">
        <v>224</v>
      </c>
      <c r="C461" s="52">
        <v>76</v>
      </c>
      <c r="D461" s="52">
        <v>0</v>
      </c>
      <c r="E461" s="52">
        <v>38</v>
      </c>
      <c r="F461" s="52">
        <v>0</v>
      </c>
      <c r="G461" s="52">
        <v>0</v>
      </c>
      <c r="H461" s="52">
        <v>110</v>
      </c>
      <c r="I461" s="52">
        <v>0</v>
      </c>
      <c r="J461" s="52">
        <v>0</v>
      </c>
      <c r="K461" s="52">
        <v>0</v>
      </c>
      <c r="L461" s="52">
        <v>0</v>
      </c>
      <c r="M461" s="52">
        <v>0</v>
      </c>
      <c r="N461" s="52">
        <v>0</v>
      </c>
      <c r="O461" s="52">
        <v>0</v>
      </c>
      <c r="P461" s="52">
        <v>0</v>
      </c>
      <c r="Q461" s="53">
        <v>0.15000000999999999</v>
      </c>
      <c r="R461" s="52">
        <v>2</v>
      </c>
      <c r="S461" s="53">
        <v>0.30000000999999998</v>
      </c>
      <c r="T461" s="52">
        <v>0.91666669000000001</v>
      </c>
      <c r="U461" s="54">
        <v>0</v>
      </c>
    </row>
    <row r="462" spans="1:21" s="3" customFormat="1" ht="18" customHeight="1">
      <c r="A462" s="8" t="s">
        <v>545</v>
      </c>
      <c r="B462" s="52">
        <v>140</v>
      </c>
      <c r="C462" s="52">
        <v>7</v>
      </c>
      <c r="D462" s="52">
        <v>63</v>
      </c>
      <c r="E462" s="52">
        <v>70</v>
      </c>
      <c r="F462" s="52">
        <v>0</v>
      </c>
      <c r="G462" s="52">
        <v>0</v>
      </c>
      <c r="H462" s="52">
        <v>0</v>
      </c>
      <c r="I462" s="52">
        <v>0</v>
      </c>
      <c r="J462" s="52">
        <v>0</v>
      </c>
      <c r="K462" s="52">
        <v>0</v>
      </c>
      <c r="L462" s="52">
        <v>0</v>
      </c>
      <c r="M462" s="52">
        <v>0</v>
      </c>
      <c r="N462" s="52">
        <v>0</v>
      </c>
      <c r="O462" s="52">
        <v>0</v>
      </c>
      <c r="P462" s="52">
        <v>0</v>
      </c>
      <c r="Q462" s="53">
        <v>0.16</v>
      </c>
      <c r="R462" s="52">
        <v>2</v>
      </c>
      <c r="S462" s="53">
        <v>0.19999998999999999</v>
      </c>
      <c r="T462" s="52">
        <v>1.0833333999999999</v>
      </c>
      <c r="U462" s="54">
        <v>0</v>
      </c>
    </row>
    <row r="463" spans="1:21" s="3" customFormat="1" ht="18" customHeight="1">
      <c r="A463" s="8" t="s">
        <v>546</v>
      </c>
      <c r="B463" s="52">
        <v>184</v>
      </c>
      <c r="C463" s="52">
        <v>9.1999998000000005</v>
      </c>
      <c r="D463" s="52">
        <v>64.400002000000001</v>
      </c>
      <c r="E463" s="52">
        <v>110.4</v>
      </c>
      <c r="F463" s="52">
        <v>0</v>
      </c>
      <c r="G463" s="52">
        <v>0</v>
      </c>
      <c r="H463" s="52">
        <v>0</v>
      </c>
      <c r="I463" s="52">
        <v>0</v>
      </c>
      <c r="J463" s="52">
        <v>0</v>
      </c>
      <c r="K463" s="52">
        <v>0</v>
      </c>
      <c r="L463" s="52">
        <v>0</v>
      </c>
      <c r="M463" s="52">
        <v>0</v>
      </c>
      <c r="N463" s="52">
        <v>0</v>
      </c>
      <c r="O463" s="52">
        <v>0</v>
      </c>
      <c r="P463" s="52">
        <v>0</v>
      </c>
      <c r="Q463" s="53">
        <v>0.30000000999999998</v>
      </c>
      <c r="R463" s="52">
        <v>2.5999998999999998</v>
      </c>
      <c r="S463" s="53">
        <v>0.24000001000000001</v>
      </c>
      <c r="T463" s="52">
        <v>1.1666666999999999</v>
      </c>
      <c r="U463" s="54">
        <v>0</v>
      </c>
    </row>
    <row r="464" spans="1:21" s="3" customFormat="1" ht="18" customHeight="1">
      <c r="A464" s="8" t="s">
        <v>547</v>
      </c>
      <c r="B464" s="52">
        <v>0</v>
      </c>
      <c r="C464" s="52">
        <v>0</v>
      </c>
      <c r="D464" s="52">
        <v>0</v>
      </c>
      <c r="E464" s="52">
        <v>0</v>
      </c>
      <c r="F464" s="52">
        <v>0</v>
      </c>
      <c r="G464" s="52">
        <v>0</v>
      </c>
      <c r="H464" s="52">
        <v>0</v>
      </c>
      <c r="I464" s="52">
        <v>0</v>
      </c>
      <c r="J464" s="52">
        <v>0</v>
      </c>
      <c r="K464" s="52">
        <v>0</v>
      </c>
      <c r="L464" s="52">
        <v>0</v>
      </c>
      <c r="M464" s="52">
        <v>0</v>
      </c>
      <c r="N464" s="52">
        <v>0</v>
      </c>
      <c r="O464" s="52">
        <v>0</v>
      </c>
      <c r="P464" s="52">
        <v>0</v>
      </c>
      <c r="Q464" s="53">
        <v>0</v>
      </c>
      <c r="R464" s="52">
        <v>0</v>
      </c>
      <c r="S464" s="53">
        <v>0</v>
      </c>
      <c r="T464" s="52">
        <v>0</v>
      </c>
      <c r="U464" s="54">
        <v>0</v>
      </c>
    </row>
    <row r="465" spans="1:21" s="3" customFormat="1" ht="18" customHeight="1">
      <c r="A465" s="8" t="s">
        <v>548</v>
      </c>
      <c r="B465" s="52">
        <v>412</v>
      </c>
      <c r="C465" s="52">
        <v>123.60001</v>
      </c>
      <c r="D465" s="52">
        <v>82.400002000000001</v>
      </c>
      <c r="E465" s="52">
        <v>206</v>
      </c>
      <c r="F465" s="52">
        <v>0</v>
      </c>
      <c r="G465" s="52">
        <v>0</v>
      </c>
      <c r="H465" s="52">
        <v>0</v>
      </c>
      <c r="I465" s="52">
        <v>0</v>
      </c>
      <c r="J465" s="52">
        <v>0</v>
      </c>
      <c r="K465" s="52">
        <v>0</v>
      </c>
      <c r="L465" s="52">
        <v>0</v>
      </c>
      <c r="M465" s="52">
        <v>0</v>
      </c>
      <c r="N465" s="52">
        <v>0</v>
      </c>
      <c r="O465" s="52">
        <v>0</v>
      </c>
      <c r="P465" s="52">
        <v>0</v>
      </c>
      <c r="Q465" s="53">
        <v>0.15000000999999999</v>
      </c>
      <c r="R465" s="52">
        <v>1.25</v>
      </c>
      <c r="S465" s="53">
        <v>5.0000012000000003E-2</v>
      </c>
      <c r="T465" s="52">
        <v>1</v>
      </c>
      <c r="U465" s="54">
        <v>0</v>
      </c>
    </row>
    <row r="466" spans="1:21" s="3" customFormat="1" ht="18" customHeight="1">
      <c r="A466" s="8" t="s">
        <v>549</v>
      </c>
      <c r="B466" s="52">
        <v>220</v>
      </c>
      <c r="C466" s="52">
        <v>0</v>
      </c>
      <c r="D466" s="52">
        <v>220</v>
      </c>
      <c r="E466" s="52">
        <v>0</v>
      </c>
      <c r="F466" s="52">
        <v>0</v>
      </c>
      <c r="G466" s="52">
        <v>0</v>
      </c>
      <c r="H466" s="52">
        <v>0</v>
      </c>
      <c r="I466" s="52">
        <v>0</v>
      </c>
      <c r="J466" s="52">
        <v>0</v>
      </c>
      <c r="K466" s="52">
        <v>0</v>
      </c>
      <c r="L466" s="52">
        <v>0</v>
      </c>
      <c r="M466" s="52">
        <v>0</v>
      </c>
      <c r="N466" s="52">
        <v>0</v>
      </c>
      <c r="O466" s="52">
        <v>0</v>
      </c>
      <c r="P466" s="52">
        <v>0</v>
      </c>
      <c r="Q466" s="53">
        <v>0.25999999000000001</v>
      </c>
      <c r="R466" s="52">
        <v>2.4000001000000002</v>
      </c>
      <c r="S466" s="53">
        <v>0.22000003000000001</v>
      </c>
      <c r="T466" s="52">
        <v>1.4000001</v>
      </c>
      <c r="U466" s="54">
        <v>1</v>
      </c>
    </row>
    <row r="467" spans="1:21" s="3" customFormat="1" ht="18" customHeight="1">
      <c r="A467" s="8" t="s">
        <v>550</v>
      </c>
      <c r="B467" s="52">
        <v>0</v>
      </c>
      <c r="C467" s="52">
        <v>0</v>
      </c>
      <c r="D467" s="52">
        <v>0</v>
      </c>
      <c r="E467" s="52">
        <v>0</v>
      </c>
      <c r="F467" s="52">
        <v>0</v>
      </c>
      <c r="G467" s="52">
        <v>0</v>
      </c>
      <c r="H467" s="52">
        <v>0</v>
      </c>
      <c r="I467" s="52">
        <v>0</v>
      </c>
      <c r="J467" s="52">
        <v>0</v>
      </c>
      <c r="K467" s="52">
        <v>0</v>
      </c>
      <c r="L467" s="52">
        <v>0</v>
      </c>
      <c r="M467" s="52">
        <v>0</v>
      </c>
      <c r="N467" s="52">
        <v>0</v>
      </c>
      <c r="O467" s="52">
        <v>0</v>
      </c>
      <c r="P467" s="52">
        <v>0</v>
      </c>
      <c r="Q467" s="53">
        <v>0</v>
      </c>
      <c r="R467" s="52">
        <v>0</v>
      </c>
      <c r="S467" s="53">
        <v>0</v>
      </c>
      <c r="T467" s="52">
        <v>0</v>
      </c>
      <c r="U467" s="54">
        <v>0</v>
      </c>
    </row>
    <row r="468" spans="1:21" s="3" customFormat="1" ht="18" customHeight="1">
      <c r="A468" s="8" t="s">
        <v>550</v>
      </c>
      <c r="B468" s="52">
        <v>0</v>
      </c>
      <c r="C468" s="52">
        <v>0</v>
      </c>
      <c r="D468" s="52">
        <v>0</v>
      </c>
      <c r="E468" s="52">
        <v>0</v>
      </c>
      <c r="F468" s="52">
        <v>0</v>
      </c>
      <c r="G468" s="52">
        <v>0</v>
      </c>
      <c r="H468" s="52">
        <v>0</v>
      </c>
      <c r="I468" s="52">
        <v>0</v>
      </c>
      <c r="J468" s="52">
        <v>0</v>
      </c>
      <c r="K468" s="52">
        <v>0</v>
      </c>
      <c r="L468" s="52">
        <v>0</v>
      </c>
      <c r="M468" s="52">
        <v>0</v>
      </c>
      <c r="N468" s="52">
        <v>0</v>
      </c>
      <c r="O468" s="52">
        <v>0</v>
      </c>
      <c r="P468" s="52">
        <v>0</v>
      </c>
      <c r="Q468" s="53">
        <v>0</v>
      </c>
      <c r="R468" s="52">
        <v>0</v>
      </c>
      <c r="S468" s="53">
        <v>0</v>
      </c>
      <c r="T468" s="52">
        <v>0</v>
      </c>
      <c r="U468" s="54">
        <v>0</v>
      </c>
    </row>
    <row r="469" spans="1:21" s="3" customFormat="1" ht="18" customHeight="1">
      <c r="A469" s="8" t="s">
        <v>551</v>
      </c>
      <c r="B469" s="52">
        <v>999.99994000000004</v>
      </c>
      <c r="C469" s="52">
        <v>100</v>
      </c>
      <c r="D469" s="52">
        <v>850</v>
      </c>
      <c r="E469" s="52">
        <v>49.999954000000002</v>
      </c>
      <c r="F469" s="52">
        <v>0</v>
      </c>
      <c r="G469" s="52">
        <v>0</v>
      </c>
      <c r="H469" s="52">
        <v>0</v>
      </c>
      <c r="I469" s="52">
        <v>0</v>
      </c>
      <c r="J469" s="52">
        <v>0</v>
      </c>
      <c r="K469" s="52">
        <v>0</v>
      </c>
      <c r="L469" s="52">
        <v>0</v>
      </c>
      <c r="M469" s="52">
        <v>0</v>
      </c>
      <c r="N469" s="52">
        <v>0</v>
      </c>
      <c r="O469" s="52">
        <v>0</v>
      </c>
      <c r="P469" s="52">
        <v>0</v>
      </c>
      <c r="Q469" s="53">
        <v>0.2</v>
      </c>
      <c r="R469" s="52">
        <v>2.5</v>
      </c>
      <c r="S469" s="53">
        <v>0.19999998999999999</v>
      </c>
      <c r="T469" s="52">
        <v>1</v>
      </c>
      <c r="U469" s="54">
        <v>1</v>
      </c>
    </row>
    <row r="470" spans="1:21" s="3" customFormat="1" ht="18" customHeight="1">
      <c r="A470" s="8" t="s">
        <v>552</v>
      </c>
      <c r="B470" s="52">
        <v>400</v>
      </c>
      <c r="C470" s="52">
        <v>40</v>
      </c>
      <c r="D470" s="52">
        <v>280</v>
      </c>
      <c r="E470" s="52">
        <v>79.999992000000006</v>
      </c>
      <c r="F470" s="52">
        <v>0</v>
      </c>
      <c r="G470" s="52">
        <v>0</v>
      </c>
      <c r="H470" s="52">
        <v>0</v>
      </c>
      <c r="I470" s="52">
        <v>0</v>
      </c>
      <c r="J470" s="52">
        <v>0</v>
      </c>
      <c r="K470" s="52">
        <v>0</v>
      </c>
      <c r="L470" s="52">
        <v>0</v>
      </c>
      <c r="M470" s="52">
        <v>0</v>
      </c>
      <c r="N470" s="52">
        <v>0</v>
      </c>
      <c r="O470" s="52">
        <v>0</v>
      </c>
      <c r="P470" s="52">
        <v>0</v>
      </c>
      <c r="Q470" s="53">
        <v>0.23999999</v>
      </c>
      <c r="R470" s="52">
        <v>2.5999998999999998</v>
      </c>
      <c r="S470" s="53">
        <v>0.30000000999999998</v>
      </c>
      <c r="T470" s="52">
        <v>2</v>
      </c>
      <c r="U470" s="54">
        <v>1</v>
      </c>
    </row>
    <row r="471" spans="1:21" s="3" customFormat="1" ht="18" customHeight="1">
      <c r="A471" s="8" t="s">
        <v>553</v>
      </c>
      <c r="B471" s="52">
        <v>185</v>
      </c>
      <c r="C471" s="52">
        <v>27.750001999999999</v>
      </c>
      <c r="D471" s="52">
        <v>27.750001999999999</v>
      </c>
      <c r="E471" s="52">
        <v>129.5</v>
      </c>
      <c r="F471" s="52">
        <v>0</v>
      </c>
      <c r="G471" s="52">
        <v>0</v>
      </c>
      <c r="H471" s="52">
        <v>0</v>
      </c>
      <c r="I471" s="52">
        <v>0</v>
      </c>
      <c r="J471" s="52">
        <v>0</v>
      </c>
      <c r="K471" s="52">
        <v>0</v>
      </c>
      <c r="L471" s="52">
        <v>0</v>
      </c>
      <c r="M471" s="52">
        <v>0</v>
      </c>
      <c r="N471" s="52">
        <v>0</v>
      </c>
      <c r="O471" s="52">
        <v>0</v>
      </c>
      <c r="P471" s="52">
        <v>0</v>
      </c>
      <c r="Q471" s="53">
        <v>5.9999998999999998E-2</v>
      </c>
      <c r="R471" s="52">
        <v>1.5</v>
      </c>
      <c r="S471" s="53">
        <v>0.18000000999999999</v>
      </c>
      <c r="T471" s="52">
        <v>0.91666669000000001</v>
      </c>
      <c r="U471" s="54">
        <v>0</v>
      </c>
    </row>
    <row r="472" spans="1:21" s="3" customFormat="1" ht="18" customHeight="1">
      <c r="A472" s="8" t="s">
        <v>554</v>
      </c>
      <c r="B472" s="52">
        <v>234</v>
      </c>
      <c r="C472" s="52">
        <v>35.100002000000003</v>
      </c>
      <c r="D472" s="52">
        <v>35.100002000000003</v>
      </c>
      <c r="E472" s="52">
        <v>163.80000000000001</v>
      </c>
      <c r="F472" s="52">
        <v>0</v>
      </c>
      <c r="G472" s="52">
        <v>0</v>
      </c>
      <c r="H472" s="52">
        <v>0</v>
      </c>
      <c r="I472" s="52">
        <v>0</v>
      </c>
      <c r="J472" s="52">
        <v>0</v>
      </c>
      <c r="K472" s="52">
        <v>0</v>
      </c>
      <c r="L472" s="52">
        <v>0</v>
      </c>
      <c r="M472" s="52">
        <v>0</v>
      </c>
      <c r="N472" s="52">
        <v>0</v>
      </c>
      <c r="O472" s="52">
        <v>0</v>
      </c>
      <c r="P472" s="52">
        <v>0</v>
      </c>
      <c r="Q472" s="53">
        <v>0.23999999</v>
      </c>
      <c r="R472" s="52">
        <v>2.2000000000000002</v>
      </c>
      <c r="S472" s="53">
        <v>0.36000000999999998</v>
      </c>
      <c r="T472" s="52">
        <v>1.1666666999999999</v>
      </c>
      <c r="U472" s="54">
        <v>0</v>
      </c>
    </row>
    <row r="473" spans="1:21" s="3" customFormat="1" ht="18" customHeight="1">
      <c r="A473" s="8" t="s">
        <v>555</v>
      </c>
      <c r="B473" s="52">
        <v>195</v>
      </c>
      <c r="C473" s="52">
        <v>39</v>
      </c>
      <c r="D473" s="52">
        <v>9.75</v>
      </c>
      <c r="E473" s="52">
        <v>146.25</v>
      </c>
      <c r="F473" s="52">
        <v>0</v>
      </c>
      <c r="G473" s="52">
        <v>0</v>
      </c>
      <c r="H473" s="52">
        <v>0</v>
      </c>
      <c r="I473" s="52">
        <v>0</v>
      </c>
      <c r="J473" s="52">
        <v>0</v>
      </c>
      <c r="K473" s="52">
        <v>0</v>
      </c>
      <c r="L473" s="52">
        <v>0</v>
      </c>
      <c r="M473" s="52">
        <v>0</v>
      </c>
      <c r="N473" s="52">
        <v>0</v>
      </c>
      <c r="O473" s="52">
        <v>0</v>
      </c>
      <c r="P473" s="52">
        <v>0</v>
      </c>
      <c r="Q473" s="53">
        <v>0.18000000999999999</v>
      </c>
      <c r="R473" s="52">
        <v>2</v>
      </c>
      <c r="S473" s="53">
        <v>0.18000000999999999</v>
      </c>
      <c r="T473" s="52">
        <v>0.75000005999999997</v>
      </c>
      <c r="U473" s="54">
        <v>0</v>
      </c>
    </row>
    <row r="474" spans="1:21" s="3" customFormat="1" ht="18" customHeight="1">
      <c r="A474" s="8" t="s">
        <v>556</v>
      </c>
      <c r="B474" s="52">
        <v>0</v>
      </c>
      <c r="C474" s="52">
        <v>0</v>
      </c>
      <c r="D474" s="52">
        <v>0</v>
      </c>
      <c r="E474" s="52">
        <v>0</v>
      </c>
      <c r="F474" s="52">
        <v>0</v>
      </c>
      <c r="G474" s="52">
        <v>0</v>
      </c>
      <c r="H474" s="52">
        <v>0</v>
      </c>
      <c r="I474" s="52">
        <v>0</v>
      </c>
      <c r="J474" s="52">
        <v>0</v>
      </c>
      <c r="K474" s="52">
        <v>0</v>
      </c>
      <c r="L474" s="52">
        <v>0</v>
      </c>
      <c r="M474" s="52">
        <v>0</v>
      </c>
      <c r="N474" s="52">
        <v>0</v>
      </c>
      <c r="O474" s="52">
        <v>0</v>
      </c>
      <c r="P474" s="52">
        <v>0</v>
      </c>
      <c r="Q474" s="53">
        <v>0</v>
      </c>
      <c r="R474" s="52">
        <v>0</v>
      </c>
      <c r="S474" s="53">
        <v>0</v>
      </c>
      <c r="T474" s="52">
        <v>0</v>
      </c>
      <c r="U474" s="54">
        <v>0</v>
      </c>
    </row>
    <row r="475" spans="1:21" s="3" customFormat="1" ht="18" customHeight="1">
      <c r="A475" s="8" t="s">
        <v>557</v>
      </c>
      <c r="B475" s="52">
        <v>72</v>
      </c>
      <c r="C475" s="52">
        <v>18</v>
      </c>
      <c r="D475" s="52">
        <v>18</v>
      </c>
      <c r="E475" s="52">
        <v>36</v>
      </c>
      <c r="F475" s="52">
        <v>0</v>
      </c>
      <c r="G475" s="52">
        <v>0</v>
      </c>
      <c r="H475" s="52">
        <v>0</v>
      </c>
      <c r="I475" s="52">
        <v>0</v>
      </c>
      <c r="J475" s="52">
        <v>0</v>
      </c>
      <c r="K475" s="52">
        <v>0</v>
      </c>
      <c r="L475" s="52">
        <v>0</v>
      </c>
      <c r="M475" s="52">
        <v>0</v>
      </c>
      <c r="N475" s="52">
        <v>0</v>
      </c>
      <c r="O475" s="52">
        <v>0</v>
      </c>
      <c r="P475" s="52">
        <v>0</v>
      </c>
      <c r="Q475" s="53">
        <v>0.30000000999999998</v>
      </c>
      <c r="R475" s="52">
        <v>2.8</v>
      </c>
      <c r="S475" s="53">
        <v>0.10000002</v>
      </c>
      <c r="T475" s="52">
        <v>3.0000002000000001</v>
      </c>
      <c r="U475" s="54">
        <v>1</v>
      </c>
    </row>
    <row r="476" spans="1:21" s="3" customFormat="1" ht="18" customHeight="1">
      <c r="A476" s="8" t="s">
        <v>558</v>
      </c>
      <c r="B476" s="52">
        <v>104</v>
      </c>
      <c r="C476" s="52">
        <v>26</v>
      </c>
      <c r="D476" s="52">
        <v>26</v>
      </c>
      <c r="E476" s="52">
        <v>52</v>
      </c>
      <c r="F476" s="52">
        <v>0</v>
      </c>
      <c r="G476" s="52">
        <v>0</v>
      </c>
      <c r="H476" s="52">
        <v>0</v>
      </c>
      <c r="I476" s="52">
        <v>0</v>
      </c>
      <c r="J476" s="52">
        <v>0</v>
      </c>
      <c r="K476" s="52">
        <v>0</v>
      </c>
      <c r="L476" s="52">
        <v>0</v>
      </c>
      <c r="M476" s="52">
        <v>0</v>
      </c>
      <c r="N476" s="52">
        <v>0</v>
      </c>
      <c r="O476" s="52">
        <v>0</v>
      </c>
      <c r="P476" s="52">
        <v>0</v>
      </c>
      <c r="Q476" s="53">
        <v>0.30000000999999998</v>
      </c>
      <c r="R476" s="52">
        <v>2.8</v>
      </c>
      <c r="S476" s="53">
        <v>0.24000001000000001</v>
      </c>
      <c r="T476" s="52">
        <v>3.0000002000000001</v>
      </c>
      <c r="U476" s="54">
        <v>1</v>
      </c>
    </row>
    <row r="477" spans="1:21" s="3" customFormat="1" ht="18" customHeight="1">
      <c r="A477" s="8" t="s">
        <v>559</v>
      </c>
      <c r="B477" s="52">
        <v>248.00002000000001</v>
      </c>
      <c r="C477" s="52">
        <v>12.400001</v>
      </c>
      <c r="D477" s="52">
        <v>37.200001</v>
      </c>
      <c r="E477" s="52">
        <v>198.40001000000001</v>
      </c>
      <c r="F477" s="52">
        <v>0</v>
      </c>
      <c r="G477" s="52">
        <v>0</v>
      </c>
      <c r="H477" s="52">
        <v>0</v>
      </c>
      <c r="I477" s="52">
        <v>0</v>
      </c>
      <c r="J477" s="52">
        <v>0</v>
      </c>
      <c r="K477" s="52">
        <v>0</v>
      </c>
      <c r="L477" s="52">
        <v>0</v>
      </c>
      <c r="M477" s="52">
        <v>0</v>
      </c>
      <c r="N477" s="52">
        <v>0</v>
      </c>
      <c r="O477" s="52">
        <v>0</v>
      </c>
      <c r="P477" s="52">
        <v>0</v>
      </c>
      <c r="Q477" s="53">
        <v>0.25999999000000001</v>
      </c>
      <c r="R477" s="52">
        <v>2.2000000000000002</v>
      </c>
      <c r="S477" s="53">
        <v>0.30000000999999998</v>
      </c>
      <c r="T477" s="52">
        <v>0.91666669000000001</v>
      </c>
      <c r="U477" s="54">
        <v>0</v>
      </c>
    </row>
    <row r="478" spans="1:21" s="3" customFormat="1" ht="18" customHeight="1">
      <c r="A478" s="8" t="s">
        <v>560</v>
      </c>
      <c r="B478" s="52">
        <v>150</v>
      </c>
      <c r="C478" s="52">
        <v>7.5</v>
      </c>
      <c r="D478" s="52">
        <v>22.5</v>
      </c>
      <c r="E478" s="52">
        <v>120</v>
      </c>
      <c r="F478" s="52">
        <v>0</v>
      </c>
      <c r="G478" s="52">
        <v>0</v>
      </c>
      <c r="H478" s="52">
        <v>0</v>
      </c>
      <c r="I478" s="52">
        <v>0</v>
      </c>
      <c r="J478" s="52">
        <v>0</v>
      </c>
      <c r="K478" s="52">
        <v>0</v>
      </c>
      <c r="L478" s="52">
        <v>0</v>
      </c>
      <c r="M478" s="52">
        <v>0</v>
      </c>
      <c r="N478" s="52">
        <v>0</v>
      </c>
      <c r="O478" s="52">
        <v>0</v>
      </c>
      <c r="P478" s="52">
        <v>0</v>
      </c>
      <c r="Q478" s="53">
        <v>7.9999998000000003E-2</v>
      </c>
      <c r="R478" s="52">
        <v>1.5</v>
      </c>
      <c r="S478" s="53">
        <v>0.22000003000000001</v>
      </c>
      <c r="T478" s="52">
        <v>0.91666669000000001</v>
      </c>
      <c r="U478" s="54">
        <v>0</v>
      </c>
    </row>
    <row r="479" spans="1:21" s="3" customFormat="1" ht="18" customHeight="1">
      <c r="A479" s="8" t="s">
        <v>561</v>
      </c>
      <c r="B479" s="52">
        <v>100</v>
      </c>
      <c r="C479" s="52">
        <v>20</v>
      </c>
      <c r="D479" s="52">
        <v>10</v>
      </c>
      <c r="E479" s="52">
        <v>70</v>
      </c>
      <c r="F479" s="52">
        <v>0</v>
      </c>
      <c r="G479" s="52">
        <v>0</v>
      </c>
      <c r="H479" s="52">
        <v>0</v>
      </c>
      <c r="I479" s="52">
        <v>0</v>
      </c>
      <c r="J479" s="52">
        <v>0</v>
      </c>
      <c r="K479" s="52">
        <v>0</v>
      </c>
      <c r="L479" s="52">
        <v>0</v>
      </c>
      <c r="M479" s="52">
        <v>0</v>
      </c>
      <c r="N479" s="52">
        <v>0</v>
      </c>
      <c r="O479" s="52">
        <v>0</v>
      </c>
      <c r="P479" s="52">
        <v>0</v>
      </c>
      <c r="Q479" s="53">
        <v>0.12</v>
      </c>
      <c r="R479" s="52">
        <v>2</v>
      </c>
      <c r="S479" s="53">
        <v>0.24000001000000001</v>
      </c>
      <c r="T479" s="52">
        <v>3.0000002000000001</v>
      </c>
      <c r="U479" s="54">
        <v>1</v>
      </c>
    </row>
    <row r="480" spans="1:21" s="3" customFormat="1" ht="18" customHeight="1">
      <c r="A480" s="8" t="s">
        <v>562</v>
      </c>
      <c r="B480" s="52">
        <v>120</v>
      </c>
      <c r="C480" s="52">
        <v>20</v>
      </c>
      <c r="D480" s="52">
        <v>10</v>
      </c>
      <c r="E480" s="52">
        <v>90</v>
      </c>
      <c r="F480" s="52">
        <v>0</v>
      </c>
      <c r="G480" s="52">
        <v>0</v>
      </c>
      <c r="H480" s="52">
        <v>0</v>
      </c>
      <c r="I480" s="52">
        <v>0</v>
      </c>
      <c r="J480" s="52">
        <v>0</v>
      </c>
      <c r="K480" s="52">
        <v>0</v>
      </c>
      <c r="L480" s="52">
        <v>0</v>
      </c>
      <c r="M480" s="52">
        <v>0</v>
      </c>
      <c r="N480" s="52">
        <v>0</v>
      </c>
      <c r="O480" s="52">
        <v>0</v>
      </c>
      <c r="P480" s="52">
        <v>0</v>
      </c>
      <c r="Q480" s="53">
        <v>0.18000000999999999</v>
      </c>
      <c r="R480" s="52">
        <v>2</v>
      </c>
      <c r="S480" s="53">
        <v>0.30000000999999998</v>
      </c>
      <c r="T480" s="52">
        <v>3.6666666999999999</v>
      </c>
      <c r="U480" s="54">
        <v>1</v>
      </c>
    </row>
    <row r="481" spans="1:21" s="3" customFormat="1" ht="18" customHeight="1">
      <c r="A481" s="8" t="s">
        <v>563</v>
      </c>
      <c r="B481" s="52">
        <v>0</v>
      </c>
      <c r="C481" s="52">
        <v>0</v>
      </c>
      <c r="D481" s="52">
        <v>0</v>
      </c>
      <c r="E481" s="52">
        <v>0</v>
      </c>
      <c r="F481" s="52">
        <v>0</v>
      </c>
      <c r="G481" s="52">
        <v>0</v>
      </c>
      <c r="H481" s="52">
        <v>0</v>
      </c>
      <c r="I481" s="52">
        <v>0</v>
      </c>
      <c r="J481" s="52">
        <v>0</v>
      </c>
      <c r="K481" s="52">
        <v>0</v>
      </c>
      <c r="L481" s="52">
        <v>0</v>
      </c>
      <c r="M481" s="52">
        <v>0</v>
      </c>
      <c r="N481" s="52">
        <v>0</v>
      </c>
      <c r="O481" s="52">
        <v>0</v>
      </c>
      <c r="P481" s="52">
        <v>0</v>
      </c>
      <c r="Q481" s="53">
        <v>0</v>
      </c>
      <c r="R481" s="52">
        <v>0</v>
      </c>
      <c r="S481" s="53">
        <v>0</v>
      </c>
      <c r="T481" s="52">
        <v>0</v>
      </c>
      <c r="U481" s="54">
        <v>0</v>
      </c>
    </row>
    <row r="482" spans="1:21" s="3" customFormat="1" ht="18" customHeight="1">
      <c r="A482" s="8" t="s">
        <v>564</v>
      </c>
      <c r="B482" s="52">
        <v>0</v>
      </c>
      <c r="C482" s="52">
        <v>0</v>
      </c>
      <c r="D482" s="52">
        <v>0</v>
      </c>
      <c r="E482" s="52">
        <v>0</v>
      </c>
      <c r="F482" s="52">
        <v>0</v>
      </c>
      <c r="G482" s="52">
        <v>0</v>
      </c>
      <c r="H482" s="52">
        <v>0</v>
      </c>
      <c r="I482" s="52">
        <v>0</v>
      </c>
      <c r="J482" s="52">
        <v>0</v>
      </c>
      <c r="K482" s="52">
        <v>0</v>
      </c>
      <c r="L482" s="52">
        <v>0</v>
      </c>
      <c r="M482" s="52">
        <v>0</v>
      </c>
      <c r="N482" s="52">
        <v>0</v>
      </c>
      <c r="O482" s="52">
        <v>0</v>
      </c>
      <c r="P482" s="52">
        <v>0</v>
      </c>
      <c r="Q482" s="53">
        <v>0</v>
      </c>
      <c r="R482" s="52">
        <v>0</v>
      </c>
      <c r="S482" s="53">
        <v>0</v>
      </c>
      <c r="T482" s="52">
        <v>0</v>
      </c>
      <c r="U482" s="54">
        <v>0</v>
      </c>
    </row>
    <row r="483" spans="1:21" s="3" customFormat="1" ht="18" customHeight="1">
      <c r="A483" s="8" t="s">
        <v>565</v>
      </c>
      <c r="B483" s="52">
        <v>222</v>
      </c>
      <c r="C483" s="52">
        <v>48.84</v>
      </c>
      <c r="D483" s="52">
        <v>17.760000000000002</v>
      </c>
      <c r="E483" s="52">
        <v>155.39999</v>
      </c>
      <c r="F483" s="52">
        <v>0</v>
      </c>
      <c r="G483" s="52">
        <v>0</v>
      </c>
      <c r="H483" s="52">
        <v>0</v>
      </c>
      <c r="I483" s="52">
        <v>0</v>
      </c>
      <c r="J483" s="52">
        <v>0</v>
      </c>
      <c r="K483" s="52">
        <v>0</v>
      </c>
      <c r="L483" s="52">
        <v>0</v>
      </c>
      <c r="M483" s="52">
        <v>0</v>
      </c>
      <c r="N483" s="52">
        <v>0</v>
      </c>
      <c r="O483" s="52">
        <v>0</v>
      </c>
      <c r="P483" s="52">
        <v>0</v>
      </c>
      <c r="Q483" s="53">
        <v>0.31</v>
      </c>
      <c r="R483" s="52">
        <v>2.5999998999999998</v>
      </c>
      <c r="S483" s="53">
        <v>0.22000003000000001</v>
      </c>
      <c r="T483" s="52">
        <v>0.91666669000000001</v>
      </c>
      <c r="U483" s="54">
        <v>0</v>
      </c>
    </row>
    <row r="484" spans="1:21" s="3" customFormat="1" ht="18" customHeight="1">
      <c r="A484" s="8" t="s">
        <v>566</v>
      </c>
      <c r="B484" s="52">
        <v>33</v>
      </c>
      <c r="C484" s="52">
        <v>0</v>
      </c>
      <c r="D484" s="52">
        <v>0</v>
      </c>
      <c r="E484" s="52">
        <v>0</v>
      </c>
      <c r="F484" s="52">
        <v>0</v>
      </c>
      <c r="G484" s="52">
        <v>0</v>
      </c>
      <c r="H484" s="52">
        <v>0</v>
      </c>
      <c r="I484" s="52">
        <v>33</v>
      </c>
      <c r="J484" s="52">
        <v>0</v>
      </c>
      <c r="K484" s="52">
        <v>0</v>
      </c>
      <c r="L484" s="52">
        <v>0</v>
      </c>
      <c r="M484" s="52">
        <v>0</v>
      </c>
      <c r="N484" s="52">
        <v>0</v>
      </c>
      <c r="O484" s="52">
        <v>0</v>
      </c>
      <c r="P484" s="52">
        <v>0</v>
      </c>
      <c r="Q484" s="53">
        <v>0.1</v>
      </c>
      <c r="R484" s="52">
        <v>2</v>
      </c>
      <c r="S484" s="53">
        <v>0.30000000999999998</v>
      </c>
      <c r="T484" s="52">
        <v>11.111112</v>
      </c>
      <c r="U484" s="54">
        <v>1</v>
      </c>
    </row>
    <row r="485" spans="1:21" s="3" customFormat="1" ht="18" customHeight="1">
      <c r="A485" s="8" t="s">
        <v>567</v>
      </c>
      <c r="B485" s="52">
        <v>320</v>
      </c>
      <c r="C485" s="52">
        <v>16</v>
      </c>
      <c r="D485" s="52">
        <v>256</v>
      </c>
      <c r="E485" s="52">
        <v>47.999991999999999</v>
      </c>
      <c r="F485" s="52">
        <v>0</v>
      </c>
      <c r="G485" s="52">
        <v>0</v>
      </c>
      <c r="H485" s="52">
        <v>0</v>
      </c>
      <c r="I485" s="52">
        <v>0</v>
      </c>
      <c r="J485" s="52">
        <v>0</v>
      </c>
      <c r="K485" s="52">
        <v>0</v>
      </c>
      <c r="L485" s="52">
        <v>0</v>
      </c>
      <c r="M485" s="52">
        <v>0</v>
      </c>
      <c r="N485" s="52">
        <v>0</v>
      </c>
      <c r="O485" s="52">
        <v>0</v>
      </c>
      <c r="P485" s="52">
        <v>0</v>
      </c>
      <c r="Q485" s="53">
        <v>0.30000000999999998</v>
      </c>
      <c r="R485" s="52">
        <v>2</v>
      </c>
      <c r="S485" s="53">
        <v>0.10000002</v>
      </c>
      <c r="T485" s="52">
        <v>1</v>
      </c>
      <c r="U485" s="54">
        <v>1</v>
      </c>
    </row>
    <row r="486" spans="1:21" s="3" customFormat="1" ht="18" customHeight="1">
      <c r="A486" s="8" t="s">
        <v>568</v>
      </c>
      <c r="B486" s="52">
        <v>360</v>
      </c>
      <c r="C486" s="52">
        <v>9</v>
      </c>
      <c r="D486" s="52">
        <v>288</v>
      </c>
      <c r="E486" s="52">
        <v>63.000003999999997</v>
      </c>
      <c r="F486" s="52">
        <v>0</v>
      </c>
      <c r="G486" s="52">
        <v>0</v>
      </c>
      <c r="H486" s="52">
        <v>0</v>
      </c>
      <c r="I486" s="52">
        <v>0</v>
      </c>
      <c r="J486" s="52">
        <v>0</v>
      </c>
      <c r="K486" s="52">
        <v>0</v>
      </c>
      <c r="L486" s="52">
        <v>0</v>
      </c>
      <c r="M486" s="52">
        <v>0</v>
      </c>
      <c r="N486" s="52">
        <v>0</v>
      </c>
      <c r="O486" s="52">
        <v>0</v>
      </c>
      <c r="P486" s="52">
        <v>0</v>
      </c>
      <c r="Q486" s="53">
        <v>0.44999999000000002</v>
      </c>
      <c r="R486" s="52">
        <v>2</v>
      </c>
      <c r="S486" s="53">
        <v>0.19999998999999999</v>
      </c>
      <c r="T486" s="52">
        <v>1</v>
      </c>
      <c r="U486" s="54">
        <v>1</v>
      </c>
    </row>
    <row r="487" spans="1:21" s="3" customFormat="1" ht="18" customHeight="1">
      <c r="A487" s="8" t="s">
        <v>569</v>
      </c>
      <c r="B487" s="52">
        <v>262</v>
      </c>
      <c r="C487" s="52">
        <v>57</v>
      </c>
      <c r="D487" s="52">
        <v>55</v>
      </c>
      <c r="E487" s="52">
        <v>61</v>
      </c>
      <c r="F487" s="52">
        <v>0</v>
      </c>
      <c r="G487" s="52">
        <v>0</v>
      </c>
      <c r="H487" s="52">
        <v>0</v>
      </c>
      <c r="I487" s="52">
        <v>0</v>
      </c>
      <c r="J487" s="52">
        <v>0</v>
      </c>
      <c r="K487" s="52">
        <v>0</v>
      </c>
      <c r="L487" s="52">
        <v>0</v>
      </c>
      <c r="M487" s="52">
        <v>0</v>
      </c>
      <c r="N487" s="52">
        <v>89</v>
      </c>
      <c r="O487" s="52">
        <v>0</v>
      </c>
      <c r="P487" s="52">
        <v>0</v>
      </c>
      <c r="Q487" s="53">
        <v>0.15000000999999999</v>
      </c>
      <c r="R487" s="52">
        <v>2.0999998999999998</v>
      </c>
      <c r="S487" s="53">
        <v>0.30000000999999998</v>
      </c>
      <c r="T487" s="52">
        <v>0.66666669000000001</v>
      </c>
      <c r="U487" s="54">
        <v>0</v>
      </c>
    </row>
    <row r="488" spans="1:21" s="3" customFormat="1" ht="18" customHeight="1">
      <c r="A488" s="8" t="s">
        <v>570</v>
      </c>
      <c r="B488" s="52">
        <v>0</v>
      </c>
      <c r="C488" s="52">
        <v>0</v>
      </c>
      <c r="D488" s="52">
        <v>0</v>
      </c>
      <c r="E488" s="52">
        <v>0</v>
      </c>
      <c r="F488" s="52">
        <v>0</v>
      </c>
      <c r="G488" s="52">
        <v>0</v>
      </c>
      <c r="H488" s="52">
        <v>0</v>
      </c>
      <c r="I488" s="52">
        <v>0</v>
      </c>
      <c r="J488" s="52">
        <v>0</v>
      </c>
      <c r="K488" s="52">
        <v>0</v>
      </c>
      <c r="L488" s="52">
        <v>0</v>
      </c>
      <c r="M488" s="52">
        <v>0</v>
      </c>
      <c r="N488" s="52">
        <v>0</v>
      </c>
      <c r="O488" s="52">
        <v>0</v>
      </c>
      <c r="P488" s="52">
        <v>0</v>
      </c>
      <c r="Q488" s="53">
        <v>0</v>
      </c>
      <c r="R488" s="52">
        <v>0</v>
      </c>
      <c r="S488" s="53">
        <v>0</v>
      </c>
      <c r="T488" s="52">
        <v>0</v>
      </c>
      <c r="U488" s="54">
        <v>0</v>
      </c>
    </row>
    <row r="489" spans="1:21" s="3" customFormat="1" ht="18" customHeight="1">
      <c r="A489" s="8" t="s">
        <v>571</v>
      </c>
      <c r="B489" s="52">
        <v>200</v>
      </c>
      <c r="C489" s="52">
        <v>20</v>
      </c>
      <c r="D489" s="52">
        <v>140</v>
      </c>
      <c r="E489" s="52">
        <v>39.999996000000003</v>
      </c>
      <c r="F489" s="52">
        <v>0</v>
      </c>
      <c r="G489" s="52">
        <v>0</v>
      </c>
      <c r="H489" s="52">
        <v>0</v>
      </c>
      <c r="I489" s="52">
        <v>0</v>
      </c>
      <c r="J489" s="52">
        <v>0</v>
      </c>
      <c r="K489" s="52">
        <v>0</v>
      </c>
      <c r="L489" s="52">
        <v>0</v>
      </c>
      <c r="M489" s="52">
        <v>0</v>
      </c>
      <c r="N489" s="52">
        <v>0</v>
      </c>
      <c r="O489" s="52">
        <v>0</v>
      </c>
      <c r="P489" s="52">
        <v>0</v>
      </c>
      <c r="Q489" s="53">
        <v>0.31999999000000001</v>
      </c>
      <c r="R489" s="52">
        <v>2.4000001000000002</v>
      </c>
      <c r="S489" s="53">
        <v>0.10000002</v>
      </c>
      <c r="T489" s="52">
        <v>0.91666669000000001</v>
      </c>
      <c r="U489" s="54">
        <v>0</v>
      </c>
    </row>
    <row r="490" spans="1:21" s="3" customFormat="1" ht="18" customHeight="1">
      <c r="A490" s="8" t="s">
        <v>572</v>
      </c>
      <c r="B490" s="52">
        <v>425</v>
      </c>
      <c r="C490" s="52">
        <v>75</v>
      </c>
      <c r="D490" s="52">
        <v>0</v>
      </c>
      <c r="E490" s="52">
        <v>0</v>
      </c>
      <c r="F490" s="52">
        <v>0</v>
      </c>
      <c r="G490" s="52">
        <v>0</v>
      </c>
      <c r="H490" s="52">
        <v>0</v>
      </c>
      <c r="I490" s="52">
        <v>0</v>
      </c>
      <c r="J490" s="52">
        <v>350</v>
      </c>
      <c r="K490" s="52">
        <v>0</v>
      </c>
      <c r="L490" s="52">
        <v>0</v>
      </c>
      <c r="M490" s="52">
        <v>0</v>
      </c>
      <c r="N490" s="52">
        <v>0</v>
      </c>
      <c r="O490" s="52">
        <v>0</v>
      </c>
      <c r="P490" s="52">
        <v>0</v>
      </c>
      <c r="Q490" s="53">
        <v>0.1</v>
      </c>
      <c r="R490" s="52">
        <v>2</v>
      </c>
      <c r="S490" s="53">
        <v>0.10000002</v>
      </c>
      <c r="T490" s="52">
        <v>1</v>
      </c>
      <c r="U490" s="54">
        <v>1</v>
      </c>
    </row>
    <row r="491" spans="1:21" s="3" customFormat="1" ht="18" customHeight="1">
      <c r="A491" s="8" t="s">
        <v>573</v>
      </c>
      <c r="B491" s="52">
        <v>172</v>
      </c>
      <c r="C491" s="52">
        <v>20.639999</v>
      </c>
      <c r="D491" s="52">
        <v>96.32</v>
      </c>
      <c r="E491" s="52">
        <v>55.039997</v>
      </c>
      <c r="F491" s="52">
        <v>0</v>
      </c>
      <c r="G491" s="52">
        <v>0</v>
      </c>
      <c r="H491" s="52">
        <v>0</v>
      </c>
      <c r="I491" s="52">
        <v>0</v>
      </c>
      <c r="J491" s="52">
        <v>0</v>
      </c>
      <c r="K491" s="52">
        <v>0</v>
      </c>
      <c r="L491" s="52">
        <v>0</v>
      </c>
      <c r="M491" s="52">
        <v>0</v>
      </c>
      <c r="N491" s="52">
        <v>0</v>
      </c>
      <c r="O491" s="52">
        <v>0</v>
      </c>
      <c r="P491" s="52">
        <v>0</v>
      </c>
      <c r="Q491" s="53">
        <v>0.28000000000000003</v>
      </c>
      <c r="R491" s="52">
        <v>2.5999998999999998</v>
      </c>
      <c r="S491" s="53">
        <v>0.15999996999999999</v>
      </c>
      <c r="T491" s="52">
        <v>6.0606064999999996</v>
      </c>
      <c r="U491" s="54">
        <v>1</v>
      </c>
    </row>
    <row r="492" spans="1:21" s="3" customFormat="1" ht="18" customHeight="1">
      <c r="A492" s="8" t="s">
        <v>574</v>
      </c>
      <c r="B492" s="52">
        <v>0</v>
      </c>
      <c r="C492" s="52">
        <v>0</v>
      </c>
      <c r="D492" s="52">
        <v>0</v>
      </c>
      <c r="E492" s="52">
        <v>0</v>
      </c>
      <c r="F492" s="52">
        <v>0</v>
      </c>
      <c r="G492" s="52">
        <v>0</v>
      </c>
      <c r="H492" s="52">
        <v>0</v>
      </c>
      <c r="I492" s="52">
        <v>0</v>
      </c>
      <c r="J492" s="52">
        <v>0</v>
      </c>
      <c r="K492" s="52">
        <v>0</v>
      </c>
      <c r="L492" s="52">
        <v>0</v>
      </c>
      <c r="M492" s="52">
        <v>0</v>
      </c>
      <c r="N492" s="52">
        <v>0</v>
      </c>
      <c r="O492" s="52">
        <v>0</v>
      </c>
      <c r="P492" s="52">
        <v>0</v>
      </c>
      <c r="Q492" s="53">
        <v>0</v>
      </c>
      <c r="R492" s="52">
        <v>0</v>
      </c>
      <c r="S492" s="53">
        <v>0</v>
      </c>
      <c r="T492" s="52">
        <v>0</v>
      </c>
      <c r="U492" s="54">
        <v>0</v>
      </c>
    </row>
    <row r="493" spans="1:21" s="3" customFormat="1" ht="18" customHeight="1">
      <c r="A493" s="8" t="s">
        <v>575</v>
      </c>
      <c r="B493" s="52">
        <v>56</v>
      </c>
      <c r="C493" s="52">
        <v>14</v>
      </c>
      <c r="D493" s="52">
        <v>36.399997999999997</v>
      </c>
      <c r="E493" s="52">
        <v>5.6000012999999997</v>
      </c>
      <c r="F493" s="52">
        <v>0</v>
      </c>
      <c r="G493" s="52">
        <v>0</v>
      </c>
      <c r="H493" s="52">
        <v>0</v>
      </c>
      <c r="I493" s="52">
        <v>0</v>
      </c>
      <c r="J493" s="52">
        <v>0</v>
      </c>
      <c r="K493" s="52">
        <v>0</v>
      </c>
      <c r="L493" s="52">
        <v>0</v>
      </c>
      <c r="M493" s="52">
        <v>0</v>
      </c>
      <c r="N493" s="52">
        <v>0</v>
      </c>
      <c r="O493" s="52">
        <v>0</v>
      </c>
      <c r="P493" s="52">
        <v>0</v>
      </c>
      <c r="Q493" s="53">
        <v>0.14000000000000001</v>
      </c>
      <c r="R493" s="52">
        <v>2</v>
      </c>
      <c r="S493" s="53">
        <v>0.30000000999999998</v>
      </c>
      <c r="T493" s="52">
        <v>18.750001999999999</v>
      </c>
      <c r="U493" s="54">
        <v>1</v>
      </c>
    </row>
    <row r="494" spans="1:21" s="3" customFormat="1" ht="18" customHeight="1">
      <c r="A494" s="8" t="s">
        <v>576</v>
      </c>
      <c r="B494" s="52">
        <v>5</v>
      </c>
      <c r="C494" s="52">
        <v>0</v>
      </c>
      <c r="D494" s="52">
        <v>0</v>
      </c>
      <c r="E494" s="52">
        <v>0</v>
      </c>
      <c r="F494" s="52">
        <v>0</v>
      </c>
      <c r="G494" s="52">
        <v>0</v>
      </c>
      <c r="H494" s="52">
        <v>0</v>
      </c>
      <c r="I494" s="52">
        <v>0</v>
      </c>
      <c r="J494" s="52">
        <v>0</v>
      </c>
      <c r="K494" s="52">
        <v>0</v>
      </c>
      <c r="L494" s="52">
        <v>0</v>
      </c>
      <c r="M494" s="52">
        <v>0</v>
      </c>
      <c r="N494" s="52">
        <v>5</v>
      </c>
      <c r="O494" s="52">
        <v>0</v>
      </c>
      <c r="P494" s="52">
        <v>0</v>
      </c>
      <c r="Q494" s="53">
        <v>0.19</v>
      </c>
      <c r="R494" s="52">
        <v>2</v>
      </c>
      <c r="S494" s="53">
        <v>0.15499996999999999</v>
      </c>
      <c r="T494" s="52">
        <v>12.000000999999999</v>
      </c>
      <c r="U494" s="54">
        <v>7</v>
      </c>
    </row>
    <row r="495" spans="1:21" s="3" customFormat="1" ht="18" customHeight="1">
      <c r="A495" s="8" t="s">
        <v>577</v>
      </c>
      <c r="B495" s="52">
        <v>0</v>
      </c>
      <c r="C495" s="52">
        <v>0</v>
      </c>
      <c r="D495" s="52">
        <v>0</v>
      </c>
      <c r="E495" s="52">
        <v>0</v>
      </c>
      <c r="F495" s="52">
        <v>0</v>
      </c>
      <c r="G495" s="52">
        <v>0</v>
      </c>
      <c r="H495" s="52">
        <v>0</v>
      </c>
      <c r="I495" s="52">
        <v>0</v>
      </c>
      <c r="J495" s="52">
        <v>0</v>
      </c>
      <c r="K495" s="52">
        <v>0</v>
      </c>
      <c r="L495" s="52">
        <v>0</v>
      </c>
      <c r="M495" s="52">
        <v>0</v>
      </c>
      <c r="N495" s="52">
        <v>0</v>
      </c>
      <c r="O495" s="52">
        <v>0</v>
      </c>
      <c r="P495" s="52">
        <v>0</v>
      </c>
      <c r="Q495" s="53">
        <v>0</v>
      </c>
      <c r="R495" s="52">
        <v>0</v>
      </c>
      <c r="S495" s="53">
        <v>0</v>
      </c>
      <c r="T495" s="52">
        <v>0</v>
      </c>
      <c r="U495" s="54">
        <v>0</v>
      </c>
    </row>
    <row r="496" spans="1:21" s="3" customFormat="1" ht="18" customHeight="1">
      <c r="A496" s="8" t="s">
        <v>578</v>
      </c>
      <c r="B496" s="52">
        <v>15</v>
      </c>
      <c r="C496" s="52">
        <v>5</v>
      </c>
      <c r="D496" s="52">
        <v>0</v>
      </c>
      <c r="E496" s="52">
        <v>0</v>
      </c>
      <c r="F496" s="52">
        <v>0</v>
      </c>
      <c r="G496" s="52">
        <v>0</v>
      </c>
      <c r="H496" s="52">
        <v>0</v>
      </c>
      <c r="I496" s="52">
        <v>0</v>
      </c>
      <c r="J496" s="52">
        <v>0</v>
      </c>
      <c r="K496" s="52">
        <v>10</v>
      </c>
      <c r="L496" s="52">
        <v>0</v>
      </c>
      <c r="M496" s="52">
        <v>0</v>
      </c>
      <c r="N496" s="52">
        <v>0</v>
      </c>
      <c r="O496" s="52">
        <v>0</v>
      </c>
      <c r="P496" s="52">
        <v>0</v>
      </c>
      <c r="Q496" s="53">
        <v>2.9999998999999999E-2</v>
      </c>
      <c r="R496" s="52">
        <v>1.5</v>
      </c>
      <c r="S496" s="53">
        <v>0.222</v>
      </c>
      <c r="T496" s="52">
        <v>12.000000999999999</v>
      </c>
      <c r="U496" s="54">
        <v>6</v>
      </c>
    </row>
    <row r="497" spans="1:21" s="3" customFormat="1" ht="18" customHeight="1">
      <c r="A497" s="8" t="s">
        <v>579</v>
      </c>
      <c r="B497" s="52">
        <v>15</v>
      </c>
      <c r="C497" s="52">
        <v>5</v>
      </c>
      <c r="D497" s="52">
        <v>0</v>
      </c>
      <c r="E497" s="52">
        <v>0</v>
      </c>
      <c r="F497" s="52">
        <v>0</v>
      </c>
      <c r="G497" s="52">
        <v>0</v>
      </c>
      <c r="H497" s="52">
        <v>0</v>
      </c>
      <c r="I497" s="52">
        <v>0</v>
      </c>
      <c r="J497" s="52">
        <v>0</v>
      </c>
      <c r="K497" s="52">
        <v>10</v>
      </c>
      <c r="L497" s="52">
        <v>0</v>
      </c>
      <c r="M497" s="52">
        <v>0</v>
      </c>
      <c r="N497" s="52">
        <v>0</v>
      </c>
      <c r="O497" s="52">
        <v>0</v>
      </c>
      <c r="P497" s="52">
        <v>0</v>
      </c>
      <c r="Q497" s="53">
        <v>0.11</v>
      </c>
      <c r="R497" s="52">
        <v>1.9</v>
      </c>
      <c r="S497" s="53">
        <v>0.222</v>
      </c>
      <c r="T497" s="52">
        <v>12.000000999999999</v>
      </c>
      <c r="U497" s="54">
        <v>6</v>
      </c>
    </row>
    <row r="498" spans="1:21" s="3" customFormat="1" ht="18" customHeight="1">
      <c r="A498" s="8" t="s">
        <v>580</v>
      </c>
      <c r="B498" s="52">
        <v>0</v>
      </c>
      <c r="C498" s="52">
        <v>0</v>
      </c>
      <c r="D498" s="52">
        <v>0</v>
      </c>
      <c r="E498" s="52">
        <v>0</v>
      </c>
      <c r="F498" s="52">
        <v>0</v>
      </c>
      <c r="G498" s="52">
        <v>0</v>
      </c>
      <c r="H498" s="52">
        <v>0</v>
      </c>
      <c r="I498" s="52">
        <v>0</v>
      </c>
      <c r="J498" s="52">
        <v>0</v>
      </c>
      <c r="K498" s="52">
        <v>0</v>
      </c>
      <c r="L498" s="52">
        <v>0</v>
      </c>
      <c r="M498" s="52">
        <v>0</v>
      </c>
      <c r="N498" s="52">
        <v>0</v>
      </c>
      <c r="O498" s="52">
        <v>0</v>
      </c>
      <c r="P498" s="52">
        <v>0</v>
      </c>
      <c r="Q498" s="53">
        <v>0</v>
      </c>
      <c r="R498" s="52">
        <v>0</v>
      </c>
      <c r="S498" s="53">
        <v>0</v>
      </c>
      <c r="T498" s="52">
        <v>0</v>
      </c>
      <c r="U498" s="54">
        <v>0</v>
      </c>
    </row>
    <row r="499" spans="1:21" s="3" customFormat="1" ht="18" customHeight="1">
      <c r="A499" s="8" t="s">
        <v>581</v>
      </c>
      <c r="B499" s="52">
        <v>0</v>
      </c>
      <c r="C499" s="52">
        <v>0</v>
      </c>
      <c r="D499" s="52">
        <v>0</v>
      </c>
      <c r="E499" s="52">
        <v>0</v>
      </c>
      <c r="F499" s="52">
        <v>0</v>
      </c>
      <c r="G499" s="52">
        <v>0</v>
      </c>
      <c r="H499" s="52">
        <v>0</v>
      </c>
      <c r="I499" s="52">
        <v>0</v>
      </c>
      <c r="J499" s="52">
        <v>0</v>
      </c>
      <c r="K499" s="52">
        <v>0</v>
      </c>
      <c r="L499" s="52">
        <v>0</v>
      </c>
      <c r="M499" s="52">
        <v>0</v>
      </c>
      <c r="N499" s="52">
        <v>0</v>
      </c>
      <c r="O499" s="52">
        <v>0</v>
      </c>
      <c r="P499" s="52">
        <v>0</v>
      </c>
      <c r="Q499" s="53">
        <v>0</v>
      </c>
      <c r="R499" s="52">
        <v>0</v>
      </c>
      <c r="S499" s="53">
        <v>0</v>
      </c>
      <c r="T499" s="52">
        <v>0</v>
      </c>
      <c r="U499" s="54">
        <v>0</v>
      </c>
    </row>
    <row r="500" spans="1:21" s="3" customFormat="1" ht="18" customHeight="1">
      <c r="A500" s="8" t="s">
        <v>582</v>
      </c>
      <c r="B500" s="52">
        <v>140</v>
      </c>
      <c r="C500" s="52">
        <v>0</v>
      </c>
      <c r="D500" s="52">
        <v>42</v>
      </c>
      <c r="E500" s="52">
        <v>98</v>
      </c>
      <c r="F500" s="52">
        <v>0</v>
      </c>
      <c r="G500" s="52">
        <v>0</v>
      </c>
      <c r="H500" s="52">
        <v>0</v>
      </c>
      <c r="I500" s="52">
        <v>0</v>
      </c>
      <c r="J500" s="52">
        <v>0</v>
      </c>
      <c r="K500" s="52">
        <v>0</v>
      </c>
      <c r="L500" s="52">
        <v>0</v>
      </c>
      <c r="M500" s="52">
        <v>0</v>
      </c>
      <c r="N500" s="52">
        <v>0</v>
      </c>
      <c r="O500" s="52">
        <v>0</v>
      </c>
      <c r="P500" s="52">
        <v>0</v>
      </c>
      <c r="Q500" s="53">
        <v>0.2</v>
      </c>
      <c r="R500" s="52">
        <v>2</v>
      </c>
      <c r="S500" s="53">
        <v>0.19999998999999999</v>
      </c>
      <c r="T500" s="52">
        <v>3.0000002000000001</v>
      </c>
      <c r="U500" s="54">
        <v>1</v>
      </c>
    </row>
    <row r="501" spans="1:21" s="3" customFormat="1" ht="18" customHeight="1">
      <c r="A501" s="8" t="s">
        <v>583</v>
      </c>
      <c r="B501" s="52">
        <v>0</v>
      </c>
      <c r="C501" s="52">
        <v>0</v>
      </c>
      <c r="D501" s="52">
        <v>0</v>
      </c>
      <c r="E501" s="52">
        <v>0</v>
      </c>
      <c r="F501" s="52">
        <v>0</v>
      </c>
      <c r="G501" s="52">
        <v>0</v>
      </c>
      <c r="H501" s="52">
        <v>0</v>
      </c>
      <c r="I501" s="52">
        <v>0</v>
      </c>
      <c r="J501" s="52">
        <v>0</v>
      </c>
      <c r="K501" s="52">
        <v>0</v>
      </c>
      <c r="L501" s="52">
        <v>0</v>
      </c>
      <c r="M501" s="52">
        <v>0</v>
      </c>
      <c r="N501" s="52">
        <v>0</v>
      </c>
      <c r="O501" s="52">
        <v>0</v>
      </c>
      <c r="P501" s="52">
        <v>0</v>
      </c>
      <c r="Q501" s="53">
        <v>0</v>
      </c>
      <c r="R501" s="52">
        <v>0</v>
      </c>
      <c r="S501" s="53">
        <v>0</v>
      </c>
      <c r="T501" s="52">
        <v>0</v>
      </c>
      <c r="U501" s="54">
        <v>0</v>
      </c>
    </row>
    <row r="502" spans="1:21" s="3" customFormat="1" ht="18" customHeight="1">
      <c r="A502" s="8" t="s">
        <v>584</v>
      </c>
      <c r="B502" s="52">
        <v>0</v>
      </c>
      <c r="C502" s="52">
        <v>0</v>
      </c>
      <c r="D502" s="52">
        <v>0</v>
      </c>
      <c r="E502" s="52">
        <v>0</v>
      </c>
      <c r="F502" s="52">
        <v>0</v>
      </c>
      <c r="G502" s="52">
        <v>0</v>
      </c>
      <c r="H502" s="52">
        <v>0</v>
      </c>
      <c r="I502" s="52">
        <v>0</v>
      </c>
      <c r="J502" s="52">
        <v>0</v>
      </c>
      <c r="K502" s="52">
        <v>0</v>
      </c>
      <c r="L502" s="52">
        <v>0</v>
      </c>
      <c r="M502" s="52">
        <v>0</v>
      </c>
      <c r="N502" s="52">
        <v>0</v>
      </c>
      <c r="O502" s="52">
        <v>0</v>
      </c>
      <c r="P502" s="52">
        <v>0</v>
      </c>
      <c r="Q502" s="53">
        <v>0</v>
      </c>
      <c r="R502" s="52">
        <v>0</v>
      </c>
      <c r="S502" s="53">
        <v>0</v>
      </c>
      <c r="T502" s="52">
        <v>0</v>
      </c>
      <c r="U502" s="54">
        <v>0</v>
      </c>
    </row>
    <row r="503" spans="1:21" s="3" customFormat="1" ht="18" customHeight="1">
      <c r="A503" s="8" t="s">
        <v>585</v>
      </c>
      <c r="B503" s="52">
        <v>0</v>
      </c>
      <c r="C503" s="52">
        <v>0</v>
      </c>
      <c r="D503" s="52">
        <v>0</v>
      </c>
      <c r="E503" s="52">
        <v>0</v>
      </c>
      <c r="F503" s="52">
        <v>0</v>
      </c>
      <c r="G503" s="52">
        <v>0</v>
      </c>
      <c r="H503" s="52">
        <v>0</v>
      </c>
      <c r="I503" s="52">
        <v>0</v>
      </c>
      <c r="J503" s="52">
        <v>0</v>
      </c>
      <c r="K503" s="52">
        <v>0</v>
      </c>
      <c r="L503" s="52">
        <v>0</v>
      </c>
      <c r="M503" s="52">
        <v>0</v>
      </c>
      <c r="N503" s="52">
        <v>0</v>
      </c>
      <c r="O503" s="52">
        <v>0</v>
      </c>
      <c r="P503" s="52">
        <v>0</v>
      </c>
      <c r="Q503" s="53">
        <v>0</v>
      </c>
      <c r="R503" s="52">
        <v>0</v>
      </c>
      <c r="S503" s="53">
        <v>0</v>
      </c>
      <c r="T503" s="52">
        <v>0</v>
      </c>
      <c r="U503" s="54">
        <v>0</v>
      </c>
    </row>
    <row r="504" spans="1:21" s="3" customFormat="1" ht="18" customHeight="1">
      <c r="A504" s="8" t="s">
        <v>586</v>
      </c>
      <c r="B504" s="52">
        <v>0</v>
      </c>
      <c r="C504" s="52">
        <v>0</v>
      </c>
      <c r="D504" s="52">
        <v>0</v>
      </c>
      <c r="E504" s="52">
        <v>0</v>
      </c>
      <c r="F504" s="52">
        <v>0</v>
      </c>
      <c r="G504" s="52">
        <v>0</v>
      </c>
      <c r="H504" s="52">
        <v>0</v>
      </c>
      <c r="I504" s="52">
        <v>0</v>
      </c>
      <c r="J504" s="52">
        <v>0</v>
      </c>
      <c r="K504" s="52">
        <v>0</v>
      </c>
      <c r="L504" s="52">
        <v>0</v>
      </c>
      <c r="M504" s="52">
        <v>0</v>
      </c>
      <c r="N504" s="52">
        <v>0</v>
      </c>
      <c r="O504" s="52">
        <v>0</v>
      </c>
      <c r="P504" s="52">
        <v>0</v>
      </c>
      <c r="Q504" s="53">
        <v>0</v>
      </c>
      <c r="R504" s="52">
        <v>0</v>
      </c>
      <c r="S504" s="53">
        <v>0</v>
      </c>
      <c r="T504" s="52">
        <v>0</v>
      </c>
      <c r="U504" s="54">
        <v>0</v>
      </c>
    </row>
    <row r="505" spans="1:21" s="3" customFormat="1" ht="18" customHeight="1">
      <c r="A505" s="8" t="s">
        <v>587</v>
      </c>
      <c r="B505" s="52">
        <v>0</v>
      </c>
      <c r="C505" s="52">
        <v>0</v>
      </c>
      <c r="D505" s="52">
        <v>0</v>
      </c>
      <c r="E505" s="52">
        <v>0</v>
      </c>
      <c r="F505" s="52">
        <v>0</v>
      </c>
      <c r="G505" s="52">
        <v>0</v>
      </c>
      <c r="H505" s="52">
        <v>0</v>
      </c>
      <c r="I505" s="52">
        <v>0</v>
      </c>
      <c r="J505" s="52">
        <v>0</v>
      </c>
      <c r="K505" s="52">
        <v>0</v>
      </c>
      <c r="L505" s="52">
        <v>0</v>
      </c>
      <c r="M505" s="52">
        <v>0</v>
      </c>
      <c r="N505" s="52">
        <v>0</v>
      </c>
      <c r="O505" s="52">
        <v>0</v>
      </c>
      <c r="P505" s="52">
        <v>0</v>
      </c>
      <c r="Q505" s="53">
        <v>0</v>
      </c>
      <c r="R505" s="52">
        <v>0</v>
      </c>
      <c r="S505" s="53">
        <v>0</v>
      </c>
      <c r="T505" s="52">
        <v>0</v>
      </c>
      <c r="U505" s="54">
        <v>0</v>
      </c>
    </row>
    <row r="506" spans="1:21" s="3" customFormat="1" ht="18" customHeight="1">
      <c r="A506" s="8" t="s">
        <v>588</v>
      </c>
      <c r="B506" s="52">
        <v>0</v>
      </c>
      <c r="C506" s="52">
        <v>0</v>
      </c>
      <c r="D506" s="52">
        <v>0</v>
      </c>
      <c r="E506" s="52">
        <v>0</v>
      </c>
      <c r="F506" s="52">
        <v>0</v>
      </c>
      <c r="G506" s="52">
        <v>0</v>
      </c>
      <c r="H506" s="52">
        <v>0</v>
      </c>
      <c r="I506" s="52">
        <v>0</v>
      </c>
      <c r="J506" s="52">
        <v>0</v>
      </c>
      <c r="K506" s="52">
        <v>0</v>
      </c>
      <c r="L506" s="52">
        <v>0</v>
      </c>
      <c r="M506" s="52">
        <v>0</v>
      </c>
      <c r="N506" s="52">
        <v>0</v>
      </c>
      <c r="O506" s="52">
        <v>0</v>
      </c>
      <c r="P506" s="52">
        <v>0</v>
      </c>
      <c r="Q506" s="53">
        <v>0</v>
      </c>
      <c r="R506" s="52">
        <v>0</v>
      </c>
      <c r="S506" s="53">
        <v>0</v>
      </c>
      <c r="T506" s="52">
        <v>0</v>
      </c>
      <c r="U506" s="54">
        <v>0</v>
      </c>
    </row>
    <row r="507" spans="1:21" s="3" customFormat="1" ht="18" customHeight="1">
      <c r="A507" s="8" t="s">
        <v>588</v>
      </c>
      <c r="B507" s="52">
        <v>0</v>
      </c>
      <c r="C507" s="52">
        <v>0</v>
      </c>
      <c r="D507" s="52">
        <v>0</v>
      </c>
      <c r="E507" s="52">
        <v>0</v>
      </c>
      <c r="F507" s="52">
        <v>0</v>
      </c>
      <c r="G507" s="52">
        <v>0</v>
      </c>
      <c r="H507" s="52">
        <v>0</v>
      </c>
      <c r="I507" s="52">
        <v>0</v>
      </c>
      <c r="J507" s="52">
        <v>0</v>
      </c>
      <c r="K507" s="52">
        <v>0</v>
      </c>
      <c r="L507" s="52">
        <v>0</v>
      </c>
      <c r="M507" s="52">
        <v>0</v>
      </c>
      <c r="N507" s="52">
        <v>0</v>
      </c>
      <c r="O507" s="52">
        <v>0</v>
      </c>
      <c r="P507" s="52">
        <v>0</v>
      </c>
      <c r="Q507" s="53">
        <v>0</v>
      </c>
      <c r="R507" s="52">
        <v>0</v>
      </c>
      <c r="S507" s="53">
        <v>0</v>
      </c>
      <c r="T507" s="52">
        <v>0</v>
      </c>
      <c r="U507" s="54">
        <v>0</v>
      </c>
    </row>
    <row r="508" spans="1:21" s="3" customFormat="1" ht="18" customHeight="1">
      <c r="A508" s="8" t="s">
        <v>589</v>
      </c>
      <c r="B508" s="52">
        <v>0</v>
      </c>
      <c r="C508" s="52">
        <v>0</v>
      </c>
      <c r="D508" s="52">
        <v>0</v>
      </c>
      <c r="E508" s="52">
        <v>0</v>
      </c>
      <c r="F508" s="52">
        <v>0</v>
      </c>
      <c r="G508" s="52">
        <v>0</v>
      </c>
      <c r="H508" s="52">
        <v>0</v>
      </c>
      <c r="I508" s="52">
        <v>0</v>
      </c>
      <c r="J508" s="52">
        <v>0</v>
      </c>
      <c r="K508" s="52">
        <v>0</v>
      </c>
      <c r="L508" s="52">
        <v>0</v>
      </c>
      <c r="M508" s="52">
        <v>0</v>
      </c>
      <c r="N508" s="52">
        <v>0</v>
      </c>
      <c r="O508" s="52">
        <v>0</v>
      </c>
      <c r="P508" s="52">
        <v>0</v>
      </c>
      <c r="Q508" s="53">
        <v>0</v>
      </c>
      <c r="R508" s="52">
        <v>0</v>
      </c>
      <c r="S508" s="53">
        <v>0</v>
      </c>
      <c r="T508" s="52">
        <v>0</v>
      </c>
      <c r="U508" s="54">
        <v>0</v>
      </c>
    </row>
    <row r="509" spans="1:21" s="3" customFormat="1" ht="18" customHeight="1">
      <c r="A509" s="8" t="s">
        <v>589</v>
      </c>
      <c r="B509" s="52">
        <v>0</v>
      </c>
      <c r="C509" s="52">
        <v>0</v>
      </c>
      <c r="D509" s="52">
        <v>0</v>
      </c>
      <c r="E509" s="52">
        <v>0</v>
      </c>
      <c r="F509" s="52">
        <v>0</v>
      </c>
      <c r="G509" s="52">
        <v>0</v>
      </c>
      <c r="H509" s="52">
        <v>0</v>
      </c>
      <c r="I509" s="52">
        <v>0</v>
      </c>
      <c r="J509" s="52">
        <v>0</v>
      </c>
      <c r="K509" s="52">
        <v>0</v>
      </c>
      <c r="L509" s="52">
        <v>0</v>
      </c>
      <c r="M509" s="52">
        <v>0</v>
      </c>
      <c r="N509" s="52">
        <v>0</v>
      </c>
      <c r="O509" s="52">
        <v>0</v>
      </c>
      <c r="P509" s="52">
        <v>0</v>
      </c>
      <c r="Q509" s="53">
        <v>0</v>
      </c>
      <c r="R509" s="52">
        <v>0</v>
      </c>
      <c r="S509" s="53">
        <v>0</v>
      </c>
      <c r="T509" s="52">
        <v>0</v>
      </c>
      <c r="U509" s="54">
        <v>0</v>
      </c>
    </row>
    <row r="510" spans="1:21" s="3" customFormat="1" ht="18" customHeight="1">
      <c r="A510" s="8" t="s">
        <v>590</v>
      </c>
      <c r="B510" s="52">
        <v>200</v>
      </c>
      <c r="C510" s="52">
        <v>34</v>
      </c>
      <c r="D510" s="52">
        <v>12</v>
      </c>
      <c r="E510" s="52">
        <v>88</v>
      </c>
      <c r="F510" s="52">
        <v>0</v>
      </c>
      <c r="G510" s="52">
        <v>0</v>
      </c>
      <c r="H510" s="52">
        <v>66</v>
      </c>
      <c r="I510" s="52">
        <v>0</v>
      </c>
      <c r="J510" s="52">
        <v>0</v>
      </c>
      <c r="K510" s="52">
        <v>0</v>
      </c>
      <c r="L510" s="52">
        <v>0</v>
      </c>
      <c r="M510" s="52">
        <v>0</v>
      </c>
      <c r="N510" s="52">
        <v>0</v>
      </c>
      <c r="O510" s="52">
        <v>0</v>
      </c>
      <c r="P510" s="52">
        <v>0</v>
      </c>
      <c r="Q510" s="53">
        <v>0.18000000999999999</v>
      </c>
      <c r="R510" s="52">
        <v>2</v>
      </c>
      <c r="S510" s="53">
        <v>0.18000000999999999</v>
      </c>
      <c r="T510" s="52">
        <v>0.66666669000000001</v>
      </c>
      <c r="U510" s="54">
        <v>0</v>
      </c>
    </row>
    <row r="511" spans="1:21" s="3" customFormat="1" ht="18" customHeight="1">
      <c r="A511" s="8" t="s">
        <v>591</v>
      </c>
      <c r="B511" s="52">
        <v>46</v>
      </c>
      <c r="C511" s="52">
        <v>0</v>
      </c>
      <c r="D511" s="52">
        <v>26</v>
      </c>
      <c r="E511" s="52">
        <v>0</v>
      </c>
      <c r="F511" s="52">
        <v>20</v>
      </c>
      <c r="G511" s="52">
        <v>0</v>
      </c>
      <c r="H511" s="52">
        <v>0</v>
      </c>
      <c r="I511" s="52">
        <v>0</v>
      </c>
      <c r="J511" s="52">
        <v>0</v>
      </c>
      <c r="K511" s="52">
        <v>0</v>
      </c>
      <c r="L511" s="52">
        <v>0</v>
      </c>
      <c r="M511" s="52">
        <v>0</v>
      </c>
      <c r="N511" s="52">
        <v>0</v>
      </c>
      <c r="O511" s="52">
        <v>0</v>
      </c>
      <c r="P511" s="52">
        <v>0</v>
      </c>
      <c r="Q511" s="53">
        <v>0.31999999000000001</v>
      </c>
      <c r="R511" s="52">
        <v>3</v>
      </c>
      <c r="S511" s="53">
        <v>4.0000020999999997E-2</v>
      </c>
      <c r="T511" s="52">
        <v>3.3333335000000002</v>
      </c>
      <c r="U511" s="54">
        <v>1</v>
      </c>
    </row>
    <row r="512" spans="1:21" s="3" customFormat="1" ht="18" customHeight="1">
      <c r="A512" s="8" t="s">
        <v>592</v>
      </c>
      <c r="B512" s="52">
        <v>70</v>
      </c>
      <c r="C512" s="52">
        <v>0</v>
      </c>
      <c r="D512" s="52">
        <v>0</v>
      </c>
      <c r="E512" s="52">
        <v>0</v>
      </c>
      <c r="F512" s="52">
        <v>0</v>
      </c>
      <c r="G512" s="52">
        <v>0</v>
      </c>
      <c r="H512" s="52">
        <v>0</v>
      </c>
      <c r="I512" s="52">
        <v>70</v>
      </c>
      <c r="J512" s="52">
        <v>0</v>
      </c>
      <c r="K512" s="52">
        <v>0</v>
      </c>
      <c r="L512" s="52">
        <v>0</v>
      </c>
      <c r="M512" s="52">
        <v>0</v>
      </c>
      <c r="N512" s="52">
        <v>0</v>
      </c>
      <c r="O512" s="52">
        <v>0</v>
      </c>
      <c r="P512" s="52">
        <v>0</v>
      </c>
      <c r="Q512" s="53">
        <v>9.9999997999999993E-3</v>
      </c>
      <c r="R512" s="52">
        <v>2</v>
      </c>
      <c r="S512" s="53">
        <v>0.35000002000000002</v>
      </c>
      <c r="T512" s="52">
        <v>2.0833335000000002</v>
      </c>
      <c r="U512" s="54">
        <v>1</v>
      </c>
    </row>
    <row r="513" spans="1:21" s="3" customFormat="1" ht="18" customHeight="1">
      <c r="A513" s="8" t="s">
        <v>593</v>
      </c>
      <c r="B513" s="52">
        <v>0</v>
      </c>
      <c r="C513" s="52">
        <v>0</v>
      </c>
      <c r="D513" s="52">
        <v>0</v>
      </c>
      <c r="E513" s="52">
        <v>0</v>
      </c>
      <c r="F513" s="52">
        <v>0</v>
      </c>
      <c r="G513" s="52">
        <v>0</v>
      </c>
      <c r="H513" s="52">
        <v>0</v>
      </c>
      <c r="I513" s="52">
        <v>0</v>
      </c>
      <c r="J513" s="52">
        <v>0</v>
      </c>
      <c r="K513" s="52">
        <v>0</v>
      </c>
      <c r="L513" s="52">
        <v>0</v>
      </c>
      <c r="M513" s="52">
        <v>0</v>
      </c>
      <c r="N513" s="52">
        <v>0</v>
      </c>
      <c r="O513" s="52">
        <v>0</v>
      </c>
      <c r="P513" s="52">
        <v>0</v>
      </c>
      <c r="Q513" s="53">
        <v>0</v>
      </c>
      <c r="R513" s="52">
        <v>0</v>
      </c>
      <c r="S513" s="53">
        <v>0</v>
      </c>
      <c r="T513" s="52">
        <v>0</v>
      </c>
      <c r="U513" s="54">
        <v>0</v>
      </c>
    </row>
    <row r="514" spans="1:21" s="3" customFormat="1" ht="18" customHeight="1">
      <c r="A514" s="8" t="s">
        <v>594</v>
      </c>
      <c r="B514" s="52">
        <v>200</v>
      </c>
      <c r="C514" s="52">
        <v>20</v>
      </c>
      <c r="D514" s="52">
        <v>20</v>
      </c>
      <c r="E514" s="52">
        <v>160</v>
      </c>
      <c r="F514" s="52">
        <v>0</v>
      </c>
      <c r="G514" s="52">
        <v>0</v>
      </c>
      <c r="H514" s="52">
        <v>0</v>
      </c>
      <c r="I514" s="52">
        <v>0</v>
      </c>
      <c r="J514" s="52">
        <v>0</v>
      </c>
      <c r="K514" s="52">
        <v>0</v>
      </c>
      <c r="L514" s="52">
        <v>0</v>
      </c>
      <c r="M514" s="52">
        <v>0</v>
      </c>
      <c r="N514" s="52">
        <v>0</v>
      </c>
      <c r="O514" s="52">
        <v>0</v>
      </c>
      <c r="P514" s="52">
        <v>0</v>
      </c>
      <c r="Q514" s="53">
        <v>0.2</v>
      </c>
      <c r="R514" s="52">
        <v>2</v>
      </c>
      <c r="S514" s="53">
        <v>0.19999998999999999</v>
      </c>
      <c r="T514" s="52">
        <v>1.1666666999999999</v>
      </c>
      <c r="U514" s="54">
        <v>0</v>
      </c>
    </row>
    <row r="515" spans="1:21" s="3" customFormat="1" ht="18" customHeight="1">
      <c r="A515" s="8" t="s">
        <v>595</v>
      </c>
      <c r="B515" s="52">
        <v>11.999999000000001</v>
      </c>
      <c r="C515" s="52">
        <v>1.2</v>
      </c>
      <c r="D515" s="52">
        <v>8.3999995999999992</v>
      </c>
      <c r="E515" s="52">
        <v>2.3999999000000001</v>
      </c>
      <c r="F515" s="52">
        <v>0</v>
      </c>
      <c r="G515" s="52">
        <v>0</v>
      </c>
      <c r="H515" s="52">
        <v>0</v>
      </c>
      <c r="I515" s="52">
        <v>0</v>
      </c>
      <c r="J515" s="52">
        <v>0</v>
      </c>
      <c r="K515" s="52">
        <v>0</v>
      </c>
      <c r="L515" s="52">
        <v>0</v>
      </c>
      <c r="M515" s="52">
        <v>0</v>
      </c>
      <c r="N515" s="52">
        <v>0</v>
      </c>
      <c r="O515" s="52">
        <v>0</v>
      </c>
      <c r="P515" s="52">
        <v>0</v>
      </c>
      <c r="Q515" s="53">
        <v>0.15000000999999999</v>
      </c>
      <c r="R515" s="52">
        <v>1.5</v>
      </c>
      <c r="S515" s="53">
        <v>5.0000012000000003E-2</v>
      </c>
      <c r="T515" s="52">
        <v>10.000000999999999</v>
      </c>
      <c r="U515" s="54">
        <v>1</v>
      </c>
    </row>
    <row r="516" spans="1:21" s="3" customFormat="1" ht="18" customHeight="1">
      <c r="A516" s="8" t="s">
        <v>596</v>
      </c>
      <c r="B516" s="52">
        <v>450</v>
      </c>
      <c r="C516" s="52">
        <v>0</v>
      </c>
      <c r="D516" s="52">
        <v>0</v>
      </c>
      <c r="E516" s="52">
        <v>0</v>
      </c>
      <c r="F516" s="52">
        <v>0</v>
      </c>
      <c r="G516" s="52">
        <v>0</v>
      </c>
      <c r="H516" s="52">
        <v>0</v>
      </c>
      <c r="I516" s="52">
        <v>0</v>
      </c>
      <c r="J516" s="52">
        <v>450</v>
      </c>
      <c r="K516" s="52">
        <v>0</v>
      </c>
      <c r="L516" s="52">
        <v>0</v>
      </c>
      <c r="M516" s="52">
        <v>0</v>
      </c>
      <c r="N516" s="52">
        <v>0</v>
      </c>
      <c r="O516" s="52">
        <v>0</v>
      </c>
      <c r="P516" s="52">
        <v>0</v>
      </c>
      <c r="Q516" s="53">
        <v>0.18000000999999999</v>
      </c>
      <c r="R516" s="52">
        <v>2.2000000000000002</v>
      </c>
      <c r="S516" s="53">
        <v>0.25999999000000001</v>
      </c>
      <c r="T516" s="52">
        <v>2</v>
      </c>
      <c r="U516" s="54">
        <v>1</v>
      </c>
    </row>
    <row r="517" spans="1:21" s="3" customFormat="1" ht="18" customHeight="1">
      <c r="A517" s="8" t="s">
        <v>597</v>
      </c>
      <c r="B517" s="52">
        <v>10</v>
      </c>
      <c r="C517" s="52">
        <v>1</v>
      </c>
      <c r="D517" s="52">
        <v>8.5</v>
      </c>
      <c r="E517" s="52">
        <v>0.49999951999999998</v>
      </c>
      <c r="F517" s="52">
        <v>0</v>
      </c>
      <c r="G517" s="52">
        <v>0</v>
      </c>
      <c r="H517" s="52">
        <v>0</v>
      </c>
      <c r="I517" s="52">
        <v>0</v>
      </c>
      <c r="J517" s="52">
        <v>0</v>
      </c>
      <c r="K517" s="52">
        <v>0</v>
      </c>
      <c r="L517" s="52">
        <v>0</v>
      </c>
      <c r="M517" s="52">
        <v>0</v>
      </c>
      <c r="N517" s="52">
        <v>0</v>
      </c>
      <c r="O517" s="52">
        <v>0</v>
      </c>
      <c r="P517" s="52">
        <v>0</v>
      </c>
      <c r="Q517" s="53">
        <v>5.0000001000000002E-2</v>
      </c>
      <c r="R517" s="52">
        <v>2</v>
      </c>
      <c r="S517" s="53">
        <v>0.10000002</v>
      </c>
      <c r="T517" s="52">
        <v>1.6071428000000001</v>
      </c>
      <c r="U517" s="54">
        <v>1</v>
      </c>
    </row>
    <row r="518" spans="1:21" s="3" customFormat="1" ht="18" customHeight="1">
      <c r="A518" s="8" t="s">
        <v>598</v>
      </c>
      <c r="B518" s="52">
        <v>133</v>
      </c>
      <c r="C518" s="52">
        <v>13.3</v>
      </c>
      <c r="D518" s="52">
        <v>13.3</v>
      </c>
      <c r="E518" s="52">
        <v>106.4</v>
      </c>
      <c r="F518" s="52">
        <v>0</v>
      </c>
      <c r="G518" s="52">
        <v>0</v>
      </c>
      <c r="H518" s="52">
        <v>0</v>
      </c>
      <c r="I518" s="52">
        <v>0</v>
      </c>
      <c r="J518" s="52">
        <v>0</v>
      </c>
      <c r="K518" s="52">
        <v>0</v>
      </c>
      <c r="L518" s="52">
        <v>0</v>
      </c>
      <c r="M518" s="52">
        <v>0</v>
      </c>
      <c r="N518" s="52">
        <v>0</v>
      </c>
      <c r="O518" s="52">
        <v>0</v>
      </c>
      <c r="P518" s="52">
        <v>0</v>
      </c>
      <c r="Q518" s="53">
        <v>0.25</v>
      </c>
      <c r="R518" s="52">
        <v>3</v>
      </c>
      <c r="S518" s="53">
        <v>0.25</v>
      </c>
      <c r="T518" s="52">
        <v>1</v>
      </c>
      <c r="U518" s="54">
        <v>0</v>
      </c>
    </row>
    <row r="519" spans="1:21" s="3" customFormat="1" ht="18" customHeight="1">
      <c r="A519" s="8" t="s">
        <v>599</v>
      </c>
      <c r="B519" s="52">
        <v>110</v>
      </c>
      <c r="C519" s="52">
        <v>49.5</v>
      </c>
      <c r="D519" s="52">
        <v>30.25</v>
      </c>
      <c r="E519" s="52">
        <v>30.249998000000001</v>
      </c>
      <c r="F519" s="52">
        <v>0</v>
      </c>
      <c r="G519" s="52">
        <v>0</v>
      </c>
      <c r="H519" s="52">
        <v>0</v>
      </c>
      <c r="I519" s="52">
        <v>0</v>
      </c>
      <c r="J519" s="52">
        <v>0</v>
      </c>
      <c r="K519" s="52">
        <v>0</v>
      </c>
      <c r="L519" s="52">
        <v>0</v>
      </c>
      <c r="M519" s="52">
        <v>0</v>
      </c>
      <c r="N519" s="52">
        <v>0</v>
      </c>
      <c r="O519" s="52">
        <v>0</v>
      </c>
      <c r="P519" s="52">
        <v>0</v>
      </c>
      <c r="Q519" s="53">
        <v>0.30000000999999998</v>
      </c>
      <c r="R519" s="52">
        <v>2.2000000000000002</v>
      </c>
      <c r="S519" s="53">
        <v>0.24000001000000001</v>
      </c>
      <c r="T519" s="52">
        <v>12.500000999999999</v>
      </c>
      <c r="U519" s="54">
        <v>1</v>
      </c>
    </row>
    <row r="520" spans="1:21" s="3" customFormat="1" ht="18" customHeight="1">
      <c r="A520" s="8" t="s">
        <v>600</v>
      </c>
      <c r="B520" s="52">
        <v>23.000001999999999</v>
      </c>
      <c r="C520" s="52">
        <v>17.25</v>
      </c>
      <c r="D520" s="52">
        <v>3.45</v>
      </c>
      <c r="E520" s="52">
        <v>2.3000007</v>
      </c>
      <c r="F520" s="52">
        <v>0</v>
      </c>
      <c r="G520" s="52">
        <v>0</v>
      </c>
      <c r="H520" s="52">
        <v>0</v>
      </c>
      <c r="I520" s="52">
        <v>0</v>
      </c>
      <c r="J520" s="52">
        <v>0</v>
      </c>
      <c r="K520" s="52">
        <v>0</v>
      </c>
      <c r="L520" s="52">
        <v>0</v>
      </c>
      <c r="M520" s="52">
        <v>0</v>
      </c>
      <c r="N520" s="52">
        <v>0</v>
      </c>
      <c r="O520" s="52">
        <v>0</v>
      </c>
      <c r="P520" s="52">
        <v>0</v>
      </c>
      <c r="Q520" s="53">
        <v>0.30000000999999998</v>
      </c>
      <c r="R520" s="52">
        <v>2.2999999999999998</v>
      </c>
      <c r="S520" s="53">
        <v>0.14999998</v>
      </c>
      <c r="T520" s="52">
        <v>14.166667</v>
      </c>
      <c r="U520" s="54">
        <v>1</v>
      </c>
    </row>
    <row r="521" spans="1:21" s="3" customFormat="1" ht="18" customHeight="1">
      <c r="A521" s="8" t="s">
        <v>601</v>
      </c>
      <c r="B521" s="52">
        <v>15</v>
      </c>
      <c r="C521" s="52">
        <v>6</v>
      </c>
      <c r="D521" s="52">
        <v>4.9999947999999996</v>
      </c>
      <c r="E521" s="52">
        <v>4.0000052000000004</v>
      </c>
      <c r="F521" s="52">
        <v>0</v>
      </c>
      <c r="G521" s="52">
        <v>0</v>
      </c>
      <c r="H521" s="52">
        <v>0</v>
      </c>
      <c r="I521" s="52">
        <v>0</v>
      </c>
      <c r="J521" s="52">
        <v>0</v>
      </c>
      <c r="K521" s="52">
        <v>0</v>
      </c>
      <c r="L521" s="52">
        <v>0</v>
      </c>
      <c r="M521" s="52">
        <v>0</v>
      </c>
      <c r="N521" s="52">
        <v>0</v>
      </c>
      <c r="O521" s="52">
        <v>0</v>
      </c>
      <c r="P521" s="52">
        <v>0</v>
      </c>
      <c r="Q521" s="53">
        <v>0.25</v>
      </c>
      <c r="R521" s="52">
        <v>2.5</v>
      </c>
      <c r="S521" s="53">
        <v>0.20999998</v>
      </c>
      <c r="T521" s="52">
        <v>21.666668000000001</v>
      </c>
      <c r="U521" s="54">
        <v>1</v>
      </c>
    </row>
    <row r="522" spans="1:21" s="3" customFormat="1" ht="18" customHeight="1">
      <c r="A522" s="8" t="s">
        <v>602</v>
      </c>
      <c r="B522" s="52">
        <v>187</v>
      </c>
      <c r="C522" s="52">
        <v>74.800003000000004</v>
      </c>
      <c r="D522" s="52">
        <v>18.700001</v>
      </c>
      <c r="E522" s="52">
        <v>93.5</v>
      </c>
      <c r="F522" s="52">
        <v>0</v>
      </c>
      <c r="G522" s="52">
        <v>0</v>
      </c>
      <c r="H522" s="52">
        <v>0</v>
      </c>
      <c r="I522" s="52">
        <v>0</v>
      </c>
      <c r="J522" s="52">
        <v>0</v>
      </c>
      <c r="K522" s="52">
        <v>0</v>
      </c>
      <c r="L522" s="52">
        <v>0</v>
      </c>
      <c r="M522" s="52">
        <v>0</v>
      </c>
      <c r="N522" s="52">
        <v>0</v>
      </c>
      <c r="O522" s="52">
        <v>0</v>
      </c>
      <c r="P522" s="52">
        <v>0</v>
      </c>
      <c r="Q522" s="53">
        <v>0.20999999</v>
      </c>
      <c r="R522" s="52">
        <v>2.9000001000000002</v>
      </c>
      <c r="S522" s="53">
        <v>0.37</v>
      </c>
      <c r="T522" s="52">
        <v>1.6666666999999999</v>
      </c>
      <c r="U522" s="54">
        <v>1</v>
      </c>
    </row>
    <row r="523" spans="1:21" s="3" customFormat="1" ht="18" customHeight="1">
      <c r="A523" s="8" t="s">
        <v>603</v>
      </c>
      <c r="B523" s="52">
        <v>66</v>
      </c>
      <c r="C523" s="52">
        <v>56</v>
      </c>
      <c r="D523" s="52">
        <v>0</v>
      </c>
      <c r="E523" s="52">
        <v>0</v>
      </c>
      <c r="F523" s="52">
        <v>0</v>
      </c>
      <c r="G523" s="52">
        <v>10</v>
      </c>
      <c r="H523" s="52">
        <v>0</v>
      </c>
      <c r="I523" s="52">
        <v>0</v>
      </c>
      <c r="J523" s="52">
        <v>0</v>
      </c>
      <c r="K523" s="52">
        <v>0</v>
      </c>
      <c r="L523" s="52">
        <v>0</v>
      </c>
      <c r="M523" s="52">
        <v>0</v>
      </c>
      <c r="N523" s="52">
        <v>0</v>
      </c>
      <c r="O523" s="52">
        <v>0</v>
      </c>
      <c r="P523" s="52">
        <v>0</v>
      </c>
      <c r="Q523" s="53">
        <v>0.5</v>
      </c>
      <c r="R523" s="52">
        <v>2.8</v>
      </c>
      <c r="S523" s="53">
        <v>0.15999996999999999</v>
      </c>
      <c r="T523" s="52">
        <v>1</v>
      </c>
      <c r="U523" s="54">
        <v>1</v>
      </c>
    </row>
    <row r="524" spans="1:21" s="3" customFormat="1" ht="18" customHeight="1">
      <c r="A524" s="8" t="s">
        <v>604</v>
      </c>
      <c r="B524" s="52">
        <v>193</v>
      </c>
      <c r="C524" s="52">
        <v>28.950001</v>
      </c>
      <c r="D524" s="52">
        <v>28.950001</v>
      </c>
      <c r="E524" s="52">
        <v>135.09998999999999</v>
      </c>
      <c r="F524" s="52">
        <v>0</v>
      </c>
      <c r="G524" s="52">
        <v>0</v>
      </c>
      <c r="H524" s="52">
        <v>0</v>
      </c>
      <c r="I524" s="52">
        <v>0</v>
      </c>
      <c r="J524" s="52">
        <v>0</v>
      </c>
      <c r="K524" s="52">
        <v>0</v>
      </c>
      <c r="L524" s="52">
        <v>0</v>
      </c>
      <c r="M524" s="52">
        <v>0</v>
      </c>
      <c r="N524" s="52">
        <v>0</v>
      </c>
      <c r="O524" s="52">
        <v>0</v>
      </c>
      <c r="P524" s="52">
        <v>0</v>
      </c>
      <c r="Q524" s="53">
        <v>0.15000000999999999</v>
      </c>
      <c r="R524" s="52">
        <v>1.9</v>
      </c>
      <c r="S524" s="53">
        <v>0.31</v>
      </c>
      <c r="T524" s="52">
        <v>0.91666669000000001</v>
      </c>
      <c r="U524" s="54">
        <v>0</v>
      </c>
    </row>
    <row r="525" spans="1:21" s="3" customFormat="1" ht="18" customHeight="1">
      <c r="A525" s="8" t="s">
        <v>605</v>
      </c>
      <c r="B525" s="52">
        <v>150</v>
      </c>
      <c r="C525" s="52">
        <v>105</v>
      </c>
      <c r="D525" s="52">
        <v>22.5</v>
      </c>
      <c r="E525" s="52">
        <v>22.499995999999999</v>
      </c>
      <c r="F525" s="52">
        <v>0</v>
      </c>
      <c r="G525" s="52">
        <v>0</v>
      </c>
      <c r="H525" s="52">
        <v>0</v>
      </c>
      <c r="I525" s="52">
        <v>0</v>
      </c>
      <c r="J525" s="52">
        <v>0</v>
      </c>
      <c r="K525" s="52">
        <v>0</v>
      </c>
      <c r="L525" s="52">
        <v>0</v>
      </c>
      <c r="M525" s="52">
        <v>0</v>
      </c>
      <c r="N525" s="52">
        <v>0</v>
      </c>
      <c r="O525" s="52">
        <v>0</v>
      </c>
      <c r="P525" s="52">
        <v>0</v>
      </c>
      <c r="Q525" s="53">
        <v>0.25</v>
      </c>
      <c r="R525" s="52">
        <v>2</v>
      </c>
      <c r="S525" s="53">
        <v>0.30000000999999998</v>
      </c>
      <c r="T525" s="52">
        <v>1.3333333999999999</v>
      </c>
      <c r="U525" s="54">
        <v>0</v>
      </c>
    </row>
    <row r="526" spans="1:21" s="3" customFormat="1" ht="18" customHeight="1">
      <c r="A526" s="8" t="s">
        <v>606</v>
      </c>
      <c r="B526" s="52">
        <v>250</v>
      </c>
      <c r="C526" s="52">
        <v>82</v>
      </c>
      <c r="D526" s="52">
        <v>0</v>
      </c>
      <c r="E526" s="52">
        <v>44</v>
      </c>
      <c r="F526" s="52">
        <v>0</v>
      </c>
      <c r="G526" s="52">
        <v>0</v>
      </c>
      <c r="H526" s="52">
        <v>124</v>
      </c>
      <c r="I526" s="52">
        <v>0</v>
      </c>
      <c r="J526" s="52">
        <v>0</v>
      </c>
      <c r="K526" s="52">
        <v>0</v>
      </c>
      <c r="L526" s="52">
        <v>0</v>
      </c>
      <c r="M526" s="52">
        <v>0</v>
      </c>
      <c r="N526" s="52">
        <v>0</v>
      </c>
      <c r="O526" s="52">
        <v>0</v>
      </c>
      <c r="P526" s="52">
        <v>0</v>
      </c>
      <c r="Q526" s="53">
        <v>0.30000000999999998</v>
      </c>
      <c r="R526" s="52">
        <v>2.2000000000000002</v>
      </c>
      <c r="S526" s="53">
        <v>0.19999998999999999</v>
      </c>
      <c r="T526" s="52">
        <v>1</v>
      </c>
      <c r="U526" s="54">
        <v>0</v>
      </c>
    </row>
    <row r="527" spans="1:21" s="3" customFormat="1" ht="18" customHeight="1">
      <c r="A527" s="8" t="s">
        <v>607</v>
      </c>
      <c r="B527" s="52">
        <v>170</v>
      </c>
      <c r="C527" s="52">
        <v>25.500001999999999</v>
      </c>
      <c r="D527" s="52">
        <v>25.500001999999999</v>
      </c>
      <c r="E527" s="52">
        <v>119</v>
      </c>
      <c r="F527" s="52">
        <v>0</v>
      </c>
      <c r="G527" s="52">
        <v>0</v>
      </c>
      <c r="H527" s="52">
        <v>0</v>
      </c>
      <c r="I527" s="52">
        <v>0</v>
      </c>
      <c r="J527" s="52">
        <v>0</v>
      </c>
      <c r="K527" s="52">
        <v>0</v>
      </c>
      <c r="L527" s="52">
        <v>0</v>
      </c>
      <c r="M527" s="52">
        <v>0</v>
      </c>
      <c r="N527" s="52">
        <v>0</v>
      </c>
      <c r="O527" s="52">
        <v>0</v>
      </c>
      <c r="P527" s="52">
        <v>0</v>
      </c>
      <c r="Q527" s="53">
        <v>0.28000000000000003</v>
      </c>
      <c r="R527" s="52">
        <v>2.2000000000000002</v>
      </c>
      <c r="S527" s="53">
        <v>0.15999996999999999</v>
      </c>
      <c r="T527" s="52">
        <v>1</v>
      </c>
      <c r="U527" s="54">
        <v>0</v>
      </c>
    </row>
    <row r="528" spans="1:21" s="3" customFormat="1" ht="18" customHeight="1">
      <c r="A528" s="8" t="s">
        <v>608</v>
      </c>
      <c r="B528" s="52">
        <v>38</v>
      </c>
      <c r="C528" s="52">
        <v>7.5999999000000003</v>
      </c>
      <c r="D528" s="52">
        <v>30.4</v>
      </c>
      <c r="E528" s="52">
        <v>0</v>
      </c>
      <c r="F528" s="52">
        <v>0</v>
      </c>
      <c r="G528" s="52">
        <v>0</v>
      </c>
      <c r="H528" s="52">
        <v>0</v>
      </c>
      <c r="I528" s="52">
        <v>0</v>
      </c>
      <c r="J528" s="52">
        <v>0</v>
      </c>
      <c r="K528" s="52">
        <v>0</v>
      </c>
      <c r="L528" s="52">
        <v>0</v>
      </c>
      <c r="M528" s="52">
        <v>0</v>
      </c>
      <c r="N528" s="52">
        <v>0</v>
      </c>
      <c r="O528" s="52">
        <v>0</v>
      </c>
      <c r="P528" s="52">
        <v>0</v>
      </c>
      <c r="Q528" s="53">
        <v>0.1</v>
      </c>
      <c r="R528" s="52">
        <v>2</v>
      </c>
      <c r="S528" s="53">
        <v>0.24000001000000001</v>
      </c>
      <c r="T528" s="52">
        <v>7.0833335000000002</v>
      </c>
      <c r="U528" s="54">
        <v>1</v>
      </c>
    </row>
    <row r="529" spans="1:21" s="3" customFormat="1" ht="18" customHeight="1">
      <c r="A529" s="8" t="s">
        <v>609</v>
      </c>
      <c r="B529" s="52">
        <v>27</v>
      </c>
      <c r="C529" s="52">
        <v>2.97</v>
      </c>
      <c r="D529" s="52">
        <v>12.69</v>
      </c>
      <c r="E529" s="52">
        <v>11.34</v>
      </c>
      <c r="F529" s="52">
        <v>0</v>
      </c>
      <c r="G529" s="52">
        <v>0</v>
      </c>
      <c r="H529" s="52">
        <v>0</v>
      </c>
      <c r="I529" s="52">
        <v>0</v>
      </c>
      <c r="J529" s="52">
        <v>0</v>
      </c>
      <c r="K529" s="52">
        <v>0</v>
      </c>
      <c r="L529" s="52">
        <v>0</v>
      </c>
      <c r="M529" s="52">
        <v>0</v>
      </c>
      <c r="N529" s="52">
        <v>0</v>
      </c>
      <c r="O529" s="52">
        <v>0</v>
      </c>
      <c r="P529" s="52">
        <v>0</v>
      </c>
      <c r="Q529" s="53">
        <v>0.23</v>
      </c>
      <c r="R529" s="52">
        <v>1.9</v>
      </c>
      <c r="S529" s="53">
        <v>0.23000002</v>
      </c>
      <c r="T529" s="52">
        <v>8.8333340000000007</v>
      </c>
      <c r="U529" s="54">
        <v>1</v>
      </c>
    </row>
    <row r="530" spans="1:21" s="3" customFormat="1" ht="18" customHeight="1">
      <c r="A530" s="8" t="s">
        <v>610</v>
      </c>
      <c r="B530" s="52">
        <v>394</v>
      </c>
      <c r="C530" s="52">
        <v>59.100002000000003</v>
      </c>
      <c r="D530" s="52">
        <v>59.100002000000003</v>
      </c>
      <c r="E530" s="52">
        <v>275.79998999999998</v>
      </c>
      <c r="F530" s="52">
        <v>0</v>
      </c>
      <c r="G530" s="52">
        <v>0</v>
      </c>
      <c r="H530" s="52">
        <v>0</v>
      </c>
      <c r="I530" s="52">
        <v>0</v>
      </c>
      <c r="J530" s="52">
        <v>0</v>
      </c>
      <c r="K530" s="52">
        <v>0</v>
      </c>
      <c r="L530" s="52">
        <v>0</v>
      </c>
      <c r="M530" s="52">
        <v>0</v>
      </c>
      <c r="N530" s="52">
        <v>0</v>
      </c>
      <c r="O530" s="52">
        <v>0</v>
      </c>
      <c r="P530" s="52">
        <v>0</v>
      </c>
      <c r="Q530" s="53">
        <v>0.30000000999999998</v>
      </c>
      <c r="R530" s="52">
        <v>2</v>
      </c>
      <c r="S530" s="53">
        <v>0.19999998999999999</v>
      </c>
      <c r="T530" s="52">
        <v>1</v>
      </c>
      <c r="U530" s="54">
        <v>0</v>
      </c>
    </row>
    <row r="531" spans="1:21" s="3" customFormat="1" ht="18" customHeight="1">
      <c r="A531" s="8" t="s">
        <v>611</v>
      </c>
      <c r="B531" s="52">
        <v>279</v>
      </c>
      <c r="C531" s="52">
        <v>103.23</v>
      </c>
      <c r="D531" s="52">
        <v>30.690000999999999</v>
      </c>
      <c r="E531" s="52">
        <v>145.08000000000001</v>
      </c>
      <c r="F531" s="52">
        <v>0</v>
      </c>
      <c r="G531" s="52">
        <v>0</v>
      </c>
      <c r="H531" s="52">
        <v>0</v>
      </c>
      <c r="I531" s="52">
        <v>0</v>
      </c>
      <c r="J531" s="52">
        <v>0</v>
      </c>
      <c r="K531" s="52">
        <v>0</v>
      </c>
      <c r="L531" s="52">
        <v>0</v>
      </c>
      <c r="M531" s="52">
        <v>0</v>
      </c>
      <c r="N531" s="52">
        <v>0</v>
      </c>
      <c r="O531" s="52">
        <v>0</v>
      </c>
      <c r="P531" s="52">
        <v>0</v>
      </c>
      <c r="Q531" s="53">
        <v>7.0000000000000007E-2</v>
      </c>
      <c r="R531" s="52">
        <v>1.9</v>
      </c>
      <c r="S531" s="53">
        <v>0.43000000999999999</v>
      </c>
      <c r="T531" s="52">
        <v>1</v>
      </c>
      <c r="U531" s="54">
        <v>1</v>
      </c>
    </row>
    <row r="532" spans="1:21" s="3" customFormat="1" ht="18" customHeight="1">
      <c r="A532" s="8" t="s">
        <v>612</v>
      </c>
      <c r="B532" s="52">
        <v>0</v>
      </c>
      <c r="C532" s="52">
        <v>0</v>
      </c>
      <c r="D532" s="52">
        <v>0</v>
      </c>
      <c r="E532" s="52">
        <v>0</v>
      </c>
      <c r="F532" s="52">
        <v>0</v>
      </c>
      <c r="G532" s="52">
        <v>0</v>
      </c>
      <c r="H532" s="52">
        <v>0</v>
      </c>
      <c r="I532" s="52">
        <v>0</v>
      </c>
      <c r="J532" s="52">
        <v>0</v>
      </c>
      <c r="K532" s="52">
        <v>0</v>
      </c>
      <c r="L532" s="52">
        <v>0</v>
      </c>
      <c r="M532" s="52">
        <v>0</v>
      </c>
      <c r="N532" s="52">
        <v>0</v>
      </c>
      <c r="O532" s="52">
        <v>0</v>
      </c>
      <c r="P532" s="52">
        <v>0</v>
      </c>
      <c r="Q532" s="53">
        <v>0</v>
      </c>
      <c r="R532" s="52">
        <v>0</v>
      </c>
      <c r="S532" s="53">
        <v>0</v>
      </c>
      <c r="T532" s="52">
        <v>0</v>
      </c>
      <c r="U532" s="54">
        <v>0</v>
      </c>
    </row>
    <row r="533" spans="1:21" s="3" customFormat="1" ht="18" customHeight="1">
      <c r="A533" s="8" t="s">
        <v>613</v>
      </c>
      <c r="B533" s="52">
        <v>128</v>
      </c>
      <c r="C533" s="52">
        <v>52</v>
      </c>
      <c r="D533" s="52">
        <v>0</v>
      </c>
      <c r="E533" s="52">
        <v>0</v>
      </c>
      <c r="F533" s="52">
        <v>0</v>
      </c>
      <c r="G533" s="52">
        <v>0</v>
      </c>
      <c r="H533" s="52">
        <v>76</v>
      </c>
      <c r="I533" s="52">
        <v>0</v>
      </c>
      <c r="J533" s="52">
        <v>0</v>
      </c>
      <c r="K533" s="52">
        <v>0</v>
      </c>
      <c r="L533" s="52">
        <v>0</v>
      </c>
      <c r="M533" s="52">
        <v>0</v>
      </c>
      <c r="N533" s="52">
        <v>0</v>
      </c>
      <c r="O533" s="52">
        <v>0</v>
      </c>
      <c r="P533" s="52">
        <v>0</v>
      </c>
      <c r="Q533" s="53">
        <v>0.14000000000000001</v>
      </c>
      <c r="R533" s="52">
        <v>2</v>
      </c>
      <c r="S533" s="53">
        <v>0.15999996999999999</v>
      </c>
      <c r="T533" s="52">
        <v>1</v>
      </c>
      <c r="U533" s="54">
        <v>0</v>
      </c>
    </row>
    <row r="534" spans="1:21" s="3" customFormat="1" ht="18" customHeight="1">
      <c r="A534" s="8" t="s">
        <v>614</v>
      </c>
      <c r="B534" s="52">
        <v>198</v>
      </c>
      <c r="C534" s="52">
        <v>80</v>
      </c>
      <c r="D534" s="52">
        <v>0</v>
      </c>
      <c r="E534" s="52">
        <v>0</v>
      </c>
      <c r="F534" s="52">
        <v>0</v>
      </c>
      <c r="G534" s="52">
        <v>0</v>
      </c>
      <c r="H534" s="52">
        <v>118</v>
      </c>
      <c r="I534" s="52">
        <v>0</v>
      </c>
      <c r="J534" s="52">
        <v>0</v>
      </c>
      <c r="K534" s="52">
        <v>0</v>
      </c>
      <c r="L534" s="52">
        <v>0</v>
      </c>
      <c r="M534" s="52">
        <v>0</v>
      </c>
      <c r="N534" s="52">
        <v>0</v>
      </c>
      <c r="O534" s="52">
        <v>0</v>
      </c>
      <c r="P534" s="52">
        <v>0</v>
      </c>
      <c r="Q534" s="53">
        <v>0.14000000000000001</v>
      </c>
      <c r="R534" s="52">
        <v>2</v>
      </c>
      <c r="S534" s="53">
        <v>0.31999999000000001</v>
      </c>
      <c r="T534" s="52">
        <v>1</v>
      </c>
      <c r="U534" s="54">
        <v>0</v>
      </c>
    </row>
    <row r="535" spans="1:21" s="3" customFormat="1" ht="18" customHeight="1">
      <c r="A535" s="8" t="s">
        <v>615</v>
      </c>
      <c r="B535" s="52">
        <v>290</v>
      </c>
      <c r="C535" s="52">
        <v>193.00002000000001</v>
      </c>
      <c r="D535" s="52">
        <v>0</v>
      </c>
      <c r="E535" s="52">
        <v>0</v>
      </c>
      <c r="F535" s="52">
        <v>0</v>
      </c>
      <c r="G535" s="52">
        <v>0</v>
      </c>
      <c r="H535" s="52">
        <v>0</v>
      </c>
      <c r="I535" s="52">
        <v>0</v>
      </c>
      <c r="J535" s="52">
        <v>0</v>
      </c>
      <c r="K535" s="52">
        <v>0</v>
      </c>
      <c r="L535" s="52">
        <v>0</v>
      </c>
      <c r="M535" s="52">
        <v>0</v>
      </c>
      <c r="N535" s="52">
        <v>97</v>
      </c>
      <c r="O535" s="52">
        <v>0</v>
      </c>
      <c r="P535" s="52">
        <v>0</v>
      </c>
      <c r="Q535" s="53">
        <v>0.19</v>
      </c>
      <c r="R535" s="52">
        <v>2.2999999999999998</v>
      </c>
      <c r="S535" s="53">
        <v>0.33000003999999999</v>
      </c>
      <c r="T535" s="52">
        <v>0.91666669000000001</v>
      </c>
      <c r="U535" s="54">
        <v>0</v>
      </c>
    </row>
    <row r="536" spans="1:21" s="3" customFormat="1" ht="18" customHeight="1">
      <c r="A536" s="8" t="s">
        <v>616</v>
      </c>
      <c r="B536" s="52">
        <v>284</v>
      </c>
      <c r="C536" s="52">
        <v>139</v>
      </c>
      <c r="D536" s="52">
        <v>0</v>
      </c>
      <c r="E536" s="52">
        <v>0</v>
      </c>
      <c r="F536" s="52">
        <v>0</v>
      </c>
      <c r="G536" s="52">
        <v>0</v>
      </c>
      <c r="H536" s="52">
        <v>0</v>
      </c>
      <c r="I536" s="52">
        <v>0</v>
      </c>
      <c r="J536" s="52">
        <v>0</v>
      </c>
      <c r="K536" s="52">
        <v>0</v>
      </c>
      <c r="L536" s="52">
        <v>0</v>
      </c>
      <c r="M536" s="52">
        <v>0</v>
      </c>
      <c r="N536" s="52">
        <v>145</v>
      </c>
      <c r="O536" s="52">
        <v>0</v>
      </c>
      <c r="P536" s="52">
        <v>0</v>
      </c>
      <c r="Q536" s="53">
        <v>0.13</v>
      </c>
      <c r="R536" s="52">
        <v>1.5</v>
      </c>
      <c r="S536" s="53">
        <v>0.26999997999999997</v>
      </c>
      <c r="T536" s="52">
        <v>0.83333336999999996</v>
      </c>
      <c r="U536" s="54">
        <v>0</v>
      </c>
    </row>
    <row r="537" spans="1:21" s="3" customFormat="1" ht="18" customHeight="1">
      <c r="A537" s="8" t="s">
        <v>617</v>
      </c>
      <c r="B537" s="52">
        <v>22</v>
      </c>
      <c r="C537" s="52">
        <v>2.2000000000000002</v>
      </c>
      <c r="D537" s="52">
        <v>2.2000000000000002</v>
      </c>
      <c r="E537" s="52">
        <v>17.600000000000001</v>
      </c>
      <c r="F537" s="52">
        <v>0</v>
      </c>
      <c r="G537" s="52">
        <v>0</v>
      </c>
      <c r="H537" s="52">
        <v>0</v>
      </c>
      <c r="I537" s="52">
        <v>0</v>
      </c>
      <c r="J537" s="52">
        <v>0</v>
      </c>
      <c r="K537" s="52">
        <v>0</v>
      </c>
      <c r="L537" s="52">
        <v>0</v>
      </c>
      <c r="M537" s="52">
        <v>0</v>
      </c>
      <c r="N537" s="52">
        <v>0</v>
      </c>
      <c r="O537" s="52">
        <v>0</v>
      </c>
      <c r="P537" s="52">
        <v>0</v>
      </c>
      <c r="Q537" s="53">
        <v>0.2</v>
      </c>
      <c r="R537" s="52">
        <v>2</v>
      </c>
      <c r="S537" s="53">
        <v>2.4999976E-2</v>
      </c>
      <c r="T537" s="52">
        <v>4.1666670000000003</v>
      </c>
      <c r="U537" s="54">
        <v>12</v>
      </c>
    </row>
    <row r="538" spans="1:21" s="3" customFormat="1" ht="18" customHeight="1">
      <c r="A538" s="8" t="s">
        <v>618</v>
      </c>
      <c r="B538" s="52">
        <v>24</v>
      </c>
      <c r="C538" s="52">
        <v>1.92</v>
      </c>
      <c r="D538" s="52">
        <v>1.92</v>
      </c>
      <c r="E538" s="52">
        <v>20.16</v>
      </c>
      <c r="F538" s="52">
        <v>0</v>
      </c>
      <c r="G538" s="52">
        <v>0</v>
      </c>
      <c r="H538" s="52">
        <v>0</v>
      </c>
      <c r="I538" s="52">
        <v>0</v>
      </c>
      <c r="J538" s="52">
        <v>0</v>
      </c>
      <c r="K538" s="52">
        <v>0</v>
      </c>
      <c r="L538" s="52">
        <v>0</v>
      </c>
      <c r="M538" s="52">
        <v>0</v>
      </c>
      <c r="N538" s="52">
        <v>0</v>
      </c>
      <c r="O538" s="52">
        <v>0</v>
      </c>
      <c r="P538" s="52">
        <v>0</v>
      </c>
      <c r="Q538" s="53">
        <v>0.23999999</v>
      </c>
      <c r="R538" s="52">
        <v>2.2000000000000002</v>
      </c>
      <c r="S538" s="53">
        <v>3.6000012999999997E-2</v>
      </c>
      <c r="T538" s="52">
        <v>4</v>
      </c>
      <c r="U538" s="54">
        <v>10</v>
      </c>
    </row>
    <row r="539" spans="1:21" s="3" customFormat="1" ht="18" customHeight="1">
      <c r="A539" s="8" t="s">
        <v>14</v>
      </c>
      <c r="B539" s="52">
        <v>10</v>
      </c>
      <c r="C539" s="52">
        <v>0</v>
      </c>
      <c r="D539" s="52">
        <v>0</v>
      </c>
      <c r="E539" s="52">
        <v>0</v>
      </c>
      <c r="F539" s="52">
        <v>0</v>
      </c>
      <c r="G539" s="52">
        <v>0</v>
      </c>
      <c r="H539" s="52">
        <v>10</v>
      </c>
      <c r="I539" s="52">
        <v>0</v>
      </c>
      <c r="J539" s="52">
        <v>0</v>
      </c>
      <c r="K539" s="52">
        <v>0</v>
      </c>
      <c r="L539" s="52">
        <v>0</v>
      </c>
      <c r="M539" s="52">
        <v>0</v>
      </c>
      <c r="N539" s="52">
        <v>0</v>
      </c>
      <c r="O539" s="52">
        <v>0</v>
      </c>
      <c r="P539" s="52">
        <v>0</v>
      </c>
      <c r="Q539" s="53">
        <v>0.16</v>
      </c>
      <c r="R539" s="52">
        <v>2.2000000000000002</v>
      </c>
      <c r="S539" s="53">
        <v>0.24000001000000001</v>
      </c>
      <c r="T539" s="52">
        <v>12.000000999999999</v>
      </c>
      <c r="U539" s="54">
        <v>2</v>
      </c>
    </row>
    <row r="540" spans="1:21" s="3" customFormat="1" ht="18" customHeight="1">
      <c r="A540" s="8" t="s">
        <v>619</v>
      </c>
      <c r="B540" s="52">
        <v>13</v>
      </c>
      <c r="C540" s="52">
        <v>0</v>
      </c>
      <c r="D540" s="52">
        <v>0</v>
      </c>
      <c r="E540" s="52">
        <v>0</v>
      </c>
      <c r="F540" s="52">
        <v>0</v>
      </c>
      <c r="G540" s="52">
        <v>0</v>
      </c>
      <c r="H540" s="52">
        <v>13</v>
      </c>
      <c r="I540" s="52">
        <v>0</v>
      </c>
      <c r="J540" s="52">
        <v>0</v>
      </c>
      <c r="K540" s="52">
        <v>0</v>
      </c>
      <c r="L540" s="52">
        <v>0</v>
      </c>
      <c r="M540" s="52">
        <v>0</v>
      </c>
      <c r="N540" s="52">
        <v>0</v>
      </c>
      <c r="O540" s="52">
        <v>0</v>
      </c>
      <c r="P540" s="52">
        <v>0</v>
      </c>
      <c r="Q540" s="53">
        <v>0.22</v>
      </c>
      <c r="R540" s="52">
        <v>2.4000001000000002</v>
      </c>
      <c r="S540" s="53">
        <v>0.44999999000000002</v>
      </c>
      <c r="T540" s="52">
        <v>12.000000999999999</v>
      </c>
      <c r="U540" s="54">
        <v>2</v>
      </c>
    </row>
    <row r="541" spans="1:21" s="3" customFormat="1" ht="18" customHeight="1">
      <c r="A541" s="8" t="s">
        <v>620</v>
      </c>
      <c r="B541" s="52">
        <v>49</v>
      </c>
      <c r="C541" s="52">
        <v>18.130001</v>
      </c>
      <c r="D541" s="52">
        <v>14.21</v>
      </c>
      <c r="E541" s="52">
        <v>16.660001999999999</v>
      </c>
      <c r="F541" s="52">
        <v>0</v>
      </c>
      <c r="G541" s="52">
        <v>0</v>
      </c>
      <c r="H541" s="52">
        <v>0</v>
      </c>
      <c r="I541" s="52">
        <v>0</v>
      </c>
      <c r="J541" s="52">
        <v>0</v>
      </c>
      <c r="K541" s="52">
        <v>0</v>
      </c>
      <c r="L541" s="52">
        <v>0</v>
      </c>
      <c r="M541" s="52">
        <v>0</v>
      </c>
      <c r="N541" s="52">
        <v>0</v>
      </c>
      <c r="O541" s="52">
        <v>0</v>
      </c>
      <c r="P541" s="52">
        <v>0</v>
      </c>
      <c r="Q541" s="53">
        <v>0.19</v>
      </c>
      <c r="R541" s="52">
        <v>2.2999999999999998</v>
      </c>
      <c r="S541" s="53">
        <v>0.26999997999999997</v>
      </c>
      <c r="T541" s="52">
        <v>6.3333335000000002</v>
      </c>
      <c r="U541" s="54">
        <v>1</v>
      </c>
    </row>
    <row r="542" spans="1:21" s="3" customFormat="1" ht="18" customHeight="1">
      <c r="A542" s="8" t="s">
        <v>621</v>
      </c>
      <c r="B542" s="52">
        <v>230</v>
      </c>
      <c r="C542" s="52">
        <v>27.599997999999999</v>
      </c>
      <c r="D542" s="52">
        <v>46</v>
      </c>
      <c r="E542" s="52">
        <v>156.40001000000001</v>
      </c>
      <c r="F542" s="52">
        <v>0</v>
      </c>
      <c r="G542" s="52">
        <v>0</v>
      </c>
      <c r="H542" s="52">
        <v>0</v>
      </c>
      <c r="I542" s="52">
        <v>0</v>
      </c>
      <c r="J542" s="52">
        <v>0</v>
      </c>
      <c r="K542" s="52">
        <v>0</v>
      </c>
      <c r="L542" s="52">
        <v>0</v>
      </c>
      <c r="M542" s="52">
        <v>0</v>
      </c>
      <c r="N542" s="52">
        <v>0</v>
      </c>
      <c r="O542" s="52">
        <v>0</v>
      </c>
      <c r="P542" s="52">
        <v>0</v>
      </c>
      <c r="Q542" s="53">
        <v>0.30000000999999998</v>
      </c>
      <c r="R542" s="52">
        <v>2</v>
      </c>
      <c r="S542" s="53">
        <v>0.12</v>
      </c>
      <c r="T542" s="52">
        <v>0.83333336999999996</v>
      </c>
      <c r="U542" s="54">
        <v>0</v>
      </c>
    </row>
    <row r="543" spans="1:21" s="3" customFormat="1" ht="18" customHeight="1">
      <c r="A543" s="8" t="s">
        <v>622</v>
      </c>
      <c r="B543" s="52">
        <v>29</v>
      </c>
      <c r="C543" s="52">
        <v>9</v>
      </c>
      <c r="D543" s="52">
        <v>2</v>
      </c>
      <c r="E543" s="52">
        <v>7</v>
      </c>
      <c r="F543" s="52">
        <v>0</v>
      </c>
      <c r="G543" s="52">
        <v>0</v>
      </c>
      <c r="H543" s="52">
        <v>11</v>
      </c>
      <c r="I543" s="52">
        <v>0</v>
      </c>
      <c r="J543" s="52">
        <v>0</v>
      </c>
      <c r="K543" s="52">
        <v>0</v>
      </c>
      <c r="L543" s="52">
        <v>0</v>
      </c>
      <c r="M543" s="52">
        <v>0</v>
      </c>
      <c r="N543" s="52">
        <v>0</v>
      </c>
      <c r="O543" s="52">
        <v>0</v>
      </c>
      <c r="P543" s="52">
        <v>0</v>
      </c>
      <c r="Q543" s="53">
        <v>0.13</v>
      </c>
      <c r="R543" s="52">
        <v>1.5</v>
      </c>
      <c r="S543" s="53">
        <v>0.26999997999999997</v>
      </c>
      <c r="T543" s="52">
        <v>15.000000999999999</v>
      </c>
      <c r="U543" s="54">
        <v>1</v>
      </c>
    </row>
    <row r="544" spans="1:21" s="3" customFormat="1" ht="18" customHeight="1">
      <c r="A544" s="8" t="s">
        <v>623</v>
      </c>
      <c r="B544" s="52">
        <v>58</v>
      </c>
      <c r="C544" s="52">
        <v>8</v>
      </c>
      <c r="D544" s="52">
        <v>22</v>
      </c>
      <c r="E544" s="52">
        <v>12</v>
      </c>
      <c r="F544" s="52">
        <v>0</v>
      </c>
      <c r="G544" s="52">
        <v>16</v>
      </c>
      <c r="H544" s="52">
        <v>0</v>
      </c>
      <c r="I544" s="52">
        <v>0</v>
      </c>
      <c r="J544" s="52">
        <v>0</v>
      </c>
      <c r="K544" s="52">
        <v>0</v>
      </c>
      <c r="L544" s="52">
        <v>0</v>
      </c>
      <c r="M544" s="52">
        <v>0</v>
      </c>
      <c r="N544" s="52">
        <v>0</v>
      </c>
      <c r="O544" s="52">
        <v>0</v>
      </c>
      <c r="P544" s="52">
        <v>0</v>
      </c>
      <c r="Q544" s="53">
        <v>0.12</v>
      </c>
      <c r="R544" s="52">
        <v>1.6</v>
      </c>
      <c r="S544" s="53">
        <v>0.38</v>
      </c>
      <c r="T544" s="52">
        <v>6.0000004999999996</v>
      </c>
      <c r="U544" s="54">
        <v>1</v>
      </c>
    </row>
    <row r="545" spans="1:21" s="3" customFormat="1" ht="18" customHeight="1">
      <c r="A545" s="8" t="s">
        <v>624</v>
      </c>
      <c r="B545" s="52">
        <v>0</v>
      </c>
      <c r="C545" s="52">
        <v>0</v>
      </c>
      <c r="D545" s="52">
        <v>0</v>
      </c>
      <c r="E545" s="52">
        <v>0</v>
      </c>
      <c r="F545" s="52">
        <v>0</v>
      </c>
      <c r="G545" s="52">
        <v>0</v>
      </c>
      <c r="H545" s="52">
        <v>0</v>
      </c>
      <c r="I545" s="52">
        <v>0</v>
      </c>
      <c r="J545" s="52">
        <v>0</v>
      </c>
      <c r="K545" s="52">
        <v>0</v>
      </c>
      <c r="L545" s="52">
        <v>0</v>
      </c>
      <c r="M545" s="52">
        <v>0</v>
      </c>
      <c r="N545" s="52">
        <v>0</v>
      </c>
      <c r="O545" s="52">
        <v>0</v>
      </c>
      <c r="P545" s="52">
        <v>0</v>
      </c>
      <c r="Q545" s="53">
        <v>0</v>
      </c>
      <c r="R545" s="52">
        <v>0</v>
      </c>
      <c r="S545" s="53">
        <v>0</v>
      </c>
      <c r="T545" s="52">
        <v>0</v>
      </c>
      <c r="U545" s="54">
        <v>0</v>
      </c>
    </row>
    <row r="546" spans="1:21" s="3" customFormat="1" ht="18" customHeight="1">
      <c r="A546" s="8" t="s">
        <v>625</v>
      </c>
      <c r="B546" s="52">
        <v>0</v>
      </c>
      <c r="C546" s="52">
        <v>0</v>
      </c>
      <c r="D546" s="52">
        <v>0</v>
      </c>
      <c r="E546" s="52">
        <v>0</v>
      </c>
      <c r="F546" s="52">
        <v>0</v>
      </c>
      <c r="G546" s="52">
        <v>0</v>
      </c>
      <c r="H546" s="52">
        <v>0</v>
      </c>
      <c r="I546" s="52">
        <v>0</v>
      </c>
      <c r="J546" s="52">
        <v>0</v>
      </c>
      <c r="K546" s="52">
        <v>0</v>
      </c>
      <c r="L546" s="52">
        <v>0</v>
      </c>
      <c r="M546" s="52">
        <v>0</v>
      </c>
      <c r="N546" s="52">
        <v>0</v>
      </c>
      <c r="O546" s="52">
        <v>0</v>
      </c>
      <c r="P546" s="52">
        <v>0</v>
      </c>
      <c r="Q546" s="53">
        <v>0</v>
      </c>
      <c r="R546" s="52">
        <v>0</v>
      </c>
      <c r="S546" s="53">
        <v>0</v>
      </c>
      <c r="T546" s="52">
        <v>0</v>
      </c>
      <c r="U546" s="54">
        <v>0</v>
      </c>
    </row>
    <row r="547" spans="1:21" s="3" customFormat="1" ht="18" customHeight="1">
      <c r="A547" s="8" t="s">
        <v>626</v>
      </c>
      <c r="B547" s="52">
        <v>0</v>
      </c>
      <c r="C547" s="52">
        <v>0</v>
      </c>
      <c r="D547" s="52">
        <v>0</v>
      </c>
      <c r="E547" s="52">
        <v>0</v>
      </c>
      <c r="F547" s="52">
        <v>0</v>
      </c>
      <c r="G547" s="52">
        <v>0</v>
      </c>
      <c r="H547" s="52">
        <v>0</v>
      </c>
      <c r="I547" s="52">
        <v>0</v>
      </c>
      <c r="J547" s="52">
        <v>0</v>
      </c>
      <c r="K547" s="52">
        <v>0</v>
      </c>
      <c r="L547" s="52">
        <v>0</v>
      </c>
      <c r="M547" s="52">
        <v>0</v>
      </c>
      <c r="N547" s="52">
        <v>0</v>
      </c>
      <c r="O547" s="52">
        <v>0</v>
      </c>
      <c r="P547" s="52">
        <v>0</v>
      </c>
      <c r="Q547" s="53">
        <v>0</v>
      </c>
      <c r="R547" s="52">
        <v>0</v>
      </c>
      <c r="S547" s="53">
        <v>0</v>
      </c>
      <c r="T547" s="52">
        <v>0</v>
      </c>
      <c r="U547" s="54">
        <v>0</v>
      </c>
    </row>
    <row r="548" spans="1:21" s="3" customFormat="1" ht="18" customHeight="1">
      <c r="A548" s="8" t="s">
        <v>627</v>
      </c>
      <c r="B548" s="52">
        <v>300</v>
      </c>
      <c r="C548" s="52">
        <v>15</v>
      </c>
      <c r="D548" s="52">
        <v>270</v>
      </c>
      <c r="E548" s="52">
        <v>15.000004000000001</v>
      </c>
      <c r="F548" s="52">
        <v>0</v>
      </c>
      <c r="G548" s="52">
        <v>0</v>
      </c>
      <c r="H548" s="52">
        <v>0</v>
      </c>
      <c r="I548" s="52">
        <v>0</v>
      </c>
      <c r="J548" s="52">
        <v>0</v>
      </c>
      <c r="K548" s="52">
        <v>0</v>
      </c>
      <c r="L548" s="52">
        <v>0</v>
      </c>
      <c r="M548" s="52">
        <v>0</v>
      </c>
      <c r="N548" s="52">
        <v>0</v>
      </c>
      <c r="O548" s="52">
        <v>0</v>
      </c>
      <c r="P548" s="52">
        <v>0</v>
      </c>
      <c r="Q548" s="53">
        <v>5.0000001000000002E-2</v>
      </c>
      <c r="R548" s="52">
        <v>1.5</v>
      </c>
      <c r="S548" s="53">
        <v>0.10000002</v>
      </c>
      <c r="T548" s="52">
        <v>3.3333335000000002</v>
      </c>
      <c r="U548" s="54">
        <v>1</v>
      </c>
    </row>
    <row r="549" spans="1:21" s="3" customFormat="1" ht="18" customHeight="1">
      <c r="A549" s="8" t="s">
        <v>628</v>
      </c>
      <c r="B549" s="52">
        <v>470</v>
      </c>
      <c r="C549" s="52">
        <v>423</v>
      </c>
      <c r="D549" s="52">
        <v>23.5</v>
      </c>
      <c r="E549" s="52">
        <v>23.500005999999999</v>
      </c>
      <c r="F549" s="52">
        <v>0</v>
      </c>
      <c r="G549" s="52">
        <v>0</v>
      </c>
      <c r="H549" s="52">
        <v>0</v>
      </c>
      <c r="I549" s="52">
        <v>0</v>
      </c>
      <c r="J549" s="52">
        <v>0</v>
      </c>
      <c r="K549" s="52">
        <v>0</v>
      </c>
      <c r="L549" s="52">
        <v>0</v>
      </c>
      <c r="M549" s="52">
        <v>0</v>
      </c>
      <c r="N549" s="52">
        <v>0</v>
      </c>
      <c r="O549" s="52">
        <v>0</v>
      </c>
      <c r="P549" s="52">
        <v>0</v>
      </c>
      <c r="Q549" s="53">
        <v>0.34999998999999998</v>
      </c>
      <c r="R549" s="52">
        <v>2</v>
      </c>
      <c r="S549" s="53">
        <v>0.14999998</v>
      </c>
      <c r="T549" s="52">
        <v>1</v>
      </c>
      <c r="U549" s="54">
        <v>1</v>
      </c>
    </row>
    <row r="550" spans="1:21" s="3" customFormat="1" ht="18" customHeight="1">
      <c r="A550" s="8" t="s">
        <v>629</v>
      </c>
      <c r="B550" s="52">
        <v>246</v>
      </c>
      <c r="C550" s="52">
        <v>0</v>
      </c>
      <c r="D550" s="52">
        <v>88</v>
      </c>
      <c r="E550" s="52">
        <v>62</v>
      </c>
      <c r="F550" s="52">
        <v>0</v>
      </c>
      <c r="G550" s="52">
        <v>0</v>
      </c>
      <c r="H550" s="52">
        <v>0</v>
      </c>
      <c r="I550" s="52">
        <v>0</v>
      </c>
      <c r="J550" s="52">
        <v>0</v>
      </c>
      <c r="K550" s="52">
        <v>96</v>
      </c>
      <c r="L550" s="52">
        <v>0</v>
      </c>
      <c r="M550" s="52">
        <v>0</v>
      </c>
      <c r="N550" s="52">
        <v>0</v>
      </c>
      <c r="O550" s="52">
        <v>0</v>
      </c>
      <c r="P550" s="52">
        <v>0</v>
      </c>
      <c r="Q550" s="53">
        <v>0.12</v>
      </c>
      <c r="R550" s="52">
        <v>1.8</v>
      </c>
      <c r="S550" s="53">
        <v>0.30000000999999998</v>
      </c>
      <c r="T550" s="52">
        <v>1</v>
      </c>
      <c r="U550" s="54">
        <v>0</v>
      </c>
    </row>
    <row r="551" spans="1:21" s="3" customFormat="1" ht="18" customHeight="1">
      <c r="A551" s="8" t="s">
        <v>630</v>
      </c>
      <c r="B551" s="52">
        <v>0</v>
      </c>
      <c r="C551" s="52">
        <v>0</v>
      </c>
      <c r="D551" s="52">
        <v>0</v>
      </c>
      <c r="E551" s="52">
        <v>0</v>
      </c>
      <c r="F551" s="52">
        <v>0</v>
      </c>
      <c r="G551" s="52">
        <v>0</v>
      </c>
      <c r="H551" s="52">
        <v>0</v>
      </c>
      <c r="I551" s="52">
        <v>0</v>
      </c>
      <c r="J551" s="52">
        <v>0</v>
      </c>
      <c r="K551" s="52">
        <v>0</v>
      </c>
      <c r="L551" s="52">
        <v>0</v>
      </c>
      <c r="M551" s="52">
        <v>0</v>
      </c>
      <c r="N551" s="52">
        <v>0</v>
      </c>
      <c r="O551" s="52">
        <v>0</v>
      </c>
      <c r="P551" s="52">
        <v>0</v>
      </c>
      <c r="Q551" s="53">
        <v>0</v>
      </c>
      <c r="R551" s="52">
        <v>0</v>
      </c>
      <c r="S551" s="53">
        <v>0</v>
      </c>
      <c r="T551" s="52">
        <v>0</v>
      </c>
      <c r="U551" s="54">
        <v>0</v>
      </c>
    </row>
    <row r="552" spans="1:21" s="3" customFormat="1" ht="18" customHeight="1">
      <c r="A552" s="8" t="s">
        <v>631</v>
      </c>
      <c r="B552" s="52">
        <v>0</v>
      </c>
      <c r="C552" s="52">
        <v>0</v>
      </c>
      <c r="D552" s="52">
        <v>0</v>
      </c>
      <c r="E552" s="52">
        <v>0</v>
      </c>
      <c r="F552" s="52">
        <v>0</v>
      </c>
      <c r="G552" s="52">
        <v>0</v>
      </c>
      <c r="H552" s="52">
        <v>0</v>
      </c>
      <c r="I552" s="52">
        <v>0</v>
      </c>
      <c r="J552" s="52">
        <v>0</v>
      </c>
      <c r="K552" s="52">
        <v>0</v>
      </c>
      <c r="L552" s="52">
        <v>0</v>
      </c>
      <c r="M552" s="52">
        <v>0</v>
      </c>
      <c r="N552" s="52">
        <v>0</v>
      </c>
      <c r="O552" s="52">
        <v>0</v>
      </c>
      <c r="P552" s="52">
        <v>0</v>
      </c>
      <c r="Q552" s="53">
        <v>0</v>
      </c>
      <c r="R552" s="52">
        <v>0</v>
      </c>
      <c r="S552" s="53">
        <v>0</v>
      </c>
      <c r="T552" s="52">
        <v>0</v>
      </c>
      <c r="U552" s="54">
        <v>0</v>
      </c>
    </row>
    <row r="553" spans="1:21" s="3" customFormat="1" ht="18" customHeight="1">
      <c r="A553" s="8" t="s">
        <v>632</v>
      </c>
      <c r="B553" s="52">
        <v>0</v>
      </c>
      <c r="C553" s="52">
        <v>0</v>
      </c>
      <c r="D553" s="52">
        <v>0</v>
      </c>
      <c r="E553" s="52">
        <v>0</v>
      </c>
      <c r="F553" s="52">
        <v>0</v>
      </c>
      <c r="G553" s="52">
        <v>0</v>
      </c>
      <c r="H553" s="52">
        <v>0</v>
      </c>
      <c r="I553" s="52">
        <v>0</v>
      </c>
      <c r="J553" s="52">
        <v>0</v>
      </c>
      <c r="K553" s="52">
        <v>0</v>
      </c>
      <c r="L553" s="52">
        <v>0</v>
      </c>
      <c r="M553" s="52">
        <v>0</v>
      </c>
      <c r="N553" s="52">
        <v>0</v>
      </c>
      <c r="O553" s="52">
        <v>0</v>
      </c>
      <c r="P553" s="52">
        <v>0</v>
      </c>
      <c r="Q553" s="53">
        <v>0</v>
      </c>
      <c r="R553" s="52">
        <v>0</v>
      </c>
      <c r="S553" s="53">
        <v>0</v>
      </c>
      <c r="T553" s="52">
        <v>0</v>
      </c>
      <c r="U553" s="54">
        <v>0</v>
      </c>
    </row>
    <row r="554" spans="1:21" s="3" customFormat="1" ht="18" customHeight="1">
      <c r="A554" s="8" t="s">
        <v>633</v>
      </c>
      <c r="B554" s="52">
        <v>449.99997000000002</v>
      </c>
      <c r="C554" s="52">
        <v>360</v>
      </c>
      <c r="D554" s="52">
        <v>67.5</v>
      </c>
      <c r="E554" s="52">
        <v>22.499979</v>
      </c>
      <c r="F554" s="52">
        <v>0</v>
      </c>
      <c r="G554" s="52">
        <v>0</v>
      </c>
      <c r="H554" s="52">
        <v>0</v>
      </c>
      <c r="I554" s="52">
        <v>0</v>
      </c>
      <c r="J554" s="52">
        <v>0</v>
      </c>
      <c r="K554" s="52">
        <v>0</v>
      </c>
      <c r="L554" s="52">
        <v>0</v>
      </c>
      <c r="M554" s="52">
        <v>0</v>
      </c>
      <c r="N554" s="52">
        <v>0</v>
      </c>
      <c r="O554" s="52">
        <v>0</v>
      </c>
      <c r="P554" s="52">
        <v>0</v>
      </c>
      <c r="Q554" s="53">
        <v>0.2</v>
      </c>
      <c r="R554" s="52">
        <v>2</v>
      </c>
      <c r="S554" s="53">
        <v>0.12</v>
      </c>
      <c r="T554" s="52">
        <v>0.91666669000000001</v>
      </c>
      <c r="U554" s="54">
        <v>0</v>
      </c>
    </row>
    <row r="555" spans="1:21" s="3" customFormat="1" ht="18" customHeight="1">
      <c r="A555" s="8" t="s">
        <v>634</v>
      </c>
      <c r="B555" s="52">
        <v>0</v>
      </c>
      <c r="C555" s="52">
        <v>0</v>
      </c>
      <c r="D555" s="52">
        <v>0</v>
      </c>
      <c r="E555" s="52">
        <v>0</v>
      </c>
      <c r="F555" s="52">
        <v>0</v>
      </c>
      <c r="G555" s="52">
        <v>0</v>
      </c>
      <c r="H555" s="52">
        <v>0</v>
      </c>
      <c r="I555" s="52">
        <v>0</v>
      </c>
      <c r="J555" s="52">
        <v>0</v>
      </c>
      <c r="K555" s="52">
        <v>0</v>
      </c>
      <c r="L555" s="52">
        <v>0</v>
      </c>
      <c r="M555" s="52">
        <v>0</v>
      </c>
      <c r="N555" s="52">
        <v>0</v>
      </c>
      <c r="O555" s="52">
        <v>0</v>
      </c>
      <c r="P555" s="52">
        <v>0</v>
      </c>
      <c r="Q555" s="53">
        <v>0</v>
      </c>
      <c r="R555" s="52">
        <v>0</v>
      </c>
      <c r="S555" s="53">
        <v>0</v>
      </c>
      <c r="T555" s="52">
        <v>0</v>
      </c>
      <c r="U555" s="54">
        <v>0</v>
      </c>
    </row>
    <row r="556" spans="1:21" s="3" customFormat="1" ht="18" customHeight="1">
      <c r="A556" s="8" t="s">
        <v>635</v>
      </c>
      <c r="B556" s="52">
        <v>130</v>
      </c>
      <c r="C556" s="52">
        <v>26</v>
      </c>
      <c r="D556" s="52">
        <v>26</v>
      </c>
      <c r="E556" s="52">
        <v>78</v>
      </c>
      <c r="F556" s="52">
        <v>0</v>
      </c>
      <c r="G556" s="52">
        <v>0</v>
      </c>
      <c r="H556" s="52">
        <v>0</v>
      </c>
      <c r="I556" s="52">
        <v>0</v>
      </c>
      <c r="J556" s="52">
        <v>0</v>
      </c>
      <c r="K556" s="52">
        <v>0</v>
      </c>
      <c r="L556" s="52">
        <v>0</v>
      </c>
      <c r="M556" s="52">
        <v>0</v>
      </c>
      <c r="N556" s="52">
        <v>0</v>
      </c>
      <c r="O556" s="52">
        <v>0</v>
      </c>
      <c r="P556" s="52">
        <v>0</v>
      </c>
      <c r="Q556" s="53">
        <v>5.9999998999999998E-2</v>
      </c>
      <c r="R556" s="52">
        <v>2</v>
      </c>
      <c r="S556" s="53">
        <v>0.12</v>
      </c>
      <c r="T556" s="52">
        <v>0.80000006999999995</v>
      </c>
      <c r="U556" s="54">
        <v>8</v>
      </c>
    </row>
    <row r="557" spans="1:21" s="3" customFormat="1" ht="18" customHeight="1">
      <c r="A557" s="8" t="s">
        <v>636</v>
      </c>
      <c r="B557" s="52">
        <v>200</v>
      </c>
      <c r="C557" s="52">
        <v>30.000001999999999</v>
      </c>
      <c r="D557" s="52">
        <v>30.000001999999999</v>
      </c>
      <c r="E557" s="52">
        <v>140</v>
      </c>
      <c r="F557" s="52">
        <v>0</v>
      </c>
      <c r="G557" s="52">
        <v>0</v>
      </c>
      <c r="H557" s="52">
        <v>0</v>
      </c>
      <c r="I557" s="52">
        <v>0</v>
      </c>
      <c r="J557" s="52">
        <v>0</v>
      </c>
      <c r="K557" s="52">
        <v>0</v>
      </c>
      <c r="L557" s="52">
        <v>0</v>
      </c>
      <c r="M557" s="52">
        <v>0</v>
      </c>
      <c r="N557" s="52">
        <v>0</v>
      </c>
      <c r="O557" s="52">
        <v>0</v>
      </c>
      <c r="P557" s="52">
        <v>0</v>
      </c>
      <c r="Q557" s="53">
        <v>0.34999998999999998</v>
      </c>
      <c r="R557" s="52">
        <v>2.5</v>
      </c>
      <c r="S557" s="53">
        <v>0.25</v>
      </c>
      <c r="T557" s="52">
        <v>1.0833333999999999</v>
      </c>
      <c r="U557" s="54">
        <v>0</v>
      </c>
    </row>
    <row r="558" spans="1:21" s="3" customFormat="1" ht="18" customHeight="1">
      <c r="A558" s="8" t="s">
        <v>637</v>
      </c>
      <c r="B558" s="52">
        <v>180</v>
      </c>
      <c r="C558" s="52">
        <v>18</v>
      </c>
      <c r="D558" s="52">
        <v>36</v>
      </c>
      <c r="E558" s="52">
        <v>126</v>
      </c>
      <c r="F558" s="52">
        <v>0</v>
      </c>
      <c r="G558" s="52">
        <v>0</v>
      </c>
      <c r="H558" s="52">
        <v>0</v>
      </c>
      <c r="I558" s="52">
        <v>0</v>
      </c>
      <c r="J558" s="52">
        <v>0</v>
      </c>
      <c r="K558" s="52">
        <v>0</v>
      </c>
      <c r="L558" s="52">
        <v>0</v>
      </c>
      <c r="M558" s="52">
        <v>0</v>
      </c>
      <c r="N558" s="52">
        <v>0</v>
      </c>
      <c r="O558" s="52">
        <v>0</v>
      </c>
      <c r="P558" s="52">
        <v>0</v>
      </c>
      <c r="Q558" s="53">
        <v>0.1</v>
      </c>
      <c r="R558" s="52">
        <v>1.8</v>
      </c>
      <c r="S558" s="53">
        <v>0.22000003000000001</v>
      </c>
      <c r="T558" s="52">
        <v>0.83333336999999996</v>
      </c>
      <c r="U558" s="54">
        <v>0</v>
      </c>
    </row>
    <row r="559" spans="1:21" s="3" customFormat="1" ht="18" customHeight="1">
      <c r="A559" s="8" t="s">
        <v>638</v>
      </c>
      <c r="B559" s="52">
        <v>212</v>
      </c>
      <c r="C559" s="52">
        <v>21.200001</v>
      </c>
      <c r="D559" s="52">
        <v>42.400002000000001</v>
      </c>
      <c r="E559" s="52">
        <v>148.39999</v>
      </c>
      <c r="F559" s="52">
        <v>0</v>
      </c>
      <c r="G559" s="52">
        <v>0</v>
      </c>
      <c r="H559" s="52">
        <v>0</v>
      </c>
      <c r="I559" s="52">
        <v>0</v>
      </c>
      <c r="J559" s="52">
        <v>0</v>
      </c>
      <c r="K559" s="52">
        <v>0</v>
      </c>
      <c r="L559" s="52">
        <v>0</v>
      </c>
      <c r="M559" s="52">
        <v>0</v>
      </c>
      <c r="N559" s="52">
        <v>0</v>
      </c>
      <c r="O559" s="52">
        <v>0</v>
      </c>
      <c r="P559" s="52">
        <v>0</v>
      </c>
      <c r="Q559" s="53">
        <v>0.23999999</v>
      </c>
      <c r="R559" s="52">
        <v>2.2000000000000002</v>
      </c>
      <c r="S559" s="53">
        <v>0.30000000999999998</v>
      </c>
      <c r="T559" s="52">
        <v>0.91666669000000001</v>
      </c>
      <c r="U559" s="54">
        <v>0</v>
      </c>
    </row>
    <row r="560" spans="1:21" s="3" customFormat="1" ht="18" customHeight="1">
      <c r="A560" s="8" t="s">
        <v>639</v>
      </c>
      <c r="B560" s="52">
        <v>50</v>
      </c>
      <c r="C560" s="52">
        <v>25</v>
      </c>
      <c r="D560" s="52">
        <v>12.5</v>
      </c>
      <c r="E560" s="52">
        <v>12.5</v>
      </c>
      <c r="F560" s="52">
        <v>0</v>
      </c>
      <c r="G560" s="52">
        <v>0</v>
      </c>
      <c r="H560" s="52">
        <v>0</v>
      </c>
      <c r="I560" s="52">
        <v>0</v>
      </c>
      <c r="J560" s="52">
        <v>0</v>
      </c>
      <c r="K560" s="52">
        <v>0</v>
      </c>
      <c r="L560" s="52">
        <v>0</v>
      </c>
      <c r="M560" s="52">
        <v>0</v>
      </c>
      <c r="N560" s="52">
        <v>0</v>
      </c>
      <c r="O560" s="52">
        <v>0</v>
      </c>
      <c r="P560" s="52">
        <v>0</v>
      </c>
      <c r="Q560" s="53">
        <v>0.25</v>
      </c>
      <c r="R560" s="52">
        <v>3</v>
      </c>
      <c r="S560" s="53">
        <v>0.10000002</v>
      </c>
      <c r="T560" s="52">
        <v>14.800001</v>
      </c>
      <c r="U560" s="54">
        <v>1</v>
      </c>
    </row>
    <row r="561" spans="1:21" s="3" customFormat="1" ht="18" customHeight="1">
      <c r="A561" s="8" t="s">
        <v>640</v>
      </c>
      <c r="B561" s="52">
        <v>50</v>
      </c>
      <c r="C561" s="52">
        <v>25</v>
      </c>
      <c r="D561" s="52">
        <v>12.5</v>
      </c>
      <c r="E561" s="52">
        <v>12.5</v>
      </c>
      <c r="F561" s="52">
        <v>0</v>
      </c>
      <c r="G561" s="52">
        <v>0</v>
      </c>
      <c r="H561" s="52">
        <v>0</v>
      </c>
      <c r="I561" s="52">
        <v>0</v>
      </c>
      <c r="J561" s="52">
        <v>0</v>
      </c>
      <c r="K561" s="52">
        <v>0</v>
      </c>
      <c r="L561" s="52">
        <v>0</v>
      </c>
      <c r="M561" s="52">
        <v>0</v>
      </c>
      <c r="N561" s="52">
        <v>0</v>
      </c>
      <c r="O561" s="52">
        <v>0</v>
      </c>
      <c r="P561" s="52">
        <v>0</v>
      </c>
      <c r="Q561" s="53">
        <v>0.25</v>
      </c>
      <c r="R561" s="52">
        <v>3</v>
      </c>
      <c r="S561" s="53">
        <v>0.10000002</v>
      </c>
      <c r="T561" s="52">
        <v>14.800001</v>
      </c>
      <c r="U561" s="54">
        <v>1</v>
      </c>
    </row>
    <row r="562" spans="1:21" s="3" customFormat="1" ht="18" customHeight="1">
      <c r="A562" s="8" t="s">
        <v>641</v>
      </c>
      <c r="B562" s="52">
        <v>173</v>
      </c>
      <c r="C562" s="52">
        <v>8.6500006000000003</v>
      </c>
      <c r="D562" s="52">
        <v>17.300001000000002</v>
      </c>
      <c r="E562" s="52">
        <v>147.05000000000001</v>
      </c>
      <c r="F562" s="52">
        <v>0</v>
      </c>
      <c r="G562" s="52">
        <v>0</v>
      </c>
      <c r="H562" s="52">
        <v>0</v>
      </c>
      <c r="I562" s="52">
        <v>0</v>
      </c>
      <c r="J562" s="52">
        <v>0</v>
      </c>
      <c r="K562" s="52">
        <v>0</v>
      </c>
      <c r="L562" s="52">
        <v>0</v>
      </c>
      <c r="M562" s="52">
        <v>0</v>
      </c>
      <c r="N562" s="52">
        <v>0</v>
      </c>
      <c r="O562" s="52">
        <v>0</v>
      </c>
      <c r="P562" s="52">
        <v>0</v>
      </c>
      <c r="Q562" s="53">
        <v>0.2</v>
      </c>
      <c r="R562" s="52">
        <v>2</v>
      </c>
      <c r="S562" s="53">
        <v>0.14999998</v>
      </c>
      <c r="T562" s="52">
        <v>0.83333336999999996</v>
      </c>
      <c r="U562" s="54">
        <v>0</v>
      </c>
    </row>
    <row r="563" spans="1:21" s="3" customFormat="1" ht="18" customHeight="1">
      <c r="A563" s="8" t="s">
        <v>642</v>
      </c>
      <c r="B563" s="52">
        <v>179.99997999999999</v>
      </c>
      <c r="C563" s="52">
        <v>144</v>
      </c>
      <c r="D563" s="52">
        <v>27.000001999999999</v>
      </c>
      <c r="E563" s="52">
        <v>8.9999914000000008</v>
      </c>
      <c r="F563" s="52">
        <v>0</v>
      </c>
      <c r="G563" s="52">
        <v>0</v>
      </c>
      <c r="H563" s="52">
        <v>0</v>
      </c>
      <c r="I563" s="52">
        <v>0</v>
      </c>
      <c r="J563" s="52">
        <v>0</v>
      </c>
      <c r="K563" s="52">
        <v>0</v>
      </c>
      <c r="L563" s="52">
        <v>0</v>
      </c>
      <c r="M563" s="52">
        <v>0</v>
      </c>
      <c r="N563" s="52">
        <v>0</v>
      </c>
      <c r="O563" s="52">
        <v>0</v>
      </c>
      <c r="P563" s="52">
        <v>0</v>
      </c>
      <c r="Q563" s="53">
        <v>0.30000000999999998</v>
      </c>
      <c r="R563" s="52">
        <v>3</v>
      </c>
      <c r="S563" s="53">
        <v>0.12</v>
      </c>
      <c r="T563" s="52">
        <v>2.6666666999999999</v>
      </c>
      <c r="U563" s="54">
        <v>1</v>
      </c>
    </row>
    <row r="564" spans="1:21" s="3" customFormat="1" ht="18" customHeight="1">
      <c r="A564" s="8" t="s">
        <v>643</v>
      </c>
      <c r="B564" s="52">
        <v>187</v>
      </c>
      <c r="C564" s="52">
        <v>149.60001</v>
      </c>
      <c r="D564" s="52">
        <v>28.050001000000002</v>
      </c>
      <c r="E564" s="52">
        <v>9.3499908000000005</v>
      </c>
      <c r="F564" s="52">
        <v>0</v>
      </c>
      <c r="G564" s="52">
        <v>0</v>
      </c>
      <c r="H564" s="52">
        <v>0</v>
      </c>
      <c r="I564" s="52">
        <v>0</v>
      </c>
      <c r="J564" s="52">
        <v>0</v>
      </c>
      <c r="K564" s="52">
        <v>0</v>
      </c>
      <c r="L564" s="52">
        <v>0</v>
      </c>
      <c r="M564" s="52">
        <v>0</v>
      </c>
      <c r="N564" s="52">
        <v>0</v>
      </c>
      <c r="O564" s="52">
        <v>0</v>
      </c>
      <c r="P564" s="52">
        <v>0</v>
      </c>
      <c r="Q564" s="53">
        <v>0.38</v>
      </c>
      <c r="R564" s="52">
        <v>3</v>
      </c>
      <c r="S564" s="53">
        <v>0.15999996999999999</v>
      </c>
      <c r="T564" s="52">
        <v>3.6666666999999999</v>
      </c>
      <c r="U564" s="54">
        <v>1</v>
      </c>
    </row>
    <row r="565" spans="1:21" s="3" customFormat="1" ht="18" customHeight="1">
      <c r="A565" s="8" t="s">
        <v>644</v>
      </c>
      <c r="B565" s="52">
        <v>0</v>
      </c>
      <c r="C565" s="52">
        <v>0</v>
      </c>
      <c r="D565" s="52">
        <v>0</v>
      </c>
      <c r="E565" s="52">
        <v>0</v>
      </c>
      <c r="F565" s="52">
        <v>0</v>
      </c>
      <c r="G565" s="52">
        <v>0</v>
      </c>
      <c r="H565" s="52">
        <v>0</v>
      </c>
      <c r="I565" s="52">
        <v>0</v>
      </c>
      <c r="J565" s="52">
        <v>0</v>
      </c>
      <c r="K565" s="52">
        <v>0</v>
      </c>
      <c r="L565" s="52">
        <v>0</v>
      </c>
      <c r="M565" s="52">
        <v>0</v>
      </c>
      <c r="N565" s="52">
        <v>0</v>
      </c>
      <c r="O565" s="52">
        <v>0</v>
      </c>
      <c r="P565" s="52">
        <v>0</v>
      </c>
      <c r="Q565" s="53">
        <v>0</v>
      </c>
      <c r="R565" s="52">
        <v>0</v>
      </c>
      <c r="S565" s="53">
        <v>0</v>
      </c>
      <c r="T565" s="52">
        <v>0</v>
      </c>
      <c r="U565" s="54">
        <v>0</v>
      </c>
    </row>
    <row r="566" spans="1:21" s="3" customFormat="1" ht="18" customHeight="1">
      <c r="A566" s="8" t="s">
        <v>645</v>
      </c>
      <c r="B566" s="52">
        <v>0</v>
      </c>
      <c r="C566" s="52">
        <v>0</v>
      </c>
      <c r="D566" s="52">
        <v>0</v>
      </c>
      <c r="E566" s="52">
        <v>0</v>
      </c>
      <c r="F566" s="52">
        <v>0</v>
      </c>
      <c r="G566" s="52">
        <v>0</v>
      </c>
      <c r="H566" s="52">
        <v>0</v>
      </c>
      <c r="I566" s="52">
        <v>0</v>
      </c>
      <c r="J566" s="52">
        <v>0</v>
      </c>
      <c r="K566" s="52">
        <v>0</v>
      </c>
      <c r="L566" s="52">
        <v>0</v>
      </c>
      <c r="M566" s="52">
        <v>0</v>
      </c>
      <c r="N566" s="52">
        <v>0</v>
      </c>
      <c r="O566" s="52">
        <v>0</v>
      </c>
      <c r="P566" s="52">
        <v>0</v>
      </c>
      <c r="Q566" s="53">
        <v>0</v>
      </c>
      <c r="R566" s="52">
        <v>0</v>
      </c>
      <c r="S566" s="53">
        <v>0</v>
      </c>
      <c r="T566" s="52">
        <v>0</v>
      </c>
      <c r="U566" s="54">
        <v>0</v>
      </c>
    </row>
    <row r="567" spans="1:21" s="3" customFormat="1" ht="18" customHeight="1">
      <c r="A567" s="8" t="s">
        <v>646</v>
      </c>
      <c r="B567" s="52">
        <v>300</v>
      </c>
      <c r="C567" s="52">
        <v>120</v>
      </c>
      <c r="D567" s="52">
        <v>0</v>
      </c>
      <c r="E567" s="52">
        <v>0</v>
      </c>
      <c r="F567" s="52">
        <v>0</v>
      </c>
      <c r="G567" s="52">
        <v>0</v>
      </c>
      <c r="H567" s="52">
        <v>180</v>
      </c>
      <c r="I567" s="52">
        <v>0</v>
      </c>
      <c r="J567" s="52">
        <v>0</v>
      </c>
      <c r="K567" s="52">
        <v>0</v>
      </c>
      <c r="L567" s="52">
        <v>0</v>
      </c>
      <c r="M567" s="52">
        <v>0</v>
      </c>
      <c r="N567" s="52">
        <v>0</v>
      </c>
      <c r="O567" s="52">
        <v>0</v>
      </c>
      <c r="P567" s="52">
        <v>0</v>
      </c>
      <c r="Q567" s="53">
        <v>0.14000000000000001</v>
      </c>
      <c r="R567" s="52">
        <v>1.8</v>
      </c>
      <c r="S567" s="53">
        <v>0.39999997999999998</v>
      </c>
      <c r="T567" s="52">
        <v>0.66666669000000001</v>
      </c>
      <c r="U567" s="54">
        <v>0</v>
      </c>
    </row>
    <row r="568" spans="1:21" s="3" customFormat="1" ht="18" customHeight="1">
      <c r="A568" s="8" t="s">
        <v>647</v>
      </c>
      <c r="B568" s="52">
        <v>0</v>
      </c>
      <c r="C568" s="52">
        <v>0</v>
      </c>
      <c r="D568" s="52">
        <v>0</v>
      </c>
      <c r="E568" s="52">
        <v>0</v>
      </c>
      <c r="F568" s="52">
        <v>0</v>
      </c>
      <c r="G568" s="52">
        <v>0</v>
      </c>
      <c r="H568" s="52">
        <v>0</v>
      </c>
      <c r="I568" s="52">
        <v>0</v>
      </c>
      <c r="J568" s="52">
        <v>0</v>
      </c>
      <c r="K568" s="52">
        <v>0</v>
      </c>
      <c r="L568" s="52">
        <v>0</v>
      </c>
      <c r="M568" s="52">
        <v>0</v>
      </c>
      <c r="N568" s="52">
        <v>0</v>
      </c>
      <c r="O568" s="52">
        <v>0</v>
      </c>
      <c r="P568" s="52">
        <v>0</v>
      </c>
      <c r="Q568" s="53">
        <v>0</v>
      </c>
      <c r="R568" s="52">
        <v>0</v>
      </c>
      <c r="S568" s="53">
        <v>0</v>
      </c>
      <c r="T568" s="52">
        <v>0</v>
      </c>
      <c r="U568" s="54">
        <v>0</v>
      </c>
    </row>
    <row r="569" spans="1:21" s="3" customFormat="1" ht="18" customHeight="1">
      <c r="A569" s="8" t="s">
        <v>648</v>
      </c>
      <c r="B569" s="52">
        <v>170</v>
      </c>
      <c r="C569" s="52">
        <v>170</v>
      </c>
      <c r="D569" s="52">
        <v>0</v>
      </c>
      <c r="E569" s="52">
        <v>0</v>
      </c>
      <c r="F569" s="52">
        <v>0</v>
      </c>
      <c r="G569" s="52">
        <v>0</v>
      </c>
      <c r="H569" s="52">
        <v>0</v>
      </c>
      <c r="I569" s="52">
        <v>0</v>
      </c>
      <c r="J569" s="52">
        <v>0</v>
      </c>
      <c r="K569" s="52">
        <v>0</v>
      </c>
      <c r="L569" s="52">
        <v>0</v>
      </c>
      <c r="M569" s="52">
        <v>0</v>
      </c>
      <c r="N569" s="52">
        <v>0</v>
      </c>
      <c r="O569" s="52">
        <v>0</v>
      </c>
      <c r="P569" s="52">
        <v>0</v>
      </c>
      <c r="Q569" s="53">
        <v>0.25999999000000001</v>
      </c>
      <c r="R569" s="52">
        <v>2.2000000000000002</v>
      </c>
      <c r="S569" s="53">
        <v>0.19999998999999999</v>
      </c>
      <c r="T569" s="52">
        <v>1</v>
      </c>
      <c r="U569" s="54">
        <v>0</v>
      </c>
    </row>
    <row r="570" spans="1:21" s="3" customFormat="1" ht="18" customHeight="1">
      <c r="A570" s="8" t="s">
        <v>649</v>
      </c>
      <c r="B570" s="52">
        <v>247.99997999999999</v>
      </c>
      <c r="C570" s="52">
        <v>173.59998999999999</v>
      </c>
      <c r="D570" s="52">
        <v>37.200001</v>
      </c>
      <c r="E570" s="52">
        <v>37.199992999999999</v>
      </c>
      <c r="F570" s="52">
        <v>0</v>
      </c>
      <c r="G570" s="52">
        <v>0</v>
      </c>
      <c r="H570" s="52">
        <v>0</v>
      </c>
      <c r="I570" s="52">
        <v>0</v>
      </c>
      <c r="J570" s="52">
        <v>0</v>
      </c>
      <c r="K570" s="52">
        <v>0</v>
      </c>
      <c r="L570" s="52">
        <v>0</v>
      </c>
      <c r="M570" s="52">
        <v>0</v>
      </c>
      <c r="N570" s="52">
        <v>0</v>
      </c>
      <c r="O570" s="52">
        <v>0</v>
      </c>
      <c r="P570" s="52">
        <v>0</v>
      </c>
      <c r="Q570" s="53">
        <v>0.30000000999999998</v>
      </c>
      <c r="R570" s="52">
        <v>3</v>
      </c>
      <c r="S570" s="53">
        <v>0.27999996999999999</v>
      </c>
      <c r="T570" s="52">
        <v>0.83333336999999996</v>
      </c>
      <c r="U570" s="54">
        <v>0</v>
      </c>
    </row>
    <row r="571" spans="1:21" s="3" customFormat="1" ht="18" customHeight="1">
      <c r="A571" s="8" t="s">
        <v>650</v>
      </c>
      <c r="B571" s="52">
        <v>300</v>
      </c>
      <c r="C571" s="52">
        <v>0</v>
      </c>
      <c r="D571" s="52">
        <v>0</v>
      </c>
      <c r="E571" s="52">
        <v>0</v>
      </c>
      <c r="F571" s="52">
        <v>0</v>
      </c>
      <c r="G571" s="52">
        <v>0</v>
      </c>
      <c r="H571" s="52">
        <v>300</v>
      </c>
      <c r="I571" s="52">
        <v>0</v>
      </c>
      <c r="J571" s="52">
        <v>0</v>
      </c>
      <c r="K571" s="52">
        <v>0</v>
      </c>
      <c r="L571" s="52">
        <v>0</v>
      </c>
      <c r="M571" s="52">
        <v>0</v>
      </c>
      <c r="N571" s="52">
        <v>0</v>
      </c>
      <c r="O571" s="52">
        <v>0</v>
      </c>
      <c r="P571" s="52">
        <v>0</v>
      </c>
      <c r="Q571" s="53">
        <v>0.23999999</v>
      </c>
      <c r="R571" s="52">
        <v>2</v>
      </c>
      <c r="S571" s="53">
        <v>0.34000003000000001</v>
      </c>
      <c r="T571" s="52">
        <v>3.3333335000000002</v>
      </c>
      <c r="U571" s="54">
        <v>1</v>
      </c>
    </row>
    <row r="572" spans="1:21" s="3" customFormat="1" ht="18" customHeight="1">
      <c r="A572" s="8" t="s">
        <v>651</v>
      </c>
      <c r="B572" s="52">
        <v>239.99997999999999</v>
      </c>
      <c r="C572" s="52">
        <v>192</v>
      </c>
      <c r="D572" s="52">
        <v>36</v>
      </c>
      <c r="E572" s="52">
        <v>11.999988999999999</v>
      </c>
      <c r="F572" s="52">
        <v>0</v>
      </c>
      <c r="G572" s="52">
        <v>0</v>
      </c>
      <c r="H572" s="52">
        <v>0</v>
      </c>
      <c r="I572" s="52">
        <v>0</v>
      </c>
      <c r="J572" s="52">
        <v>0</v>
      </c>
      <c r="K572" s="52">
        <v>0</v>
      </c>
      <c r="L572" s="52">
        <v>0</v>
      </c>
      <c r="M572" s="52">
        <v>0</v>
      </c>
      <c r="N572" s="52">
        <v>0</v>
      </c>
      <c r="O572" s="52">
        <v>0</v>
      </c>
      <c r="P572" s="52">
        <v>0</v>
      </c>
      <c r="Q572" s="53">
        <v>0.30000000999999998</v>
      </c>
      <c r="R572" s="52">
        <v>2</v>
      </c>
      <c r="S572" s="53">
        <v>0.19999998999999999</v>
      </c>
      <c r="T572" s="52">
        <v>1</v>
      </c>
      <c r="U572" s="54">
        <v>0</v>
      </c>
    </row>
    <row r="573" spans="1:21" s="3" customFormat="1" ht="18" customHeight="1">
      <c r="A573" s="8" t="s">
        <v>652</v>
      </c>
      <c r="B573" s="52">
        <v>210</v>
      </c>
      <c r="C573" s="52">
        <v>21</v>
      </c>
      <c r="D573" s="52">
        <v>21</v>
      </c>
      <c r="E573" s="52">
        <v>168</v>
      </c>
      <c r="F573" s="52">
        <v>0</v>
      </c>
      <c r="G573" s="52">
        <v>0</v>
      </c>
      <c r="H573" s="52">
        <v>0</v>
      </c>
      <c r="I573" s="52">
        <v>0</v>
      </c>
      <c r="J573" s="52">
        <v>0</v>
      </c>
      <c r="K573" s="52">
        <v>0</v>
      </c>
      <c r="L573" s="52">
        <v>0</v>
      </c>
      <c r="M573" s="52">
        <v>0</v>
      </c>
      <c r="N573" s="52">
        <v>0</v>
      </c>
      <c r="O573" s="52">
        <v>0</v>
      </c>
      <c r="P573" s="52">
        <v>0</v>
      </c>
      <c r="Q573" s="53">
        <v>0.15000000999999999</v>
      </c>
      <c r="R573" s="52">
        <v>1.5</v>
      </c>
      <c r="S573" s="53">
        <v>0.13999998999999999</v>
      </c>
      <c r="T573" s="52">
        <v>2</v>
      </c>
      <c r="U573" s="54">
        <v>6</v>
      </c>
    </row>
    <row r="574" spans="1:21" s="3" customFormat="1" ht="18" customHeight="1">
      <c r="A574" s="8" t="s">
        <v>653</v>
      </c>
      <c r="B574" s="52">
        <v>200</v>
      </c>
      <c r="C574" s="52">
        <v>80</v>
      </c>
      <c r="D574" s="52">
        <v>8</v>
      </c>
      <c r="E574" s="52">
        <v>112</v>
      </c>
      <c r="F574" s="52">
        <v>0</v>
      </c>
      <c r="G574" s="52">
        <v>0</v>
      </c>
      <c r="H574" s="52">
        <v>0</v>
      </c>
      <c r="I574" s="52">
        <v>0</v>
      </c>
      <c r="J574" s="52">
        <v>0</v>
      </c>
      <c r="K574" s="52">
        <v>0</v>
      </c>
      <c r="L574" s="52">
        <v>0</v>
      </c>
      <c r="M574" s="52">
        <v>0</v>
      </c>
      <c r="N574" s="52">
        <v>0</v>
      </c>
      <c r="O574" s="52">
        <v>0</v>
      </c>
      <c r="P574" s="52">
        <v>0</v>
      </c>
      <c r="Q574" s="53">
        <v>0.2</v>
      </c>
      <c r="R574" s="52">
        <v>2</v>
      </c>
      <c r="S574" s="53">
        <v>0.19999998999999999</v>
      </c>
      <c r="T574" s="52">
        <v>1.1666666999999999</v>
      </c>
      <c r="U574" s="54">
        <v>0</v>
      </c>
    </row>
    <row r="575" spans="1:21" s="3" customFormat="1" ht="18" customHeight="1">
      <c r="A575" s="8" t="s">
        <v>654</v>
      </c>
      <c r="B575" s="52">
        <v>160</v>
      </c>
      <c r="C575" s="52">
        <v>16</v>
      </c>
      <c r="D575" s="52">
        <v>32</v>
      </c>
      <c r="E575" s="52">
        <v>112</v>
      </c>
      <c r="F575" s="52">
        <v>0</v>
      </c>
      <c r="G575" s="52">
        <v>0</v>
      </c>
      <c r="H575" s="52">
        <v>0</v>
      </c>
      <c r="I575" s="52">
        <v>0</v>
      </c>
      <c r="J575" s="52">
        <v>0</v>
      </c>
      <c r="K575" s="52">
        <v>0</v>
      </c>
      <c r="L575" s="52">
        <v>0</v>
      </c>
      <c r="M575" s="52">
        <v>0</v>
      </c>
      <c r="N575" s="52">
        <v>0</v>
      </c>
      <c r="O575" s="52">
        <v>0</v>
      </c>
      <c r="P575" s="52">
        <v>0</v>
      </c>
      <c r="Q575" s="53">
        <v>0.14000000000000001</v>
      </c>
      <c r="R575" s="52">
        <v>2</v>
      </c>
      <c r="S575" s="53">
        <v>0.27999996999999999</v>
      </c>
      <c r="T575" s="52">
        <v>1</v>
      </c>
      <c r="U575" s="54">
        <v>0</v>
      </c>
    </row>
    <row r="576" spans="1:21" s="3" customFormat="1" ht="18" customHeight="1">
      <c r="A576" s="8" t="s">
        <v>655</v>
      </c>
      <c r="B576" s="52">
        <v>200</v>
      </c>
      <c r="C576" s="52">
        <v>20</v>
      </c>
      <c r="D576" s="52">
        <v>20</v>
      </c>
      <c r="E576" s="52">
        <v>160</v>
      </c>
      <c r="F576" s="52">
        <v>0</v>
      </c>
      <c r="G576" s="52">
        <v>0</v>
      </c>
      <c r="H576" s="52">
        <v>0</v>
      </c>
      <c r="I576" s="52">
        <v>0</v>
      </c>
      <c r="J576" s="52">
        <v>0</v>
      </c>
      <c r="K576" s="52">
        <v>0</v>
      </c>
      <c r="L576" s="52">
        <v>0</v>
      </c>
      <c r="M576" s="52">
        <v>0</v>
      </c>
      <c r="N576" s="52">
        <v>0</v>
      </c>
      <c r="O576" s="52">
        <v>0</v>
      </c>
      <c r="P576" s="52">
        <v>0</v>
      </c>
      <c r="Q576" s="53">
        <v>0.15000000999999999</v>
      </c>
      <c r="R576" s="52">
        <v>1.5</v>
      </c>
      <c r="S576" s="53">
        <v>0.10000002</v>
      </c>
      <c r="T576" s="52">
        <v>0.91666669000000001</v>
      </c>
      <c r="U576" s="54">
        <v>0</v>
      </c>
    </row>
    <row r="577" spans="1:21" s="3" customFormat="1" ht="18" customHeight="1">
      <c r="A577" s="8" t="s">
        <v>656</v>
      </c>
      <c r="B577" s="52">
        <v>250</v>
      </c>
      <c r="C577" s="52">
        <v>25</v>
      </c>
      <c r="D577" s="52">
        <v>25</v>
      </c>
      <c r="E577" s="52">
        <v>200</v>
      </c>
      <c r="F577" s="52">
        <v>0</v>
      </c>
      <c r="G577" s="52">
        <v>0</v>
      </c>
      <c r="H577" s="52">
        <v>0</v>
      </c>
      <c r="I577" s="52">
        <v>0</v>
      </c>
      <c r="J577" s="52">
        <v>0</v>
      </c>
      <c r="K577" s="52">
        <v>0</v>
      </c>
      <c r="L577" s="52">
        <v>0</v>
      </c>
      <c r="M577" s="52">
        <v>0</v>
      </c>
      <c r="N577" s="52">
        <v>0</v>
      </c>
      <c r="O577" s="52">
        <v>0</v>
      </c>
      <c r="P577" s="52">
        <v>0</v>
      </c>
      <c r="Q577" s="53">
        <v>0.25999999000000001</v>
      </c>
      <c r="R577" s="52">
        <v>2.4000001000000002</v>
      </c>
      <c r="S577" s="53">
        <v>0.24000001000000001</v>
      </c>
      <c r="T577" s="52">
        <v>0.96666669999999999</v>
      </c>
      <c r="U577" s="54">
        <v>0</v>
      </c>
    </row>
    <row r="578" spans="1:21" s="3" customFormat="1" ht="18" customHeight="1">
      <c r="A578" s="8" t="s">
        <v>657</v>
      </c>
      <c r="B578" s="52">
        <v>150</v>
      </c>
      <c r="C578" s="52">
        <v>22.5</v>
      </c>
      <c r="D578" s="52">
        <v>22.5</v>
      </c>
      <c r="E578" s="52">
        <v>105</v>
      </c>
      <c r="F578" s="52">
        <v>0</v>
      </c>
      <c r="G578" s="52">
        <v>0</v>
      </c>
      <c r="H578" s="52">
        <v>0</v>
      </c>
      <c r="I578" s="52">
        <v>0</v>
      </c>
      <c r="J578" s="52">
        <v>0</v>
      </c>
      <c r="K578" s="52">
        <v>0</v>
      </c>
      <c r="L578" s="52">
        <v>0</v>
      </c>
      <c r="M578" s="52">
        <v>0</v>
      </c>
      <c r="N578" s="52">
        <v>0</v>
      </c>
      <c r="O578" s="52">
        <v>0</v>
      </c>
      <c r="P578" s="52">
        <v>0</v>
      </c>
      <c r="Q578" s="53">
        <v>0.13</v>
      </c>
      <c r="R578" s="52">
        <v>1.5</v>
      </c>
      <c r="S578" s="53">
        <v>0.28999996</v>
      </c>
      <c r="T578" s="52">
        <v>1.2500001000000001</v>
      </c>
      <c r="U578" s="54">
        <v>0</v>
      </c>
    </row>
    <row r="579" spans="1:21" s="3" customFormat="1" ht="18" customHeight="1">
      <c r="A579" s="8" t="s">
        <v>658</v>
      </c>
      <c r="B579" s="52">
        <v>125</v>
      </c>
      <c r="C579" s="52">
        <v>0</v>
      </c>
      <c r="D579" s="52">
        <v>0</v>
      </c>
      <c r="E579" s="52">
        <v>0</v>
      </c>
      <c r="F579" s="52">
        <v>0</v>
      </c>
      <c r="G579" s="52">
        <v>0</v>
      </c>
      <c r="H579" s="52">
        <v>0</v>
      </c>
      <c r="I579" s="52">
        <v>0</v>
      </c>
      <c r="J579" s="52">
        <v>0</v>
      </c>
      <c r="K579" s="52">
        <v>0</v>
      </c>
      <c r="L579" s="52">
        <v>0</v>
      </c>
      <c r="M579" s="52">
        <v>0</v>
      </c>
      <c r="N579" s="52">
        <v>0</v>
      </c>
      <c r="O579" s="52">
        <v>125</v>
      </c>
      <c r="P579" s="52">
        <v>0</v>
      </c>
      <c r="Q579" s="53">
        <v>0.02</v>
      </c>
      <c r="R579" s="52">
        <v>1.5</v>
      </c>
      <c r="S579" s="53">
        <v>0.30000000999999998</v>
      </c>
      <c r="T579" s="52">
        <v>2.6666666999999999</v>
      </c>
      <c r="U579" s="54">
        <v>1</v>
      </c>
    </row>
    <row r="580" spans="1:21" s="3" customFormat="1" ht="18" customHeight="1">
      <c r="A580" s="8" t="s">
        <v>659</v>
      </c>
      <c r="B580" s="52">
        <v>140</v>
      </c>
      <c r="C580" s="52">
        <v>0</v>
      </c>
      <c r="D580" s="52">
        <v>0</v>
      </c>
      <c r="E580" s="52">
        <v>0</v>
      </c>
      <c r="F580" s="52">
        <v>0</v>
      </c>
      <c r="G580" s="52">
        <v>0</v>
      </c>
      <c r="H580" s="52">
        <v>0</v>
      </c>
      <c r="I580" s="52">
        <v>0</v>
      </c>
      <c r="J580" s="52">
        <v>0</v>
      </c>
      <c r="K580" s="52">
        <v>0</v>
      </c>
      <c r="L580" s="52">
        <v>0</v>
      </c>
      <c r="M580" s="52">
        <v>0</v>
      </c>
      <c r="N580" s="52">
        <v>0</v>
      </c>
      <c r="O580" s="52">
        <v>140</v>
      </c>
      <c r="P580" s="52">
        <v>0</v>
      </c>
      <c r="Q580" s="53">
        <v>0.1</v>
      </c>
      <c r="R580" s="52">
        <v>2</v>
      </c>
      <c r="S580" s="53">
        <v>0.30000000999999998</v>
      </c>
      <c r="T580" s="52">
        <v>2.6666666999999999</v>
      </c>
      <c r="U580" s="54">
        <v>1</v>
      </c>
    </row>
    <row r="581" spans="1:21" s="3" customFormat="1" ht="18" customHeight="1">
      <c r="A581" s="8" t="s">
        <v>660</v>
      </c>
      <c r="B581" s="52">
        <v>28</v>
      </c>
      <c r="C581" s="52">
        <v>5.5999999000000003</v>
      </c>
      <c r="D581" s="52">
        <v>22.4</v>
      </c>
      <c r="E581" s="52">
        <v>0</v>
      </c>
      <c r="F581" s="52">
        <v>0</v>
      </c>
      <c r="G581" s="52">
        <v>0</v>
      </c>
      <c r="H581" s="52">
        <v>0</v>
      </c>
      <c r="I581" s="52">
        <v>0</v>
      </c>
      <c r="J581" s="52">
        <v>0</v>
      </c>
      <c r="K581" s="52">
        <v>0</v>
      </c>
      <c r="L581" s="52">
        <v>0</v>
      </c>
      <c r="M581" s="52">
        <v>0</v>
      </c>
      <c r="N581" s="52">
        <v>0</v>
      </c>
      <c r="O581" s="52">
        <v>0</v>
      </c>
      <c r="P581" s="52">
        <v>0</v>
      </c>
      <c r="Q581" s="53">
        <v>0.16</v>
      </c>
      <c r="R581" s="52">
        <v>1.6</v>
      </c>
      <c r="S581" s="53">
        <v>0.27999996999999999</v>
      </c>
      <c r="T581" s="52">
        <v>12.500000999999999</v>
      </c>
      <c r="U581" s="54">
        <v>1</v>
      </c>
    </row>
    <row r="582" spans="1:21" s="3" customFormat="1" ht="18" customHeight="1">
      <c r="A582" s="8" t="s">
        <v>661</v>
      </c>
      <c r="B582" s="52">
        <v>176</v>
      </c>
      <c r="C582" s="52">
        <v>0</v>
      </c>
      <c r="D582" s="52">
        <v>30</v>
      </c>
      <c r="E582" s="52">
        <v>66</v>
      </c>
      <c r="F582" s="52">
        <v>0</v>
      </c>
      <c r="G582" s="52">
        <v>0</v>
      </c>
      <c r="H582" s="52">
        <v>80</v>
      </c>
      <c r="I582" s="52">
        <v>0</v>
      </c>
      <c r="J582" s="52">
        <v>0</v>
      </c>
      <c r="K582" s="52">
        <v>0</v>
      </c>
      <c r="L582" s="52">
        <v>0</v>
      </c>
      <c r="M582" s="52">
        <v>0</v>
      </c>
      <c r="N582" s="52">
        <v>0</v>
      </c>
      <c r="O582" s="52">
        <v>0</v>
      </c>
      <c r="P582" s="52">
        <v>0</v>
      </c>
      <c r="Q582" s="53">
        <v>0.15000000999999999</v>
      </c>
      <c r="R582" s="52">
        <v>1.5</v>
      </c>
      <c r="S582" s="53">
        <v>0.30000000999999998</v>
      </c>
      <c r="T582" s="52">
        <v>1.2500001000000001</v>
      </c>
      <c r="U582" s="54">
        <v>0</v>
      </c>
    </row>
    <row r="583" spans="1:21" s="3" customFormat="1" ht="18" customHeight="1">
      <c r="A583" s="8" t="s">
        <v>662</v>
      </c>
      <c r="B583" s="52">
        <v>375</v>
      </c>
      <c r="C583" s="52">
        <v>75</v>
      </c>
      <c r="D583" s="52">
        <v>0</v>
      </c>
      <c r="E583" s="52">
        <v>0</v>
      </c>
      <c r="F583" s="52">
        <v>0</v>
      </c>
      <c r="G583" s="52">
        <v>0</v>
      </c>
      <c r="H583" s="52">
        <v>0</v>
      </c>
      <c r="I583" s="52">
        <v>0</v>
      </c>
      <c r="J583" s="52">
        <v>300</v>
      </c>
      <c r="K583" s="52">
        <v>0</v>
      </c>
      <c r="L583" s="52">
        <v>0</v>
      </c>
      <c r="M583" s="52">
        <v>0</v>
      </c>
      <c r="N583" s="52">
        <v>0</v>
      </c>
      <c r="O583" s="52">
        <v>0</v>
      </c>
      <c r="P583" s="52">
        <v>0</v>
      </c>
      <c r="Q583" s="53">
        <v>0.25999999000000001</v>
      </c>
      <c r="R583" s="52">
        <v>2</v>
      </c>
      <c r="S583" s="53">
        <v>0.25999999000000001</v>
      </c>
      <c r="T583" s="52">
        <v>2</v>
      </c>
      <c r="U583" s="54">
        <v>1</v>
      </c>
    </row>
    <row r="584" spans="1:21" s="3" customFormat="1" ht="18" customHeight="1">
      <c r="A584" s="8" t="s">
        <v>663</v>
      </c>
      <c r="B584" s="52">
        <v>0</v>
      </c>
      <c r="C584" s="52">
        <v>0</v>
      </c>
      <c r="D584" s="52">
        <v>0</v>
      </c>
      <c r="E584" s="52">
        <v>0</v>
      </c>
      <c r="F584" s="52">
        <v>0</v>
      </c>
      <c r="G584" s="52">
        <v>0</v>
      </c>
      <c r="H584" s="52">
        <v>0</v>
      </c>
      <c r="I584" s="52">
        <v>0</v>
      </c>
      <c r="J584" s="52">
        <v>0</v>
      </c>
      <c r="K584" s="52">
        <v>0</v>
      </c>
      <c r="L584" s="52">
        <v>0</v>
      </c>
      <c r="M584" s="52">
        <v>0</v>
      </c>
      <c r="N584" s="52">
        <v>0</v>
      </c>
      <c r="O584" s="52">
        <v>0</v>
      </c>
      <c r="P584" s="52">
        <v>0</v>
      </c>
      <c r="Q584" s="53">
        <v>0</v>
      </c>
      <c r="R584" s="52">
        <v>0</v>
      </c>
      <c r="S584" s="53">
        <v>0</v>
      </c>
      <c r="T584" s="52">
        <v>0</v>
      </c>
      <c r="U584" s="54">
        <v>0</v>
      </c>
    </row>
    <row r="585" spans="1:21" s="3" customFormat="1" ht="18" customHeight="1">
      <c r="A585" s="8" t="s">
        <v>664</v>
      </c>
      <c r="B585" s="52">
        <v>101</v>
      </c>
      <c r="C585" s="52">
        <v>33.666668000000001</v>
      </c>
      <c r="D585" s="52">
        <v>33.666668000000001</v>
      </c>
      <c r="E585" s="52">
        <v>33.666663999999997</v>
      </c>
      <c r="F585" s="52">
        <v>0</v>
      </c>
      <c r="G585" s="52">
        <v>0</v>
      </c>
      <c r="H585" s="52">
        <v>0</v>
      </c>
      <c r="I585" s="52">
        <v>0</v>
      </c>
      <c r="J585" s="52">
        <v>0</v>
      </c>
      <c r="K585" s="52">
        <v>0</v>
      </c>
      <c r="L585" s="52">
        <v>0</v>
      </c>
      <c r="M585" s="52">
        <v>0</v>
      </c>
      <c r="N585" s="52">
        <v>0</v>
      </c>
      <c r="O585" s="52">
        <v>0</v>
      </c>
      <c r="P585" s="52">
        <v>0</v>
      </c>
      <c r="Q585" s="53">
        <v>5.0000001000000002E-2</v>
      </c>
      <c r="R585" s="52">
        <v>1.5</v>
      </c>
      <c r="S585" s="53">
        <v>0.13</v>
      </c>
      <c r="T585" s="52">
        <v>2</v>
      </c>
      <c r="U585" s="54">
        <v>1</v>
      </c>
    </row>
    <row r="586" spans="1:21" s="3" customFormat="1" ht="18" customHeight="1">
      <c r="A586" s="8" t="s">
        <v>665</v>
      </c>
      <c r="B586" s="52">
        <v>0</v>
      </c>
      <c r="C586" s="52">
        <v>0</v>
      </c>
      <c r="D586" s="52">
        <v>0</v>
      </c>
      <c r="E586" s="52">
        <v>0</v>
      </c>
      <c r="F586" s="52">
        <v>0</v>
      </c>
      <c r="G586" s="52">
        <v>0</v>
      </c>
      <c r="H586" s="52">
        <v>0</v>
      </c>
      <c r="I586" s="52">
        <v>0</v>
      </c>
      <c r="J586" s="52">
        <v>0</v>
      </c>
      <c r="K586" s="52">
        <v>0</v>
      </c>
      <c r="L586" s="52">
        <v>0</v>
      </c>
      <c r="M586" s="52">
        <v>0</v>
      </c>
      <c r="N586" s="52">
        <v>0</v>
      </c>
      <c r="O586" s="52">
        <v>0</v>
      </c>
      <c r="P586" s="52">
        <v>0</v>
      </c>
      <c r="Q586" s="53">
        <v>0</v>
      </c>
      <c r="R586" s="52">
        <v>0</v>
      </c>
      <c r="S586" s="53">
        <v>0</v>
      </c>
      <c r="T586" s="52">
        <v>0</v>
      </c>
      <c r="U586" s="54">
        <v>0</v>
      </c>
    </row>
    <row r="587" spans="1:21" s="3" customFormat="1" ht="18" customHeight="1">
      <c r="A587" s="8" t="s">
        <v>666</v>
      </c>
      <c r="B587" s="52">
        <v>94</v>
      </c>
      <c r="C587" s="52">
        <v>9.6000004000000008</v>
      </c>
      <c r="D587" s="52">
        <v>26.880001</v>
      </c>
      <c r="E587" s="52">
        <v>11.52</v>
      </c>
      <c r="F587" s="52">
        <v>46</v>
      </c>
      <c r="G587" s="52">
        <v>0</v>
      </c>
      <c r="H587" s="52">
        <v>0</v>
      </c>
      <c r="I587" s="52">
        <v>0</v>
      </c>
      <c r="J587" s="52">
        <v>0</v>
      </c>
      <c r="K587" s="52">
        <v>0</v>
      </c>
      <c r="L587" s="52">
        <v>0</v>
      </c>
      <c r="M587" s="52">
        <v>0</v>
      </c>
      <c r="N587" s="52">
        <v>0</v>
      </c>
      <c r="O587" s="52">
        <v>0</v>
      </c>
      <c r="P587" s="52">
        <v>0</v>
      </c>
      <c r="Q587" s="53">
        <v>0.30000000999999998</v>
      </c>
      <c r="R587" s="52">
        <v>2.2000000000000002</v>
      </c>
      <c r="S587" s="53">
        <v>0.13999998999999999</v>
      </c>
      <c r="T587" s="52">
        <v>3.6666664999999998</v>
      </c>
      <c r="U587" s="54">
        <v>1</v>
      </c>
    </row>
    <row r="588" spans="1:21" s="3" customFormat="1" ht="18" customHeight="1">
      <c r="A588" s="8" t="s">
        <v>667</v>
      </c>
      <c r="B588" s="52">
        <v>234</v>
      </c>
      <c r="C588" s="52">
        <v>0</v>
      </c>
      <c r="D588" s="52">
        <v>0</v>
      </c>
      <c r="E588" s="52">
        <v>96</v>
      </c>
      <c r="F588" s="52">
        <v>0</v>
      </c>
      <c r="G588" s="52">
        <v>0</v>
      </c>
      <c r="H588" s="52">
        <v>138</v>
      </c>
      <c r="I588" s="52">
        <v>0</v>
      </c>
      <c r="J588" s="52">
        <v>0</v>
      </c>
      <c r="K588" s="52">
        <v>0</v>
      </c>
      <c r="L588" s="52">
        <v>0</v>
      </c>
      <c r="M588" s="52">
        <v>0</v>
      </c>
      <c r="N588" s="52">
        <v>0</v>
      </c>
      <c r="O588" s="52">
        <v>0</v>
      </c>
      <c r="P588" s="52">
        <v>0</v>
      </c>
      <c r="Q588" s="53">
        <v>7.9999998000000003E-2</v>
      </c>
      <c r="R588" s="52">
        <v>1.5</v>
      </c>
      <c r="S588" s="53">
        <v>0.25999999000000001</v>
      </c>
      <c r="T588" s="52">
        <v>0.91666669000000001</v>
      </c>
      <c r="U588" s="54">
        <v>0</v>
      </c>
    </row>
    <row r="589" spans="1:21" s="3" customFormat="1" ht="18" customHeight="1">
      <c r="A589" s="8" t="s">
        <v>668</v>
      </c>
      <c r="B589" s="52">
        <v>240</v>
      </c>
      <c r="C589" s="52">
        <v>72</v>
      </c>
      <c r="D589" s="52">
        <v>48</v>
      </c>
      <c r="E589" s="52">
        <v>120</v>
      </c>
      <c r="F589" s="52">
        <v>0</v>
      </c>
      <c r="G589" s="52">
        <v>0</v>
      </c>
      <c r="H589" s="52">
        <v>0</v>
      </c>
      <c r="I589" s="52">
        <v>0</v>
      </c>
      <c r="J589" s="52">
        <v>0</v>
      </c>
      <c r="K589" s="52">
        <v>0</v>
      </c>
      <c r="L589" s="52">
        <v>0</v>
      </c>
      <c r="M589" s="52">
        <v>0</v>
      </c>
      <c r="N589" s="52">
        <v>0</v>
      </c>
      <c r="O589" s="52">
        <v>0</v>
      </c>
      <c r="P589" s="52">
        <v>0</v>
      </c>
      <c r="Q589" s="53">
        <v>0.38</v>
      </c>
      <c r="R589" s="52">
        <v>2.5999998999999998</v>
      </c>
      <c r="S589" s="53">
        <v>0.24000001000000001</v>
      </c>
      <c r="T589" s="52">
        <v>1</v>
      </c>
      <c r="U589" s="54">
        <v>0</v>
      </c>
    </row>
    <row r="590" spans="1:21" s="3" customFormat="1" ht="18" customHeight="1">
      <c r="A590" s="8" t="s">
        <v>669</v>
      </c>
      <c r="B590" s="52">
        <v>240</v>
      </c>
      <c r="C590" s="52">
        <v>72</v>
      </c>
      <c r="D590" s="52">
        <v>48</v>
      </c>
      <c r="E590" s="52">
        <v>120</v>
      </c>
      <c r="F590" s="52">
        <v>0</v>
      </c>
      <c r="G590" s="52">
        <v>0</v>
      </c>
      <c r="H590" s="52">
        <v>0</v>
      </c>
      <c r="I590" s="52">
        <v>0</v>
      </c>
      <c r="J590" s="52">
        <v>0</v>
      </c>
      <c r="K590" s="52">
        <v>0</v>
      </c>
      <c r="L590" s="52">
        <v>0</v>
      </c>
      <c r="M590" s="52">
        <v>0</v>
      </c>
      <c r="N590" s="52">
        <v>0</v>
      </c>
      <c r="O590" s="52">
        <v>0</v>
      </c>
      <c r="P590" s="52">
        <v>0</v>
      </c>
      <c r="Q590" s="53">
        <v>0.38</v>
      </c>
      <c r="R590" s="52">
        <v>2.5999998999999998</v>
      </c>
      <c r="S590" s="53">
        <v>0.24000001000000001</v>
      </c>
      <c r="T590" s="52">
        <v>1</v>
      </c>
      <c r="U590" s="54">
        <v>0</v>
      </c>
    </row>
    <row r="591" spans="1:21" s="3" customFormat="1" ht="18" customHeight="1">
      <c r="A591" s="8" t="s">
        <v>670</v>
      </c>
      <c r="B591" s="52">
        <v>180</v>
      </c>
      <c r="C591" s="52">
        <v>180</v>
      </c>
      <c r="D591" s="52">
        <v>0</v>
      </c>
      <c r="E591" s="52">
        <v>0</v>
      </c>
      <c r="F591" s="52">
        <v>0</v>
      </c>
      <c r="G591" s="52">
        <v>0</v>
      </c>
      <c r="H591" s="52">
        <v>0</v>
      </c>
      <c r="I591" s="52">
        <v>0</v>
      </c>
      <c r="J591" s="52">
        <v>0</v>
      </c>
      <c r="K591" s="52">
        <v>0</v>
      </c>
      <c r="L591" s="52">
        <v>0</v>
      </c>
      <c r="M591" s="52">
        <v>0</v>
      </c>
      <c r="N591" s="52">
        <v>0</v>
      </c>
      <c r="O591" s="52">
        <v>0</v>
      </c>
      <c r="P591" s="52">
        <v>0</v>
      </c>
      <c r="Q591" s="53">
        <v>0.18000000999999999</v>
      </c>
      <c r="R591" s="52">
        <v>2</v>
      </c>
      <c r="S591" s="53">
        <v>0.34000003000000001</v>
      </c>
      <c r="T591" s="52">
        <v>1.1666666999999999</v>
      </c>
      <c r="U591" s="54">
        <v>0</v>
      </c>
    </row>
    <row r="592" spans="1:21" s="3" customFormat="1" ht="18" customHeight="1">
      <c r="A592" s="8" t="s">
        <v>671</v>
      </c>
      <c r="B592" s="52">
        <v>158</v>
      </c>
      <c r="C592" s="52">
        <v>0</v>
      </c>
      <c r="D592" s="52">
        <v>0</v>
      </c>
      <c r="E592" s="52">
        <v>0</v>
      </c>
      <c r="F592" s="52">
        <v>71</v>
      </c>
      <c r="G592" s="52">
        <v>0</v>
      </c>
      <c r="H592" s="52">
        <v>87</v>
      </c>
      <c r="I592" s="52">
        <v>0</v>
      </c>
      <c r="J592" s="52">
        <v>0</v>
      </c>
      <c r="K592" s="52">
        <v>0</v>
      </c>
      <c r="L592" s="52">
        <v>0</v>
      </c>
      <c r="M592" s="52">
        <v>0</v>
      </c>
      <c r="N592" s="52">
        <v>0</v>
      </c>
      <c r="O592" s="52">
        <v>0</v>
      </c>
      <c r="P592" s="52">
        <v>0</v>
      </c>
      <c r="Q592" s="53">
        <v>0.25</v>
      </c>
      <c r="R592" s="52">
        <v>2.0999998999999998</v>
      </c>
      <c r="S592" s="53">
        <v>0.23000002</v>
      </c>
      <c r="T592" s="52">
        <v>2.5000002000000001</v>
      </c>
      <c r="U592" s="54">
        <v>1</v>
      </c>
    </row>
    <row r="593" spans="1:21" s="3" customFormat="1" ht="18" customHeight="1">
      <c r="A593" s="8" t="s">
        <v>672</v>
      </c>
      <c r="B593" s="52">
        <v>270</v>
      </c>
      <c r="C593" s="52">
        <v>13.5</v>
      </c>
      <c r="D593" s="52">
        <v>13.5</v>
      </c>
      <c r="E593" s="52">
        <v>243</v>
      </c>
      <c r="F593" s="52">
        <v>0</v>
      </c>
      <c r="G593" s="52">
        <v>0</v>
      </c>
      <c r="H593" s="52">
        <v>0</v>
      </c>
      <c r="I593" s="52">
        <v>0</v>
      </c>
      <c r="J593" s="52">
        <v>0</v>
      </c>
      <c r="K593" s="52">
        <v>0</v>
      </c>
      <c r="L593" s="52">
        <v>0</v>
      </c>
      <c r="M593" s="52">
        <v>0</v>
      </c>
      <c r="N593" s="52">
        <v>0</v>
      </c>
      <c r="O593" s="52">
        <v>0</v>
      </c>
      <c r="P593" s="52">
        <v>0</v>
      </c>
      <c r="Q593" s="53">
        <v>0.13</v>
      </c>
      <c r="R593" s="52">
        <v>2.0999998999999998</v>
      </c>
      <c r="S593" s="53">
        <v>0.25</v>
      </c>
      <c r="T593" s="52">
        <v>0.66666669000000001</v>
      </c>
      <c r="U593" s="54">
        <v>0</v>
      </c>
    </row>
    <row r="594" spans="1:21" s="3" customFormat="1" ht="18" customHeight="1">
      <c r="A594" s="8" t="s">
        <v>673</v>
      </c>
      <c r="B594" s="52">
        <v>0</v>
      </c>
      <c r="C594" s="52">
        <v>0</v>
      </c>
      <c r="D594" s="52">
        <v>0</v>
      </c>
      <c r="E594" s="52">
        <v>0</v>
      </c>
      <c r="F594" s="52">
        <v>0</v>
      </c>
      <c r="G594" s="52">
        <v>0</v>
      </c>
      <c r="H594" s="52">
        <v>0</v>
      </c>
      <c r="I594" s="52">
        <v>0</v>
      </c>
      <c r="J594" s="52">
        <v>0</v>
      </c>
      <c r="K594" s="52">
        <v>0</v>
      </c>
      <c r="L594" s="52">
        <v>0</v>
      </c>
      <c r="M594" s="52">
        <v>0</v>
      </c>
      <c r="N594" s="52">
        <v>0</v>
      </c>
      <c r="O594" s="52">
        <v>0</v>
      </c>
      <c r="P594" s="52">
        <v>0</v>
      </c>
      <c r="Q594" s="53">
        <v>0</v>
      </c>
      <c r="R594" s="52">
        <v>0</v>
      </c>
      <c r="S594" s="53">
        <v>0</v>
      </c>
      <c r="T594" s="52">
        <v>0</v>
      </c>
      <c r="U594" s="54">
        <v>0</v>
      </c>
    </row>
    <row r="595" spans="1:21" s="3" customFormat="1" ht="18" customHeight="1">
      <c r="A595" s="8" t="s">
        <v>674</v>
      </c>
      <c r="B595" s="52">
        <v>0</v>
      </c>
      <c r="C595" s="52">
        <v>0</v>
      </c>
      <c r="D595" s="52">
        <v>0</v>
      </c>
      <c r="E595" s="52">
        <v>0</v>
      </c>
      <c r="F595" s="52">
        <v>0</v>
      </c>
      <c r="G595" s="52">
        <v>0</v>
      </c>
      <c r="H595" s="52">
        <v>0</v>
      </c>
      <c r="I595" s="52">
        <v>0</v>
      </c>
      <c r="J595" s="52">
        <v>0</v>
      </c>
      <c r="K595" s="52">
        <v>0</v>
      </c>
      <c r="L595" s="52">
        <v>0</v>
      </c>
      <c r="M595" s="52">
        <v>0</v>
      </c>
      <c r="N595" s="52">
        <v>0</v>
      </c>
      <c r="O595" s="52">
        <v>0</v>
      </c>
      <c r="P595" s="52">
        <v>0</v>
      </c>
      <c r="Q595" s="53">
        <v>0</v>
      </c>
      <c r="R595" s="52">
        <v>0</v>
      </c>
      <c r="S595" s="53">
        <v>0</v>
      </c>
      <c r="T595" s="52">
        <v>0</v>
      </c>
      <c r="U595" s="54">
        <v>0</v>
      </c>
    </row>
    <row r="596" spans="1:21" s="3" customFormat="1" ht="18" customHeight="1">
      <c r="A596" s="8" t="s">
        <v>675</v>
      </c>
      <c r="B596" s="52">
        <v>0</v>
      </c>
      <c r="C596" s="52">
        <v>0</v>
      </c>
      <c r="D596" s="52">
        <v>0</v>
      </c>
      <c r="E596" s="52">
        <v>0</v>
      </c>
      <c r="F596" s="52">
        <v>0</v>
      </c>
      <c r="G596" s="52">
        <v>0</v>
      </c>
      <c r="H596" s="52">
        <v>0</v>
      </c>
      <c r="I596" s="52">
        <v>0</v>
      </c>
      <c r="J596" s="52">
        <v>0</v>
      </c>
      <c r="K596" s="52">
        <v>0</v>
      </c>
      <c r="L596" s="52">
        <v>0</v>
      </c>
      <c r="M596" s="52">
        <v>0</v>
      </c>
      <c r="N596" s="52">
        <v>0</v>
      </c>
      <c r="O596" s="52">
        <v>0</v>
      </c>
      <c r="P596" s="52">
        <v>0</v>
      </c>
      <c r="Q596" s="53">
        <v>0</v>
      </c>
      <c r="R596" s="52">
        <v>0</v>
      </c>
      <c r="S596" s="53">
        <v>0</v>
      </c>
      <c r="T596" s="52">
        <v>0</v>
      </c>
      <c r="U596" s="54">
        <v>0</v>
      </c>
    </row>
    <row r="597" spans="1:21" s="3" customFormat="1" ht="18" customHeight="1">
      <c r="A597" s="8" t="s">
        <v>676</v>
      </c>
      <c r="B597" s="52">
        <v>0</v>
      </c>
      <c r="C597" s="52">
        <v>0</v>
      </c>
      <c r="D597" s="52">
        <v>0</v>
      </c>
      <c r="E597" s="52">
        <v>0</v>
      </c>
      <c r="F597" s="52">
        <v>0</v>
      </c>
      <c r="G597" s="52">
        <v>0</v>
      </c>
      <c r="H597" s="52">
        <v>0</v>
      </c>
      <c r="I597" s="52">
        <v>0</v>
      </c>
      <c r="J597" s="52">
        <v>0</v>
      </c>
      <c r="K597" s="52">
        <v>0</v>
      </c>
      <c r="L597" s="52">
        <v>0</v>
      </c>
      <c r="M597" s="52">
        <v>0</v>
      </c>
      <c r="N597" s="52">
        <v>0</v>
      </c>
      <c r="O597" s="52">
        <v>0</v>
      </c>
      <c r="P597" s="52">
        <v>0</v>
      </c>
      <c r="Q597" s="53">
        <v>0</v>
      </c>
      <c r="R597" s="52">
        <v>0</v>
      </c>
      <c r="S597" s="53">
        <v>0</v>
      </c>
      <c r="T597" s="52">
        <v>0</v>
      </c>
      <c r="U597" s="54">
        <v>0</v>
      </c>
    </row>
    <row r="598" spans="1:21" s="3" customFormat="1" ht="18" customHeight="1">
      <c r="A598" s="8" t="s">
        <v>677</v>
      </c>
      <c r="B598" s="52">
        <v>270</v>
      </c>
      <c r="C598" s="52">
        <v>70</v>
      </c>
      <c r="D598" s="52">
        <v>20</v>
      </c>
      <c r="E598" s="52">
        <v>50</v>
      </c>
      <c r="F598" s="52">
        <v>0</v>
      </c>
      <c r="G598" s="52">
        <v>130</v>
      </c>
      <c r="H598" s="52">
        <v>0</v>
      </c>
      <c r="I598" s="52">
        <v>0</v>
      </c>
      <c r="J598" s="52">
        <v>0</v>
      </c>
      <c r="K598" s="52">
        <v>0</v>
      </c>
      <c r="L598" s="52">
        <v>0</v>
      </c>
      <c r="M598" s="52">
        <v>0</v>
      </c>
      <c r="N598" s="52">
        <v>0</v>
      </c>
      <c r="O598" s="52">
        <v>0</v>
      </c>
      <c r="P598" s="52">
        <v>0</v>
      </c>
      <c r="Q598" s="53">
        <v>0.15000000999999999</v>
      </c>
      <c r="R598" s="52">
        <v>2</v>
      </c>
      <c r="S598" s="53">
        <v>0.30000000999999998</v>
      </c>
      <c r="T598" s="52">
        <v>1</v>
      </c>
      <c r="U598" s="54">
        <v>0</v>
      </c>
    </row>
    <row r="599" spans="1:21" s="3" customFormat="1" ht="18" customHeight="1">
      <c r="A599" s="8" t="s">
        <v>678</v>
      </c>
      <c r="B599" s="52">
        <v>30</v>
      </c>
      <c r="C599" s="52">
        <v>21</v>
      </c>
      <c r="D599" s="52">
        <v>4.5</v>
      </c>
      <c r="E599" s="52">
        <v>4.4999989999999999</v>
      </c>
      <c r="F599" s="52">
        <v>0</v>
      </c>
      <c r="G599" s="52">
        <v>0</v>
      </c>
      <c r="H599" s="52">
        <v>0</v>
      </c>
      <c r="I599" s="52">
        <v>0</v>
      </c>
      <c r="J599" s="52">
        <v>0</v>
      </c>
      <c r="K599" s="52">
        <v>0</v>
      </c>
      <c r="L599" s="52">
        <v>0</v>
      </c>
      <c r="M599" s="52">
        <v>0</v>
      </c>
      <c r="N599" s="52">
        <v>0</v>
      </c>
      <c r="O599" s="52">
        <v>0</v>
      </c>
      <c r="P599" s="52">
        <v>0</v>
      </c>
      <c r="Q599" s="53">
        <v>0.16</v>
      </c>
      <c r="R599" s="52">
        <v>2</v>
      </c>
      <c r="S599" s="53">
        <v>6.0000001999999997E-2</v>
      </c>
      <c r="T599" s="52">
        <v>7.3943662999999997</v>
      </c>
      <c r="U599" s="54">
        <v>1</v>
      </c>
    </row>
    <row r="600" spans="1:21" s="3" customFormat="1" ht="18" customHeight="1">
      <c r="A600" s="8" t="s">
        <v>679</v>
      </c>
      <c r="B600" s="52">
        <v>50</v>
      </c>
      <c r="C600" s="52">
        <v>20</v>
      </c>
      <c r="D600" s="52">
        <v>15.000000999999999</v>
      </c>
      <c r="E600" s="52">
        <v>14.999998</v>
      </c>
      <c r="F600" s="52">
        <v>0</v>
      </c>
      <c r="G600" s="52">
        <v>0</v>
      </c>
      <c r="H600" s="52">
        <v>0</v>
      </c>
      <c r="I600" s="52">
        <v>0</v>
      </c>
      <c r="J600" s="52">
        <v>0</v>
      </c>
      <c r="K600" s="52">
        <v>0</v>
      </c>
      <c r="L600" s="52">
        <v>0</v>
      </c>
      <c r="M600" s="52">
        <v>0</v>
      </c>
      <c r="N600" s="52">
        <v>0</v>
      </c>
      <c r="O600" s="52">
        <v>0</v>
      </c>
      <c r="P600" s="52">
        <v>0</v>
      </c>
      <c r="Q600" s="53">
        <v>0.25</v>
      </c>
      <c r="R600" s="52">
        <v>2</v>
      </c>
      <c r="S600" s="53">
        <v>0.19999998999999999</v>
      </c>
      <c r="T600" s="52">
        <v>9.375</v>
      </c>
      <c r="U600" s="54">
        <v>1</v>
      </c>
    </row>
    <row r="601" spans="1:21" s="3" customFormat="1" ht="18" customHeight="1">
      <c r="A601" s="8" t="s">
        <v>680</v>
      </c>
      <c r="B601" s="52">
        <v>174</v>
      </c>
      <c r="C601" s="52">
        <v>38.279998999999997</v>
      </c>
      <c r="D601" s="52">
        <v>27.84</v>
      </c>
      <c r="E601" s="52">
        <v>107.88</v>
      </c>
      <c r="F601" s="52">
        <v>0</v>
      </c>
      <c r="G601" s="52">
        <v>0</v>
      </c>
      <c r="H601" s="52">
        <v>0</v>
      </c>
      <c r="I601" s="52">
        <v>0</v>
      </c>
      <c r="J601" s="52">
        <v>0</v>
      </c>
      <c r="K601" s="52">
        <v>0</v>
      </c>
      <c r="L601" s="52">
        <v>0</v>
      </c>
      <c r="M601" s="52">
        <v>0</v>
      </c>
      <c r="N601" s="52">
        <v>0</v>
      </c>
      <c r="O601" s="52">
        <v>0</v>
      </c>
      <c r="P601" s="52">
        <v>0</v>
      </c>
      <c r="Q601" s="53">
        <v>0.28000000000000003</v>
      </c>
      <c r="R601" s="52">
        <v>2.2000000000000002</v>
      </c>
      <c r="S601" s="53">
        <v>0.15999996999999999</v>
      </c>
      <c r="T601" s="52">
        <v>1.0833333999999999</v>
      </c>
      <c r="U601" s="54">
        <v>0</v>
      </c>
    </row>
    <row r="602" spans="1:21" s="3" customFormat="1" ht="18" customHeight="1">
      <c r="A602" s="8" t="s">
        <v>681</v>
      </c>
      <c r="B602" s="52">
        <v>98</v>
      </c>
      <c r="C602" s="52">
        <v>0</v>
      </c>
      <c r="D602" s="52">
        <v>0</v>
      </c>
      <c r="E602" s="52">
        <v>0</v>
      </c>
      <c r="F602" s="52">
        <v>98</v>
      </c>
      <c r="G602" s="52">
        <v>0</v>
      </c>
      <c r="H602" s="52">
        <v>0</v>
      </c>
      <c r="I602" s="52">
        <v>0</v>
      </c>
      <c r="J602" s="52">
        <v>0</v>
      </c>
      <c r="K602" s="52">
        <v>0</v>
      </c>
      <c r="L602" s="52">
        <v>0</v>
      </c>
      <c r="M602" s="52">
        <v>0</v>
      </c>
      <c r="N602" s="52">
        <v>0</v>
      </c>
      <c r="O602" s="52">
        <v>0</v>
      </c>
      <c r="P602" s="52">
        <v>0</v>
      </c>
      <c r="Q602" s="53">
        <v>5.0000001000000002E-2</v>
      </c>
      <c r="R602" s="52">
        <v>1.5</v>
      </c>
      <c r="S602" s="53">
        <v>0.19999998999999999</v>
      </c>
      <c r="T602" s="52">
        <v>1</v>
      </c>
      <c r="U602" s="54">
        <v>0</v>
      </c>
    </row>
    <row r="603" spans="1:21" s="3" customFormat="1" ht="18" customHeight="1">
      <c r="A603" s="8" t="s">
        <v>682</v>
      </c>
      <c r="B603" s="52">
        <v>318</v>
      </c>
      <c r="C603" s="52">
        <v>0</v>
      </c>
      <c r="D603" s="52">
        <v>0</v>
      </c>
      <c r="E603" s="52">
        <v>0</v>
      </c>
      <c r="F603" s="52">
        <v>318</v>
      </c>
      <c r="G603" s="52">
        <v>0</v>
      </c>
      <c r="H603" s="52">
        <v>0</v>
      </c>
      <c r="I603" s="52">
        <v>0</v>
      </c>
      <c r="J603" s="52">
        <v>0</v>
      </c>
      <c r="K603" s="52">
        <v>0</v>
      </c>
      <c r="L603" s="52">
        <v>0</v>
      </c>
      <c r="M603" s="52">
        <v>0</v>
      </c>
      <c r="N603" s="52">
        <v>0</v>
      </c>
      <c r="O603" s="52">
        <v>0</v>
      </c>
      <c r="P603" s="52">
        <v>0</v>
      </c>
      <c r="Q603" s="53">
        <v>0.25</v>
      </c>
      <c r="R603" s="52">
        <v>2</v>
      </c>
      <c r="S603" s="53">
        <v>0.30000000999999998</v>
      </c>
      <c r="T603" s="52">
        <v>0.75000005999999997</v>
      </c>
      <c r="U603" s="54">
        <v>0</v>
      </c>
    </row>
    <row r="604" spans="1:21" s="3" customFormat="1" ht="18" customHeight="1">
      <c r="A604" s="8" t="s">
        <v>683</v>
      </c>
      <c r="B604" s="52">
        <v>200</v>
      </c>
      <c r="C604" s="52">
        <v>0</v>
      </c>
      <c r="D604" s="52">
        <v>0</v>
      </c>
      <c r="E604" s="52">
        <v>0</v>
      </c>
      <c r="F604" s="52">
        <v>0</v>
      </c>
      <c r="G604" s="52">
        <v>0</v>
      </c>
      <c r="H604" s="52">
        <v>0</v>
      </c>
      <c r="I604" s="52">
        <v>0</v>
      </c>
      <c r="J604" s="52">
        <v>0</v>
      </c>
      <c r="K604" s="52">
        <v>0</v>
      </c>
      <c r="L604" s="52">
        <v>0</v>
      </c>
      <c r="M604" s="52">
        <v>200</v>
      </c>
      <c r="N604" s="52">
        <v>0</v>
      </c>
      <c r="O604" s="52">
        <v>0</v>
      </c>
      <c r="P604" s="52">
        <v>0</v>
      </c>
      <c r="Q604" s="53">
        <v>0.12</v>
      </c>
      <c r="R604" s="52">
        <v>2</v>
      </c>
      <c r="S604" s="53">
        <v>0.30000000999999998</v>
      </c>
      <c r="T604" s="52">
        <v>3.0000002000000001</v>
      </c>
      <c r="U604" s="54">
        <v>1</v>
      </c>
    </row>
    <row r="605" spans="1:21" s="3" customFormat="1" ht="18" customHeight="1">
      <c r="A605" s="8" t="s">
        <v>684</v>
      </c>
      <c r="B605" s="52">
        <v>2000</v>
      </c>
      <c r="C605" s="52">
        <v>0</v>
      </c>
      <c r="D605" s="52">
        <v>0</v>
      </c>
      <c r="E605" s="52">
        <v>0</v>
      </c>
      <c r="F605" s="52">
        <v>0</v>
      </c>
      <c r="G605" s="52">
        <v>0</v>
      </c>
      <c r="H605" s="52">
        <v>0</v>
      </c>
      <c r="I605" s="52">
        <v>0</v>
      </c>
      <c r="J605" s="52">
        <v>0</v>
      </c>
      <c r="K605" s="52">
        <v>0</v>
      </c>
      <c r="L605" s="52">
        <v>0</v>
      </c>
      <c r="M605" s="52">
        <v>0</v>
      </c>
      <c r="N605" s="52">
        <v>0</v>
      </c>
      <c r="O605" s="52">
        <v>0</v>
      </c>
      <c r="P605" s="52">
        <v>2000</v>
      </c>
      <c r="Q605" s="53">
        <v>0.40000001000000002</v>
      </c>
      <c r="R605" s="52">
        <v>2</v>
      </c>
      <c r="S605" s="53">
        <v>0.19999998999999999</v>
      </c>
      <c r="T605" s="52">
        <v>3.0000002000000001</v>
      </c>
      <c r="U605" s="54">
        <v>1</v>
      </c>
    </row>
    <row r="606" spans="1:21" s="3" customFormat="1" ht="18" customHeight="1">
      <c r="A606" s="8" t="s">
        <v>685</v>
      </c>
      <c r="B606" s="52">
        <v>120</v>
      </c>
      <c r="C606" s="52">
        <v>18</v>
      </c>
      <c r="D606" s="52">
        <v>18</v>
      </c>
      <c r="E606" s="52">
        <v>84</v>
      </c>
      <c r="F606" s="52">
        <v>0</v>
      </c>
      <c r="G606" s="52">
        <v>0</v>
      </c>
      <c r="H606" s="52">
        <v>0</v>
      </c>
      <c r="I606" s="52">
        <v>0</v>
      </c>
      <c r="J606" s="52">
        <v>0</v>
      </c>
      <c r="K606" s="52">
        <v>0</v>
      </c>
      <c r="L606" s="52">
        <v>0</v>
      </c>
      <c r="M606" s="52">
        <v>0</v>
      </c>
      <c r="N606" s="52">
        <v>0</v>
      </c>
      <c r="O606" s="52">
        <v>0</v>
      </c>
      <c r="P606" s="52">
        <v>0</v>
      </c>
      <c r="Q606" s="53">
        <v>5.0000001000000002E-2</v>
      </c>
      <c r="R606" s="52">
        <v>1.5</v>
      </c>
      <c r="S606" s="53">
        <v>0.15999996999999999</v>
      </c>
      <c r="T606" s="52">
        <v>0.83333336999999996</v>
      </c>
      <c r="U606" s="54">
        <v>0</v>
      </c>
    </row>
    <row r="607" spans="1:21" s="3" customFormat="1" ht="18" customHeight="1">
      <c r="A607" s="8" t="s">
        <v>686</v>
      </c>
      <c r="B607" s="52">
        <v>210</v>
      </c>
      <c r="C607" s="52">
        <v>31.500001999999999</v>
      </c>
      <c r="D607" s="52">
        <v>31.500001999999999</v>
      </c>
      <c r="E607" s="52">
        <v>147</v>
      </c>
      <c r="F607" s="52">
        <v>0</v>
      </c>
      <c r="G607" s="52">
        <v>0</v>
      </c>
      <c r="H607" s="52">
        <v>0</v>
      </c>
      <c r="I607" s="52">
        <v>0</v>
      </c>
      <c r="J607" s="52">
        <v>0</v>
      </c>
      <c r="K607" s="52">
        <v>0</v>
      </c>
      <c r="L607" s="52">
        <v>0</v>
      </c>
      <c r="M607" s="52">
        <v>0</v>
      </c>
      <c r="N607" s="52">
        <v>0</v>
      </c>
      <c r="O607" s="52">
        <v>0</v>
      </c>
      <c r="P607" s="52">
        <v>0</v>
      </c>
      <c r="Q607" s="53">
        <v>0.25999999000000001</v>
      </c>
      <c r="R607" s="52">
        <v>2.5999998999999998</v>
      </c>
      <c r="S607" s="53">
        <v>0.25999999000000001</v>
      </c>
      <c r="T607" s="52">
        <v>1</v>
      </c>
      <c r="U607" s="54">
        <v>0</v>
      </c>
    </row>
    <row r="608" spans="1:21" s="3" customFormat="1" ht="18" customHeight="1">
      <c r="A608" s="8" t="s">
        <v>687</v>
      </c>
      <c r="B608" s="52">
        <v>175</v>
      </c>
      <c r="C608" s="52">
        <v>26.250001999999999</v>
      </c>
      <c r="D608" s="52">
        <v>12.25</v>
      </c>
      <c r="E608" s="52">
        <v>136.5</v>
      </c>
      <c r="F608" s="52">
        <v>0</v>
      </c>
      <c r="G608" s="52">
        <v>0</v>
      </c>
      <c r="H608" s="52">
        <v>0</v>
      </c>
      <c r="I608" s="52">
        <v>0</v>
      </c>
      <c r="J608" s="52">
        <v>0</v>
      </c>
      <c r="K608" s="52">
        <v>0</v>
      </c>
      <c r="L608" s="52">
        <v>0</v>
      </c>
      <c r="M608" s="52">
        <v>0</v>
      </c>
      <c r="N608" s="52">
        <v>0</v>
      </c>
      <c r="O608" s="52">
        <v>0</v>
      </c>
      <c r="P608" s="52">
        <v>0</v>
      </c>
      <c r="Q608" s="53">
        <v>0.19</v>
      </c>
      <c r="R608" s="52">
        <v>2.0999998999999998</v>
      </c>
      <c r="S608" s="53">
        <v>0.30000000999999998</v>
      </c>
      <c r="T608" s="52">
        <v>1.1666666999999999</v>
      </c>
      <c r="U608" s="54">
        <v>0</v>
      </c>
    </row>
    <row r="609" spans="1:21" s="3" customFormat="1" ht="18" customHeight="1">
      <c r="A609" s="8" t="s">
        <v>688</v>
      </c>
      <c r="B609" s="52">
        <v>0</v>
      </c>
      <c r="C609" s="52">
        <v>0</v>
      </c>
      <c r="D609" s="52">
        <v>0</v>
      </c>
      <c r="E609" s="52">
        <v>0</v>
      </c>
      <c r="F609" s="52">
        <v>0</v>
      </c>
      <c r="G609" s="52">
        <v>0</v>
      </c>
      <c r="H609" s="52">
        <v>0</v>
      </c>
      <c r="I609" s="52">
        <v>0</v>
      </c>
      <c r="J609" s="52">
        <v>0</v>
      </c>
      <c r="K609" s="52">
        <v>0</v>
      </c>
      <c r="L609" s="52">
        <v>0</v>
      </c>
      <c r="M609" s="52">
        <v>0</v>
      </c>
      <c r="N609" s="52">
        <v>0</v>
      </c>
      <c r="O609" s="52">
        <v>0</v>
      </c>
      <c r="P609" s="52">
        <v>0</v>
      </c>
      <c r="Q609" s="53">
        <v>0</v>
      </c>
      <c r="R609" s="52">
        <v>0</v>
      </c>
      <c r="S609" s="53">
        <v>0</v>
      </c>
      <c r="T609" s="52">
        <v>0</v>
      </c>
      <c r="U609" s="54">
        <v>0</v>
      </c>
    </row>
    <row r="610" spans="1:21" s="3" customFormat="1" ht="18" customHeight="1">
      <c r="A610" s="8" t="s">
        <v>689</v>
      </c>
      <c r="B610" s="52">
        <v>0</v>
      </c>
      <c r="C610" s="52">
        <v>0</v>
      </c>
      <c r="D610" s="52">
        <v>0</v>
      </c>
      <c r="E610" s="52">
        <v>0</v>
      </c>
      <c r="F610" s="52">
        <v>0</v>
      </c>
      <c r="G610" s="52">
        <v>0</v>
      </c>
      <c r="H610" s="52">
        <v>0</v>
      </c>
      <c r="I610" s="52">
        <v>0</v>
      </c>
      <c r="J610" s="52">
        <v>0</v>
      </c>
      <c r="K610" s="52">
        <v>0</v>
      </c>
      <c r="L610" s="52">
        <v>0</v>
      </c>
      <c r="M610" s="52">
        <v>0</v>
      </c>
      <c r="N610" s="52">
        <v>0</v>
      </c>
      <c r="O610" s="52">
        <v>0</v>
      </c>
      <c r="P610" s="52">
        <v>0</v>
      </c>
      <c r="Q610" s="53">
        <v>0</v>
      </c>
      <c r="R610" s="52">
        <v>0</v>
      </c>
      <c r="S610" s="53">
        <v>0</v>
      </c>
      <c r="T610" s="52">
        <v>0</v>
      </c>
      <c r="U610" s="54">
        <v>0</v>
      </c>
    </row>
    <row r="611" spans="1:21" s="3" customFormat="1" ht="18" customHeight="1">
      <c r="A611" s="8" t="s">
        <v>690</v>
      </c>
      <c r="B611" s="52">
        <v>333</v>
      </c>
      <c r="C611" s="52">
        <v>73.260002</v>
      </c>
      <c r="D611" s="52">
        <v>93.239998</v>
      </c>
      <c r="E611" s="52">
        <v>166.5</v>
      </c>
      <c r="F611" s="52">
        <v>0</v>
      </c>
      <c r="G611" s="52">
        <v>0</v>
      </c>
      <c r="H611" s="52">
        <v>0</v>
      </c>
      <c r="I611" s="52">
        <v>0</v>
      </c>
      <c r="J611" s="52">
        <v>0</v>
      </c>
      <c r="K611" s="52">
        <v>0</v>
      </c>
      <c r="L611" s="52">
        <v>0</v>
      </c>
      <c r="M611" s="52">
        <v>0</v>
      </c>
      <c r="N611" s="52">
        <v>0</v>
      </c>
      <c r="O611" s="52">
        <v>0</v>
      </c>
      <c r="P611" s="52">
        <v>0</v>
      </c>
      <c r="Q611" s="53">
        <v>0.20999999</v>
      </c>
      <c r="R611" s="52">
        <v>1.9</v>
      </c>
      <c r="S611" s="53">
        <v>0.35000002000000002</v>
      </c>
      <c r="T611" s="52">
        <v>0.83333336999999996</v>
      </c>
      <c r="U611" s="54">
        <v>0</v>
      </c>
    </row>
    <row r="612" spans="1:21" s="3" customFormat="1" ht="18" customHeight="1">
      <c r="A612" s="8" t="s">
        <v>691</v>
      </c>
      <c r="B612" s="52">
        <v>0</v>
      </c>
      <c r="C612" s="52">
        <v>0</v>
      </c>
      <c r="D612" s="52">
        <v>0</v>
      </c>
      <c r="E612" s="52">
        <v>0</v>
      </c>
      <c r="F612" s="52">
        <v>0</v>
      </c>
      <c r="G612" s="52">
        <v>0</v>
      </c>
      <c r="H612" s="52">
        <v>0</v>
      </c>
      <c r="I612" s="52">
        <v>0</v>
      </c>
      <c r="J612" s="52">
        <v>0</v>
      </c>
      <c r="K612" s="52">
        <v>0</v>
      </c>
      <c r="L612" s="52">
        <v>0</v>
      </c>
      <c r="M612" s="52">
        <v>0</v>
      </c>
      <c r="N612" s="52">
        <v>0</v>
      </c>
      <c r="O612" s="52">
        <v>0</v>
      </c>
      <c r="P612" s="52">
        <v>0</v>
      </c>
      <c r="Q612" s="53">
        <v>0</v>
      </c>
      <c r="R612" s="52">
        <v>0</v>
      </c>
      <c r="S612" s="53">
        <v>0</v>
      </c>
      <c r="T612" s="52">
        <v>0</v>
      </c>
      <c r="U612" s="54">
        <v>0</v>
      </c>
    </row>
    <row r="613" spans="1:21" s="3" customFormat="1" ht="18" customHeight="1">
      <c r="A613" s="8" t="s">
        <v>692</v>
      </c>
      <c r="B613" s="52">
        <v>180</v>
      </c>
      <c r="C613" s="52">
        <v>18</v>
      </c>
      <c r="D613" s="52">
        <v>144</v>
      </c>
      <c r="E613" s="52">
        <v>17.999994000000001</v>
      </c>
      <c r="F613" s="52">
        <v>0</v>
      </c>
      <c r="G613" s="52">
        <v>0</v>
      </c>
      <c r="H613" s="52">
        <v>0</v>
      </c>
      <c r="I613" s="52">
        <v>0</v>
      </c>
      <c r="J613" s="52">
        <v>0</v>
      </c>
      <c r="K613" s="52">
        <v>0</v>
      </c>
      <c r="L613" s="52">
        <v>0</v>
      </c>
      <c r="M613" s="52">
        <v>0</v>
      </c>
      <c r="N613" s="52">
        <v>0</v>
      </c>
      <c r="O613" s="52">
        <v>0</v>
      </c>
      <c r="P613" s="52">
        <v>0</v>
      </c>
      <c r="Q613" s="53">
        <v>0.30000000999999998</v>
      </c>
      <c r="R613" s="52">
        <v>1.5</v>
      </c>
      <c r="S613" s="53">
        <v>0.12</v>
      </c>
      <c r="T613" s="52">
        <v>2</v>
      </c>
      <c r="U613" s="54">
        <v>1</v>
      </c>
    </row>
    <row r="614" spans="1:21" s="3" customFormat="1" ht="18" customHeight="1">
      <c r="A614" s="8" t="s">
        <v>693</v>
      </c>
      <c r="B614" s="52">
        <v>200</v>
      </c>
      <c r="C614" s="52">
        <v>10</v>
      </c>
      <c r="D614" s="52">
        <v>180</v>
      </c>
      <c r="E614" s="52">
        <v>10.000002</v>
      </c>
      <c r="F614" s="52">
        <v>0</v>
      </c>
      <c r="G614" s="52">
        <v>0</v>
      </c>
      <c r="H614" s="52">
        <v>0</v>
      </c>
      <c r="I614" s="52">
        <v>0</v>
      </c>
      <c r="J614" s="52">
        <v>0</v>
      </c>
      <c r="K614" s="52">
        <v>0</v>
      </c>
      <c r="L614" s="52">
        <v>0</v>
      </c>
      <c r="M614" s="52">
        <v>0</v>
      </c>
      <c r="N614" s="52">
        <v>0</v>
      </c>
      <c r="O614" s="52">
        <v>0</v>
      </c>
      <c r="P614" s="52">
        <v>0</v>
      </c>
      <c r="Q614" s="53">
        <v>0.28000000000000003</v>
      </c>
      <c r="R614" s="52">
        <v>2</v>
      </c>
      <c r="S614" s="53">
        <v>0.15999996999999999</v>
      </c>
      <c r="T614" s="52">
        <v>2</v>
      </c>
      <c r="U614" s="54">
        <v>1</v>
      </c>
    </row>
    <row r="615" spans="1:21" s="3" customFormat="1" ht="18" customHeight="1">
      <c r="A615" s="8" t="s">
        <v>694</v>
      </c>
      <c r="B615" s="52">
        <v>70</v>
      </c>
      <c r="C615" s="52">
        <v>52.5</v>
      </c>
      <c r="D615" s="52">
        <v>8.75</v>
      </c>
      <c r="E615" s="52">
        <v>8.75</v>
      </c>
      <c r="F615" s="52">
        <v>0</v>
      </c>
      <c r="G615" s="52">
        <v>0</v>
      </c>
      <c r="H615" s="52">
        <v>0</v>
      </c>
      <c r="I615" s="52">
        <v>0</v>
      </c>
      <c r="J615" s="52">
        <v>0</v>
      </c>
      <c r="K615" s="52">
        <v>0</v>
      </c>
      <c r="L615" s="52">
        <v>0</v>
      </c>
      <c r="M615" s="52">
        <v>0</v>
      </c>
      <c r="N615" s="52">
        <v>0</v>
      </c>
      <c r="O615" s="52">
        <v>0</v>
      </c>
      <c r="P615" s="52">
        <v>0</v>
      </c>
      <c r="Q615" s="53">
        <v>0.11</v>
      </c>
      <c r="R615" s="52">
        <v>2</v>
      </c>
      <c r="S615" s="53">
        <v>0.16200000000000001</v>
      </c>
      <c r="T615" s="52">
        <v>2.5000002000000001</v>
      </c>
      <c r="U615" s="54">
        <v>5</v>
      </c>
    </row>
    <row r="616" spans="1:21" s="3" customFormat="1" ht="18" customHeight="1">
      <c r="A616" s="8" t="s">
        <v>695</v>
      </c>
      <c r="B616" s="52">
        <v>12</v>
      </c>
      <c r="C616" s="52">
        <v>1.2</v>
      </c>
      <c r="D616" s="52">
        <v>4.8000002000000004</v>
      </c>
      <c r="E616" s="52">
        <v>6</v>
      </c>
      <c r="F616" s="52">
        <v>0</v>
      </c>
      <c r="G616" s="52">
        <v>0</v>
      </c>
      <c r="H616" s="52">
        <v>0</v>
      </c>
      <c r="I616" s="52">
        <v>0</v>
      </c>
      <c r="J616" s="52">
        <v>0</v>
      </c>
      <c r="K616" s="52">
        <v>0</v>
      </c>
      <c r="L616" s="52">
        <v>0</v>
      </c>
      <c r="M616" s="52">
        <v>0</v>
      </c>
      <c r="N616" s="52">
        <v>0</v>
      </c>
      <c r="O616" s="52">
        <v>0</v>
      </c>
      <c r="P616" s="52">
        <v>0</v>
      </c>
      <c r="Q616" s="53">
        <v>0.30000000999999998</v>
      </c>
      <c r="R616" s="52">
        <v>3</v>
      </c>
      <c r="S616" s="53">
        <v>6.9999992999999996E-2</v>
      </c>
      <c r="T616" s="52">
        <v>15.000000999999999</v>
      </c>
      <c r="U616" s="54">
        <v>1</v>
      </c>
    </row>
    <row r="617" spans="1:21" s="3" customFormat="1" ht="18" customHeight="1">
      <c r="A617" s="8" t="s">
        <v>696</v>
      </c>
      <c r="B617" s="52">
        <v>12</v>
      </c>
      <c r="C617" s="52">
        <v>1.2</v>
      </c>
      <c r="D617" s="52">
        <v>4.8000002000000004</v>
      </c>
      <c r="E617" s="52">
        <v>6</v>
      </c>
      <c r="F617" s="52">
        <v>0</v>
      </c>
      <c r="G617" s="52">
        <v>0</v>
      </c>
      <c r="H617" s="52">
        <v>0</v>
      </c>
      <c r="I617" s="52">
        <v>0</v>
      </c>
      <c r="J617" s="52">
        <v>0</v>
      </c>
      <c r="K617" s="52">
        <v>0</v>
      </c>
      <c r="L617" s="52">
        <v>0</v>
      </c>
      <c r="M617" s="52">
        <v>0</v>
      </c>
      <c r="N617" s="52">
        <v>0</v>
      </c>
      <c r="O617" s="52">
        <v>0</v>
      </c>
      <c r="P617" s="52">
        <v>0</v>
      </c>
      <c r="Q617" s="53">
        <v>0.30000000999999998</v>
      </c>
      <c r="R617" s="52">
        <v>3</v>
      </c>
      <c r="S617" s="53">
        <v>0.10000002</v>
      </c>
      <c r="T617" s="52">
        <v>15.000000999999999</v>
      </c>
      <c r="U617" s="54">
        <v>1</v>
      </c>
    </row>
    <row r="618" spans="1:21" s="3" customFormat="1" ht="18" customHeight="1">
      <c r="A618" s="8" t="s">
        <v>697</v>
      </c>
      <c r="B618" s="52">
        <v>50</v>
      </c>
      <c r="C618" s="52">
        <v>50</v>
      </c>
      <c r="D618" s="52">
        <v>0</v>
      </c>
      <c r="E618" s="52">
        <v>0</v>
      </c>
      <c r="F618" s="52">
        <v>0</v>
      </c>
      <c r="G618" s="52">
        <v>0</v>
      </c>
      <c r="H618" s="52">
        <v>0</v>
      </c>
      <c r="I618" s="52">
        <v>0</v>
      </c>
      <c r="J618" s="52">
        <v>0</v>
      </c>
      <c r="K618" s="52">
        <v>0</v>
      </c>
      <c r="L618" s="52">
        <v>0</v>
      </c>
      <c r="M618" s="52">
        <v>0</v>
      </c>
      <c r="N618" s="52">
        <v>0</v>
      </c>
      <c r="O618" s="52">
        <v>0</v>
      </c>
      <c r="P618" s="52">
        <v>0</v>
      </c>
      <c r="Q618" s="53">
        <v>0.1</v>
      </c>
      <c r="R618" s="52">
        <v>2</v>
      </c>
      <c r="S618" s="53">
        <v>0</v>
      </c>
      <c r="T618" s="52">
        <v>1.2500001000000001</v>
      </c>
      <c r="U618" s="54">
        <v>1</v>
      </c>
    </row>
    <row r="619" spans="1:21" s="3" customFormat="1" ht="18" customHeight="1">
      <c r="A619" s="8" t="s">
        <v>698</v>
      </c>
      <c r="B619" s="52">
        <v>0</v>
      </c>
      <c r="C619" s="52">
        <v>0</v>
      </c>
      <c r="D619" s="52">
        <v>0</v>
      </c>
      <c r="E619" s="52">
        <v>0</v>
      </c>
      <c r="F619" s="52">
        <v>0</v>
      </c>
      <c r="G619" s="52">
        <v>0</v>
      </c>
      <c r="H619" s="52">
        <v>0</v>
      </c>
      <c r="I619" s="52">
        <v>0</v>
      </c>
      <c r="J619" s="52">
        <v>0</v>
      </c>
      <c r="K619" s="52">
        <v>0</v>
      </c>
      <c r="L619" s="52">
        <v>0</v>
      </c>
      <c r="M619" s="52">
        <v>0</v>
      </c>
      <c r="N619" s="52">
        <v>0</v>
      </c>
      <c r="O619" s="52">
        <v>0</v>
      </c>
      <c r="P619" s="52">
        <v>0</v>
      </c>
      <c r="Q619" s="53">
        <v>0</v>
      </c>
      <c r="R619" s="52">
        <v>0</v>
      </c>
      <c r="S619" s="53">
        <v>0</v>
      </c>
      <c r="T619" s="52">
        <v>0</v>
      </c>
      <c r="U619" s="54">
        <v>0</v>
      </c>
    </row>
    <row r="620" spans="1:21" s="3" customFormat="1" ht="18" customHeight="1">
      <c r="A620" s="8" t="s">
        <v>699</v>
      </c>
      <c r="B620" s="52">
        <v>18</v>
      </c>
      <c r="C620" s="52">
        <v>0</v>
      </c>
      <c r="D620" s="52">
        <v>7.5599999000000002</v>
      </c>
      <c r="E620" s="52">
        <v>10.440001000000001</v>
      </c>
      <c r="F620" s="52">
        <v>0</v>
      </c>
      <c r="G620" s="52">
        <v>0</v>
      </c>
      <c r="H620" s="52">
        <v>0</v>
      </c>
      <c r="I620" s="52">
        <v>0</v>
      </c>
      <c r="J620" s="52">
        <v>0</v>
      </c>
      <c r="K620" s="52">
        <v>0</v>
      </c>
      <c r="L620" s="52">
        <v>0</v>
      </c>
      <c r="M620" s="52">
        <v>0</v>
      </c>
      <c r="N620" s="52">
        <v>0</v>
      </c>
      <c r="O620" s="52">
        <v>0</v>
      </c>
      <c r="P620" s="52">
        <v>0</v>
      </c>
      <c r="Q620" s="53">
        <v>0.14000000000000001</v>
      </c>
      <c r="R620" s="52">
        <v>2</v>
      </c>
      <c r="S620" s="53">
        <v>0.22000003000000001</v>
      </c>
      <c r="T620" s="52">
        <v>12.000000999999999</v>
      </c>
      <c r="U620" s="54">
        <v>1</v>
      </c>
    </row>
    <row r="621" spans="1:21" s="3" customFormat="1" ht="18" customHeight="1">
      <c r="A621" s="8" t="s">
        <v>700</v>
      </c>
      <c r="B621" s="52">
        <v>22</v>
      </c>
      <c r="C621" s="52">
        <v>0</v>
      </c>
      <c r="D621" s="52">
        <v>9.2399997999999997</v>
      </c>
      <c r="E621" s="52">
        <v>12.760001000000001</v>
      </c>
      <c r="F621" s="52">
        <v>0</v>
      </c>
      <c r="G621" s="52">
        <v>0</v>
      </c>
      <c r="H621" s="52">
        <v>0</v>
      </c>
      <c r="I621" s="52">
        <v>0</v>
      </c>
      <c r="J621" s="52">
        <v>0</v>
      </c>
      <c r="K621" s="52">
        <v>0</v>
      </c>
      <c r="L621" s="52">
        <v>0</v>
      </c>
      <c r="M621" s="52">
        <v>0</v>
      </c>
      <c r="N621" s="52">
        <v>0</v>
      </c>
      <c r="O621" s="52">
        <v>0</v>
      </c>
      <c r="P621" s="52">
        <v>0</v>
      </c>
      <c r="Q621" s="53">
        <v>0.2</v>
      </c>
      <c r="R621" s="52">
        <v>2</v>
      </c>
      <c r="S621" s="53">
        <v>0.27999996999999999</v>
      </c>
      <c r="T621" s="52">
        <v>12.000000999999999</v>
      </c>
      <c r="U621" s="54">
        <v>1</v>
      </c>
    </row>
    <row r="622" spans="1:21" s="3" customFormat="1" ht="18" customHeight="1">
      <c r="A622" s="8" t="s">
        <v>701</v>
      </c>
      <c r="B622" s="52">
        <v>82</v>
      </c>
      <c r="C622" s="52">
        <v>8.1999998000000005</v>
      </c>
      <c r="D622" s="52">
        <v>49.200001</v>
      </c>
      <c r="E622" s="52">
        <v>24.599996999999998</v>
      </c>
      <c r="F622" s="52">
        <v>0</v>
      </c>
      <c r="G622" s="52">
        <v>0</v>
      </c>
      <c r="H622" s="52">
        <v>0</v>
      </c>
      <c r="I622" s="52">
        <v>0</v>
      </c>
      <c r="J622" s="52">
        <v>0</v>
      </c>
      <c r="K622" s="52">
        <v>0</v>
      </c>
      <c r="L622" s="52">
        <v>0</v>
      </c>
      <c r="M622" s="52">
        <v>0</v>
      </c>
      <c r="N622" s="52">
        <v>0</v>
      </c>
      <c r="O622" s="52">
        <v>0</v>
      </c>
      <c r="P622" s="52">
        <v>0</v>
      </c>
      <c r="Q622" s="53">
        <v>0.30000000999999998</v>
      </c>
      <c r="R622" s="52">
        <v>2</v>
      </c>
      <c r="S622" s="53">
        <v>7.9999982999999997E-2</v>
      </c>
      <c r="T622" s="52">
        <v>2.5000002000000001</v>
      </c>
      <c r="U622" s="54">
        <v>1</v>
      </c>
    </row>
    <row r="623" spans="1:21" s="3" customFormat="1" ht="18" customHeight="1">
      <c r="A623" s="8" t="s">
        <v>702</v>
      </c>
      <c r="B623" s="52">
        <v>60</v>
      </c>
      <c r="C623" s="52">
        <v>6</v>
      </c>
      <c r="D623" s="52">
        <v>48</v>
      </c>
      <c r="E623" s="52">
        <v>5.9999981</v>
      </c>
      <c r="F623" s="52">
        <v>0</v>
      </c>
      <c r="G623" s="52">
        <v>0</v>
      </c>
      <c r="H623" s="52">
        <v>0</v>
      </c>
      <c r="I623" s="52">
        <v>0</v>
      </c>
      <c r="J623" s="52">
        <v>0</v>
      </c>
      <c r="K623" s="52">
        <v>0</v>
      </c>
      <c r="L623" s="52">
        <v>0</v>
      </c>
      <c r="M623" s="52">
        <v>0</v>
      </c>
      <c r="N623" s="52">
        <v>0</v>
      </c>
      <c r="O623" s="52">
        <v>0</v>
      </c>
      <c r="P623" s="52">
        <v>0</v>
      </c>
      <c r="Q623" s="53">
        <v>0.30000000999999998</v>
      </c>
      <c r="R623" s="52">
        <v>3</v>
      </c>
      <c r="S623" s="53">
        <v>0.13999998999999999</v>
      </c>
      <c r="T623" s="52">
        <v>3.3333335000000002</v>
      </c>
      <c r="U623" s="54">
        <v>1</v>
      </c>
    </row>
    <row r="624" spans="1:21" s="3" customFormat="1" ht="18" customHeight="1">
      <c r="A624" s="8" t="s">
        <v>703</v>
      </c>
      <c r="B624" s="52">
        <v>0</v>
      </c>
      <c r="C624" s="52">
        <v>0</v>
      </c>
      <c r="D624" s="52">
        <v>0</v>
      </c>
      <c r="E624" s="52">
        <v>0</v>
      </c>
      <c r="F624" s="52">
        <v>0</v>
      </c>
      <c r="G624" s="52">
        <v>0</v>
      </c>
      <c r="H624" s="52">
        <v>0</v>
      </c>
      <c r="I624" s="52">
        <v>0</v>
      </c>
      <c r="J624" s="52">
        <v>0</v>
      </c>
      <c r="K624" s="52">
        <v>0</v>
      </c>
      <c r="L624" s="52">
        <v>0</v>
      </c>
      <c r="M624" s="52">
        <v>0</v>
      </c>
      <c r="N624" s="52">
        <v>0</v>
      </c>
      <c r="O624" s="52">
        <v>0</v>
      </c>
      <c r="P624" s="52">
        <v>0</v>
      </c>
      <c r="Q624" s="53">
        <v>0</v>
      </c>
      <c r="R624" s="52">
        <v>0</v>
      </c>
      <c r="S624" s="53">
        <v>0</v>
      </c>
      <c r="T624" s="52">
        <v>0</v>
      </c>
      <c r="U624" s="54">
        <v>0</v>
      </c>
    </row>
    <row r="625" spans="1:21" s="3" customFormat="1" ht="18" customHeight="1">
      <c r="A625" s="8" t="s">
        <v>704</v>
      </c>
      <c r="B625" s="52">
        <v>0</v>
      </c>
      <c r="C625" s="52">
        <v>0</v>
      </c>
      <c r="D625" s="52">
        <v>0</v>
      </c>
      <c r="E625" s="52">
        <v>0</v>
      </c>
      <c r="F625" s="52">
        <v>0</v>
      </c>
      <c r="G625" s="52">
        <v>0</v>
      </c>
      <c r="H625" s="52">
        <v>0</v>
      </c>
      <c r="I625" s="52">
        <v>0</v>
      </c>
      <c r="J625" s="52">
        <v>0</v>
      </c>
      <c r="K625" s="52">
        <v>0</v>
      </c>
      <c r="L625" s="52">
        <v>0</v>
      </c>
      <c r="M625" s="52">
        <v>0</v>
      </c>
      <c r="N625" s="52">
        <v>0</v>
      </c>
      <c r="O625" s="52">
        <v>0</v>
      </c>
      <c r="P625" s="52">
        <v>0</v>
      </c>
      <c r="Q625" s="53">
        <v>0</v>
      </c>
      <c r="R625" s="52">
        <v>0</v>
      </c>
      <c r="S625" s="53">
        <v>0</v>
      </c>
      <c r="T625" s="52">
        <v>0</v>
      </c>
      <c r="U625" s="54">
        <v>0</v>
      </c>
    </row>
    <row r="626" spans="1:21" s="3" customFormat="1" ht="18" customHeight="1">
      <c r="A626" s="8" t="s">
        <v>705</v>
      </c>
      <c r="B626" s="52">
        <v>371</v>
      </c>
      <c r="C626" s="52">
        <v>100.17001</v>
      </c>
      <c r="D626" s="52">
        <v>115.01</v>
      </c>
      <c r="E626" s="52">
        <v>155.81997999999999</v>
      </c>
      <c r="F626" s="52">
        <v>0</v>
      </c>
      <c r="G626" s="52">
        <v>0</v>
      </c>
      <c r="H626" s="52">
        <v>0</v>
      </c>
      <c r="I626" s="52">
        <v>0</v>
      </c>
      <c r="J626" s="52">
        <v>0</v>
      </c>
      <c r="K626" s="52">
        <v>0</v>
      </c>
      <c r="L626" s="52">
        <v>0</v>
      </c>
      <c r="M626" s="52">
        <v>0</v>
      </c>
      <c r="N626" s="52">
        <v>0</v>
      </c>
      <c r="O626" s="52">
        <v>0</v>
      </c>
      <c r="P626" s="52">
        <v>0</v>
      </c>
      <c r="Q626" s="53">
        <v>9.9999997999999993E-3</v>
      </c>
      <c r="R626" s="52">
        <v>3</v>
      </c>
      <c r="S626" s="53">
        <v>0.52999996999999999</v>
      </c>
      <c r="T626" s="52">
        <v>1.8333333999999999</v>
      </c>
      <c r="U626" s="54">
        <v>1</v>
      </c>
    </row>
    <row r="627" spans="1:21" s="3" customFormat="1" ht="18" customHeight="1">
      <c r="A627" s="8" t="s">
        <v>706</v>
      </c>
      <c r="B627" s="52">
        <v>52</v>
      </c>
      <c r="C627" s="52">
        <v>7.2800001999999999</v>
      </c>
      <c r="D627" s="52">
        <v>16.639999</v>
      </c>
      <c r="E627" s="52">
        <v>28.080002</v>
      </c>
      <c r="F627" s="52">
        <v>0</v>
      </c>
      <c r="G627" s="52">
        <v>0</v>
      </c>
      <c r="H627" s="52">
        <v>0</v>
      </c>
      <c r="I627" s="52">
        <v>0</v>
      </c>
      <c r="J627" s="52">
        <v>0</v>
      </c>
      <c r="K627" s="52">
        <v>0</v>
      </c>
      <c r="L627" s="52">
        <v>0</v>
      </c>
      <c r="M627" s="52">
        <v>0</v>
      </c>
      <c r="N627" s="52">
        <v>0</v>
      </c>
      <c r="O627" s="52">
        <v>0</v>
      </c>
      <c r="P627" s="52">
        <v>0</v>
      </c>
      <c r="Q627" s="53">
        <v>0.23999999</v>
      </c>
      <c r="R627" s="52">
        <v>1.8</v>
      </c>
      <c r="S627" s="53">
        <v>0.22000003000000001</v>
      </c>
      <c r="T627" s="52">
        <v>6.0000004999999996</v>
      </c>
      <c r="U627" s="54">
        <v>1</v>
      </c>
    </row>
    <row r="628" spans="1:21" s="3" customFormat="1" ht="18" customHeight="1">
      <c r="A628" s="8" t="s">
        <v>707</v>
      </c>
      <c r="B628" s="52">
        <v>150</v>
      </c>
      <c r="C628" s="52">
        <v>0</v>
      </c>
      <c r="D628" s="52">
        <v>0</v>
      </c>
      <c r="E628" s="52">
        <v>0</v>
      </c>
      <c r="F628" s="52">
        <v>0</v>
      </c>
      <c r="G628" s="52">
        <v>0</v>
      </c>
      <c r="H628" s="52">
        <v>0</v>
      </c>
      <c r="I628" s="52">
        <v>0</v>
      </c>
      <c r="J628" s="52">
        <v>0</v>
      </c>
      <c r="K628" s="52">
        <v>150</v>
      </c>
      <c r="L628" s="52">
        <v>0</v>
      </c>
      <c r="M628" s="52">
        <v>0</v>
      </c>
      <c r="N628" s="52">
        <v>0</v>
      </c>
      <c r="O628" s="52">
        <v>0</v>
      </c>
      <c r="P628" s="52">
        <v>0</v>
      </c>
      <c r="Q628" s="53">
        <v>0.14000000000000001</v>
      </c>
      <c r="R628" s="52">
        <v>2.2000000000000002</v>
      </c>
      <c r="S628" s="53">
        <v>0.27999996999999999</v>
      </c>
      <c r="T628" s="52">
        <v>3.5000002000000001</v>
      </c>
      <c r="U628" s="54">
        <v>1</v>
      </c>
    </row>
    <row r="629" spans="1:21" s="3" customFormat="1" ht="18" customHeight="1">
      <c r="A629" s="8" t="s">
        <v>708</v>
      </c>
      <c r="B629" s="52">
        <v>0</v>
      </c>
      <c r="C629" s="52">
        <v>0</v>
      </c>
      <c r="D629" s="52">
        <v>0</v>
      </c>
      <c r="E629" s="52">
        <v>0</v>
      </c>
      <c r="F629" s="52">
        <v>0</v>
      </c>
      <c r="G629" s="52">
        <v>0</v>
      </c>
      <c r="H629" s="52">
        <v>0</v>
      </c>
      <c r="I629" s="52">
        <v>0</v>
      </c>
      <c r="J629" s="52">
        <v>0</v>
      </c>
      <c r="K629" s="52">
        <v>0</v>
      </c>
      <c r="L629" s="52">
        <v>0</v>
      </c>
      <c r="M629" s="52">
        <v>0</v>
      </c>
      <c r="N629" s="52">
        <v>0</v>
      </c>
      <c r="O629" s="52">
        <v>0</v>
      </c>
      <c r="P629" s="52">
        <v>0</v>
      </c>
      <c r="Q629" s="53">
        <v>0</v>
      </c>
      <c r="R629" s="52">
        <v>0</v>
      </c>
      <c r="S629" s="53">
        <v>0</v>
      </c>
      <c r="T629" s="52">
        <v>0</v>
      </c>
      <c r="U629" s="54">
        <v>0</v>
      </c>
    </row>
    <row r="630" spans="1:21" s="3" customFormat="1" ht="18" customHeight="1">
      <c r="A630" s="8" t="s">
        <v>709</v>
      </c>
      <c r="B630" s="52">
        <v>0</v>
      </c>
      <c r="C630" s="52">
        <v>0</v>
      </c>
      <c r="D630" s="52">
        <v>0</v>
      </c>
      <c r="E630" s="52">
        <v>0</v>
      </c>
      <c r="F630" s="52">
        <v>0</v>
      </c>
      <c r="G630" s="52">
        <v>0</v>
      </c>
      <c r="H630" s="52">
        <v>0</v>
      </c>
      <c r="I630" s="52">
        <v>0</v>
      </c>
      <c r="J630" s="52">
        <v>0</v>
      </c>
      <c r="K630" s="52">
        <v>0</v>
      </c>
      <c r="L630" s="52">
        <v>0</v>
      </c>
      <c r="M630" s="52">
        <v>0</v>
      </c>
      <c r="N630" s="52">
        <v>0</v>
      </c>
      <c r="O630" s="52">
        <v>0</v>
      </c>
      <c r="P630" s="52">
        <v>0</v>
      </c>
      <c r="Q630" s="53">
        <v>0</v>
      </c>
      <c r="R630" s="52">
        <v>0</v>
      </c>
      <c r="S630" s="53">
        <v>0</v>
      </c>
      <c r="T630" s="52">
        <v>0</v>
      </c>
      <c r="U630" s="54">
        <v>0</v>
      </c>
    </row>
    <row r="631" spans="1:21" s="3" customFormat="1" ht="18" customHeight="1">
      <c r="A631" s="8" t="s">
        <v>710</v>
      </c>
      <c r="B631" s="52">
        <v>320</v>
      </c>
      <c r="C631" s="52">
        <v>130</v>
      </c>
      <c r="D631" s="52">
        <v>0</v>
      </c>
      <c r="E631" s="52">
        <v>0</v>
      </c>
      <c r="F631" s="52">
        <v>190</v>
      </c>
      <c r="G631" s="52">
        <v>0</v>
      </c>
      <c r="H631" s="52">
        <v>0</v>
      </c>
      <c r="I631" s="52">
        <v>0</v>
      </c>
      <c r="J631" s="52">
        <v>0</v>
      </c>
      <c r="K631" s="52">
        <v>0</v>
      </c>
      <c r="L631" s="52">
        <v>0</v>
      </c>
      <c r="M631" s="52">
        <v>0</v>
      </c>
      <c r="N631" s="52">
        <v>0</v>
      </c>
      <c r="O631" s="52">
        <v>0</v>
      </c>
      <c r="P631" s="52">
        <v>0</v>
      </c>
      <c r="Q631" s="53">
        <v>0.14000000000000001</v>
      </c>
      <c r="R631" s="52">
        <v>2.2000000000000002</v>
      </c>
      <c r="S631" s="53">
        <v>0.22000003000000001</v>
      </c>
      <c r="T631" s="52">
        <v>3.0000002000000001</v>
      </c>
      <c r="U631" s="54">
        <v>1</v>
      </c>
    </row>
    <row r="632" spans="1:21" s="3" customFormat="1" ht="18" customHeight="1">
      <c r="A632" s="8" t="s">
        <v>711</v>
      </c>
      <c r="B632" s="52">
        <v>0</v>
      </c>
      <c r="C632" s="52">
        <v>0</v>
      </c>
      <c r="D632" s="52">
        <v>0</v>
      </c>
      <c r="E632" s="52">
        <v>0</v>
      </c>
      <c r="F632" s="52">
        <v>0</v>
      </c>
      <c r="G632" s="52">
        <v>0</v>
      </c>
      <c r="H632" s="52">
        <v>0</v>
      </c>
      <c r="I632" s="52">
        <v>0</v>
      </c>
      <c r="J632" s="52">
        <v>0</v>
      </c>
      <c r="K632" s="52">
        <v>0</v>
      </c>
      <c r="L632" s="52">
        <v>0</v>
      </c>
      <c r="M632" s="52">
        <v>0</v>
      </c>
      <c r="N632" s="52">
        <v>0</v>
      </c>
      <c r="O632" s="52">
        <v>0</v>
      </c>
      <c r="P632" s="52">
        <v>0</v>
      </c>
      <c r="Q632" s="53">
        <v>0</v>
      </c>
      <c r="R632" s="52">
        <v>0</v>
      </c>
      <c r="S632" s="53">
        <v>0</v>
      </c>
      <c r="T632" s="52">
        <v>0</v>
      </c>
      <c r="U632" s="54">
        <v>0</v>
      </c>
    </row>
    <row r="633" spans="1:21" s="3" customFormat="1" ht="18" customHeight="1">
      <c r="A633" s="8" t="s">
        <v>712</v>
      </c>
      <c r="B633" s="52">
        <v>15</v>
      </c>
      <c r="C633" s="52">
        <v>0</v>
      </c>
      <c r="D633" s="52">
        <v>0</v>
      </c>
      <c r="E633" s="52">
        <v>0</v>
      </c>
      <c r="F633" s="52">
        <v>0</v>
      </c>
      <c r="G633" s="52">
        <v>0</v>
      </c>
      <c r="H633" s="52">
        <v>0</v>
      </c>
      <c r="I633" s="52">
        <v>15</v>
      </c>
      <c r="J633" s="52">
        <v>0</v>
      </c>
      <c r="K633" s="52">
        <v>0</v>
      </c>
      <c r="L633" s="52">
        <v>0</v>
      </c>
      <c r="M633" s="52">
        <v>0</v>
      </c>
      <c r="N633" s="52">
        <v>0</v>
      </c>
      <c r="O633" s="52">
        <v>0</v>
      </c>
      <c r="P633" s="52">
        <v>0</v>
      </c>
      <c r="Q633" s="53">
        <v>2.5000000000000001E-2</v>
      </c>
      <c r="R633" s="52">
        <v>1.5</v>
      </c>
      <c r="S633" s="53">
        <v>5.0000012000000003E-2</v>
      </c>
      <c r="T633" s="52">
        <v>3.3333335000000002</v>
      </c>
      <c r="U633" s="54">
        <v>1</v>
      </c>
    </row>
    <row r="634" spans="1:21" s="3" customFormat="1" ht="18" customHeight="1">
      <c r="A634" s="8" t="s">
        <v>713</v>
      </c>
      <c r="B634" s="52">
        <v>0</v>
      </c>
      <c r="C634" s="52">
        <v>0</v>
      </c>
      <c r="D634" s="52">
        <v>0</v>
      </c>
      <c r="E634" s="52">
        <v>0</v>
      </c>
      <c r="F634" s="52">
        <v>0</v>
      </c>
      <c r="G634" s="52">
        <v>0</v>
      </c>
      <c r="H634" s="52">
        <v>0</v>
      </c>
      <c r="I634" s="52">
        <v>0</v>
      </c>
      <c r="J634" s="52">
        <v>0</v>
      </c>
      <c r="K634" s="52">
        <v>0</v>
      </c>
      <c r="L634" s="52">
        <v>0</v>
      </c>
      <c r="M634" s="52">
        <v>0</v>
      </c>
      <c r="N634" s="52">
        <v>0</v>
      </c>
      <c r="O634" s="52">
        <v>0</v>
      </c>
      <c r="P634" s="52">
        <v>0</v>
      </c>
      <c r="Q634" s="53">
        <v>0</v>
      </c>
      <c r="R634" s="52">
        <v>0</v>
      </c>
      <c r="S634" s="53">
        <v>0</v>
      </c>
      <c r="T634" s="52">
        <v>0</v>
      </c>
      <c r="U634" s="54">
        <v>0</v>
      </c>
    </row>
    <row r="635" spans="1:21" s="3" customFormat="1" ht="18" customHeight="1">
      <c r="A635" s="8" t="s">
        <v>714</v>
      </c>
      <c r="B635" s="52">
        <v>28</v>
      </c>
      <c r="C635" s="52">
        <v>9.8000001999999995</v>
      </c>
      <c r="D635" s="52">
        <v>9.8000001999999995</v>
      </c>
      <c r="E635" s="52">
        <v>8.4000006000000003</v>
      </c>
      <c r="F635" s="52">
        <v>0</v>
      </c>
      <c r="G635" s="52">
        <v>0</v>
      </c>
      <c r="H635" s="52">
        <v>0</v>
      </c>
      <c r="I635" s="52">
        <v>0</v>
      </c>
      <c r="J635" s="52">
        <v>0</v>
      </c>
      <c r="K635" s="52">
        <v>0</v>
      </c>
      <c r="L635" s="52">
        <v>0</v>
      </c>
      <c r="M635" s="52">
        <v>0</v>
      </c>
      <c r="N635" s="52">
        <v>0</v>
      </c>
      <c r="O635" s="52">
        <v>0</v>
      </c>
      <c r="P635" s="52">
        <v>0</v>
      </c>
      <c r="Q635" s="53">
        <v>0.23999999</v>
      </c>
      <c r="R635" s="52">
        <v>2</v>
      </c>
      <c r="S635" s="53">
        <v>0.12</v>
      </c>
      <c r="T635" s="52">
        <v>10.000000999999999</v>
      </c>
      <c r="U635" s="54">
        <v>1</v>
      </c>
    </row>
    <row r="636" spans="1:21" s="3" customFormat="1" ht="18" customHeight="1">
      <c r="A636" s="8" t="s">
        <v>715</v>
      </c>
      <c r="B636" s="52">
        <v>30</v>
      </c>
      <c r="C636" s="52">
        <v>10.5</v>
      </c>
      <c r="D636" s="52">
        <v>10.5</v>
      </c>
      <c r="E636" s="52">
        <v>9</v>
      </c>
      <c r="F636" s="52">
        <v>0</v>
      </c>
      <c r="G636" s="52">
        <v>0</v>
      </c>
      <c r="H636" s="52">
        <v>0</v>
      </c>
      <c r="I636" s="52">
        <v>0</v>
      </c>
      <c r="J636" s="52">
        <v>0</v>
      </c>
      <c r="K636" s="52">
        <v>0</v>
      </c>
      <c r="L636" s="52">
        <v>0</v>
      </c>
      <c r="M636" s="52">
        <v>0</v>
      </c>
      <c r="N636" s="52">
        <v>0</v>
      </c>
      <c r="O636" s="52">
        <v>0</v>
      </c>
      <c r="P636" s="52">
        <v>0</v>
      </c>
      <c r="Q636" s="53">
        <v>0.23999999</v>
      </c>
      <c r="R636" s="52">
        <v>2.5999998999999998</v>
      </c>
      <c r="S636" s="53">
        <v>0.12</v>
      </c>
      <c r="T636" s="52">
        <v>10.000000999999999</v>
      </c>
      <c r="U636" s="54">
        <v>1</v>
      </c>
    </row>
    <row r="637" spans="1:21" s="3" customFormat="1" ht="18" customHeight="1">
      <c r="A637" s="8" t="s">
        <v>716</v>
      </c>
      <c r="B637" s="52">
        <v>220</v>
      </c>
      <c r="C637" s="52">
        <v>61.599997999999999</v>
      </c>
      <c r="D637" s="52">
        <v>74.800003000000004</v>
      </c>
      <c r="E637" s="52">
        <v>83.599997999999999</v>
      </c>
      <c r="F637" s="52">
        <v>0</v>
      </c>
      <c r="G637" s="52">
        <v>0</v>
      </c>
      <c r="H637" s="52">
        <v>0</v>
      </c>
      <c r="I637" s="52">
        <v>0</v>
      </c>
      <c r="J637" s="52">
        <v>0</v>
      </c>
      <c r="K637" s="52">
        <v>0</v>
      </c>
      <c r="L637" s="52">
        <v>0</v>
      </c>
      <c r="M637" s="52">
        <v>0</v>
      </c>
      <c r="N637" s="52">
        <v>0</v>
      </c>
      <c r="O637" s="52">
        <v>0</v>
      </c>
      <c r="P637" s="52">
        <v>0</v>
      </c>
      <c r="Q637" s="53">
        <v>0.30000000999999998</v>
      </c>
      <c r="R637" s="52">
        <v>2.4000001000000002</v>
      </c>
      <c r="S637" s="53">
        <v>0.13999998999999999</v>
      </c>
      <c r="T637" s="52">
        <v>1</v>
      </c>
      <c r="U637" s="54">
        <v>0</v>
      </c>
    </row>
    <row r="638" spans="1:21" s="3" customFormat="1" ht="18" customHeight="1">
      <c r="A638" s="8" t="s">
        <v>717</v>
      </c>
      <c r="B638" s="52">
        <v>25</v>
      </c>
      <c r="C638" s="52">
        <v>13.75</v>
      </c>
      <c r="D638" s="52">
        <v>3.7500002000000001</v>
      </c>
      <c r="E638" s="52">
        <v>7.4999989999999999</v>
      </c>
      <c r="F638" s="52">
        <v>0</v>
      </c>
      <c r="G638" s="52">
        <v>0</v>
      </c>
      <c r="H638" s="52">
        <v>0</v>
      </c>
      <c r="I638" s="52">
        <v>0</v>
      </c>
      <c r="J638" s="52">
        <v>0</v>
      </c>
      <c r="K638" s="52">
        <v>0</v>
      </c>
      <c r="L638" s="52">
        <v>0</v>
      </c>
      <c r="M638" s="52">
        <v>0</v>
      </c>
      <c r="N638" s="52">
        <v>0</v>
      </c>
      <c r="O638" s="52">
        <v>0</v>
      </c>
      <c r="P638" s="52">
        <v>0</v>
      </c>
      <c r="Q638" s="53">
        <v>7.5000002999999996E-2</v>
      </c>
      <c r="R638" s="52">
        <v>1.5</v>
      </c>
      <c r="S638" s="53">
        <v>5.0000012000000003E-2</v>
      </c>
      <c r="T638" s="52">
        <v>2.5000002000000001</v>
      </c>
      <c r="U638" s="54">
        <v>12</v>
      </c>
    </row>
    <row r="639" spans="1:21" s="3" customFormat="1" ht="18" customHeight="1">
      <c r="A639" s="8" t="s">
        <v>718</v>
      </c>
      <c r="B639" s="52">
        <v>54</v>
      </c>
      <c r="C639" s="52">
        <v>24.299999</v>
      </c>
      <c r="D639" s="52">
        <v>8.1000004000000008</v>
      </c>
      <c r="E639" s="52">
        <v>21.599997999999999</v>
      </c>
      <c r="F639" s="52">
        <v>0</v>
      </c>
      <c r="G639" s="52">
        <v>0</v>
      </c>
      <c r="H639" s="52">
        <v>0</v>
      </c>
      <c r="I639" s="52">
        <v>0</v>
      </c>
      <c r="J639" s="52">
        <v>0</v>
      </c>
      <c r="K639" s="52">
        <v>0</v>
      </c>
      <c r="L639" s="52">
        <v>0</v>
      </c>
      <c r="M639" s="52">
        <v>0</v>
      </c>
      <c r="N639" s="52">
        <v>0</v>
      </c>
      <c r="O639" s="52">
        <v>0</v>
      </c>
      <c r="P639" s="52">
        <v>0</v>
      </c>
      <c r="Q639" s="53">
        <v>0.23999999</v>
      </c>
      <c r="R639" s="52">
        <v>2.2000000000000002</v>
      </c>
      <c r="S639" s="53">
        <v>6.6666663000000001E-2</v>
      </c>
      <c r="T639" s="52">
        <v>3.3333335000000002</v>
      </c>
      <c r="U639" s="54">
        <v>12</v>
      </c>
    </row>
    <row r="640" spans="1:21" s="3" customFormat="1" ht="18" customHeight="1">
      <c r="A640" s="8" t="s">
        <v>719</v>
      </c>
      <c r="B640" s="52">
        <v>40</v>
      </c>
      <c r="C640" s="52">
        <v>26</v>
      </c>
      <c r="D640" s="52">
        <v>6</v>
      </c>
      <c r="E640" s="52">
        <v>8.0000019000000009</v>
      </c>
      <c r="F640" s="52">
        <v>0</v>
      </c>
      <c r="G640" s="52">
        <v>0</v>
      </c>
      <c r="H640" s="52">
        <v>0</v>
      </c>
      <c r="I640" s="52">
        <v>0</v>
      </c>
      <c r="J640" s="52">
        <v>0</v>
      </c>
      <c r="K640" s="52">
        <v>0</v>
      </c>
      <c r="L640" s="52">
        <v>0</v>
      </c>
      <c r="M640" s="52">
        <v>0</v>
      </c>
      <c r="N640" s="52">
        <v>0</v>
      </c>
      <c r="O640" s="52">
        <v>0</v>
      </c>
      <c r="P640" s="52">
        <v>0</v>
      </c>
      <c r="Q640" s="53">
        <v>0.18000000999999999</v>
      </c>
      <c r="R640" s="52">
        <v>2.2000000000000002</v>
      </c>
      <c r="S640" s="53">
        <v>0.12</v>
      </c>
      <c r="T640" s="52">
        <v>2.5000002000000001</v>
      </c>
      <c r="U640" s="54">
        <v>10</v>
      </c>
    </row>
    <row r="641" spans="1:21" s="3" customFormat="1" ht="18" customHeight="1">
      <c r="A641" s="8" t="s">
        <v>720</v>
      </c>
      <c r="B641" s="52">
        <v>33</v>
      </c>
      <c r="C641" s="52">
        <v>14.190001000000001</v>
      </c>
      <c r="D641" s="52">
        <v>3.3</v>
      </c>
      <c r="E641" s="52">
        <v>15.509999000000001</v>
      </c>
      <c r="F641" s="52">
        <v>0</v>
      </c>
      <c r="G641" s="52">
        <v>0</v>
      </c>
      <c r="H641" s="52">
        <v>0</v>
      </c>
      <c r="I641" s="52">
        <v>0</v>
      </c>
      <c r="J641" s="52">
        <v>0</v>
      </c>
      <c r="K641" s="52">
        <v>0</v>
      </c>
      <c r="L641" s="52">
        <v>0</v>
      </c>
      <c r="M641" s="52">
        <v>0</v>
      </c>
      <c r="N641" s="52">
        <v>0</v>
      </c>
      <c r="O641" s="52">
        <v>0</v>
      </c>
      <c r="P641" s="52">
        <v>0</v>
      </c>
      <c r="Q641" s="53">
        <v>0.23</v>
      </c>
      <c r="R641" s="52">
        <v>1.9</v>
      </c>
      <c r="S641" s="53">
        <v>0.13</v>
      </c>
      <c r="T641" s="52">
        <v>6.3333335000000002</v>
      </c>
      <c r="U641" s="54">
        <v>1</v>
      </c>
    </row>
    <row r="642" spans="1:21" s="3" customFormat="1" ht="18" customHeight="1">
      <c r="A642" s="8" t="s">
        <v>721</v>
      </c>
      <c r="B642" s="52">
        <v>79</v>
      </c>
      <c r="C642" s="52">
        <v>0</v>
      </c>
      <c r="D642" s="52">
        <v>0</v>
      </c>
      <c r="E642" s="52">
        <v>0</v>
      </c>
      <c r="F642" s="52">
        <v>0</v>
      </c>
      <c r="G642" s="52">
        <v>0</v>
      </c>
      <c r="H642" s="52">
        <v>0</v>
      </c>
      <c r="I642" s="52">
        <v>0</v>
      </c>
      <c r="J642" s="52">
        <v>0</v>
      </c>
      <c r="K642" s="52">
        <v>0</v>
      </c>
      <c r="L642" s="52">
        <v>0</v>
      </c>
      <c r="M642" s="52">
        <v>0</v>
      </c>
      <c r="N642" s="52">
        <v>0</v>
      </c>
      <c r="O642" s="52">
        <v>79</v>
      </c>
      <c r="P642" s="52">
        <v>0</v>
      </c>
      <c r="Q642" s="53">
        <v>5.0000001000000002E-2</v>
      </c>
      <c r="R642" s="52">
        <v>1.5</v>
      </c>
      <c r="S642" s="53">
        <v>0</v>
      </c>
      <c r="T642" s="52">
        <v>4</v>
      </c>
      <c r="U642" s="54">
        <v>1</v>
      </c>
    </row>
    <row r="643" spans="1:21" s="3" customFormat="1" ht="18" customHeight="1">
      <c r="A643" s="8" t="s">
        <v>722</v>
      </c>
      <c r="B643" s="52">
        <v>190</v>
      </c>
      <c r="C643" s="52">
        <v>38</v>
      </c>
      <c r="D643" s="52">
        <v>45.599997999999999</v>
      </c>
      <c r="E643" s="52">
        <v>106.4</v>
      </c>
      <c r="F643" s="52">
        <v>0</v>
      </c>
      <c r="G643" s="52">
        <v>0</v>
      </c>
      <c r="H643" s="52">
        <v>0</v>
      </c>
      <c r="I643" s="52">
        <v>0</v>
      </c>
      <c r="J643" s="52">
        <v>0</v>
      </c>
      <c r="K643" s="52">
        <v>0</v>
      </c>
      <c r="L643" s="52">
        <v>0</v>
      </c>
      <c r="M643" s="52">
        <v>0</v>
      </c>
      <c r="N643" s="52">
        <v>0</v>
      </c>
      <c r="O643" s="52">
        <v>0</v>
      </c>
      <c r="P643" s="52">
        <v>0</v>
      </c>
      <c r="Q643" s="53">
        <v>0.2</v>
      </c>
      <c r="R643" s="52">
        <v>2.4000001000000002</v>
      </c>
      <c r="S643" s="53">
        <v>0.22000003000000001</v>
      </c>
      <c r="T643" s="52">
        <v>1</v>
      </c>
      <c r="U643" s="54">
        <v>0</v>
      </c>
    </row>
    <row r="644" spans="1:21" s="3" customFormat="1" ht="18" customHeight="1">
      <c r="A644" s="8" t="s">
        <v>723</v>
      </c>
      <c r="B644" s="52">
        <v>0</v>
      </c>
      <c r="C644" s="52">
        <v>0</v>
      </c>
      <c r="D644" s="52">
        <v>0</v>
      </c>
      <c r="E644" s="52">
        <v>0</v>
      </c>
      <c r="F644" s="52">
        <v>0</v>
      </c>
      <c r="G644" s="52">
        <v>0</v>
      </c>
      <c r="H644" s="52">
        <v>0</v>
      </c>
      <c r="I644" s="52">
        <v>0</v>
      </c>
      <c r="J644" s="52">
        <v>0</v>
      </c>
      <c r="K644" s="52">
        <v>0</v>
      </c>
      <c r="L644" s="52">
        <v>0</v>
      </c>
      <c r="M644" s="52">
        <v>0</v>
      </c>
      <c r="N644" s="52">
        <v>0</v>
      </c>
      <c r="O644" s="52">
        <v>0</v>
      </c>
      <c r="P644" s="52">
        <v>0</v>
      </c>
      <c r="Q644" s="53">
        <v>0</v>
      </c>
      <c r="R644" s="52">
        <v>0</v>
      </c>
      <c r="S644" s="53">
        <v>0</v>
      </c>
      <c r="T644" s="52">
        <v>0</v>
      </c>
      <c r="U644" s="54">
        <v>0</v>
      </c>
    </row>
    <row r="645" spans="1:21" s="3" customFormat="1" ht="18" customHeight="1">
      <c r="A645" s="8" t="s">
        <v>724</v>
      </c>
      <c r="B645" s="52">
        <v>40</v>
      </c>
      <c r="C645" s="52">
        <v>4</v>
      </c>
      <c r="D645" s="52">
        <v>30</v>
      </c>
      <c r="E645" s="52">
        <v>5.9999989999999999</v>
      </c>
      <c r="F645" s="52">
        <v>0</v>
      </c>
      <c r="G645" s="52">
        <v>0</v>
      </c>
      <c r="H645" s="52">
        <v>0</v>
      </c>
      <c r="I645" s="52">
        <v>0</v>
      </c>
      <c r="J645" s="52">
        <v>0</v>
      </c>
      <c r="K645" s="52">
        <v>0</v>
      </c>
      <c r="L645" s="52">
        <v>0</v>
      </c>
      <c r="M645" s="52">
        <v>0</v>
      </c>
      <c r="N645" s="52">
        <v>0</v>
      </c>
      <c r="O645" s="52">
        <v>0</v>
      </c>
      <c r="P645" s="52">
        <v>0</v>
      </c>
      <c r="Q645" s="53">
        <v>0.12</v>
      </c>
      <c r="R645" s="52">
        <v>1.8</v>
      </c>
      <c r="S645" s="53">
        <v>0.30000000999999998</v>
      </c>
      <c r="T645" s="52">
        <v>12.500000999999999</v>
      </c>
      <c r="U645" s="54">
        <v>1</v>
      </c>
    </row>
    <row r="646" spans="1:21" s="3" customFormat="1" ht="18" customHeight="1">
      <c r="A646" s="8" t="s">
        <v>725</v>
      </c>
      <c r="B646" s="52">
        <v>40</v>
      </c>
      <c r="C646" s="52">
        <v>4</v>
      </c>
      <c r="D646" s="52">
        <v>30</v>
      </c>
      <c r="E646" s="52">
        <v>5.9999989999999999</v>
      </c>
      <c r="F646" s="52">
        <v>0</v>
      </c>
      <c r="G646" s="52">
        <v>0</v>
      </c>
      <c r="H646" s="52">
        <v>0</v>
      </c>
      <c r="I646" s="52">
        <v>0</v>
      </c>
      <c r="J646" s="52">
        <v>0</v>
      </c>
      <c r="K646" s="52">
        <v>0</v>
      </c>
      <c r="L646" s="52">
        <v>0</v>
      </c>
      <c r="M646" s="52">
        <v>0</v>
      </c>
      <c r="N646" s="52">
        <v>0</v>
      </c>
      <c r="O646" s="52">
        <v>0</v>
      </c>
      <c r="P646" s="52">
        <v>0</v>
      </c>
      <c r="Q646" s="53">
        <v>0.16</v>
      </c>
      <c r="R646" s="52">
        <v>2</v>
      </c>
      <c r="S646" s="53">
        <v>0.30000000999999998</v>
      </c>
      <c r="T646" s="52">
        <v>12.500000999999999</v>
      </c>
      <c r="U646" s="54">
        <v>1</v>
      </c>
    </row>
    <row r="647" spans="1:21" s="3" customFormat="1" ht="18" customHeight="1">
      <c r="A647" s="8" t="s">
        <v>726</v>
      </c>
      <c r="B647" s="52">
        <v>7</v>
      </c>
      <c r="C647" s="52">
        <v>5.9500003000000001</v>
      </c>
      <c r="D647" s="52">
        <v>0.34999998999999998</v>
      </c>
      <c r="E647" s="52">
        <v>0.69999975000000003</v>
      </c>
      <c r="F647" s="52">
        <v>0</v>
      </c>
      <c r="G647" s="52">
        <v>0</v>
      </c>
      <c r="H647" s="52">
        <v>0</v>
      </c>
      <c r="I647" s="52">
        <v>0</v>
      </c>
      <c r="J647" s="52">
        <v>0</v>
      </c>
      <c r="K647" s="52">
        <v>0</v>
      </c>
      <c r="L647" s="52">
        <v>0</v>
      </c>
      <c r="M647" s="52">
        <v>0</v>
      </c>
      <c r="N647" s="52">
        <v>0</v>
      </c>
      <c r="O647" s="52">
        <v>0</v>
      </c>
      <c r="P647" s="52">
        <v>0</v>
      </c>
      <c r="Q647" s="53">
        <v>5.0000001000000002E-2</v>
      </c>
      <c r="R647" s="52">
        <v>1.5</v>
      </c>
      <c r="S647" s="53">
        <v>2.3333310999999999E-2</v>
      </c>
      <c r="T647" s="52">
        <v>1</v>
      </c>
      <c r="U647" s="54">
        <v>6</v>
      </c>
    </row>
    <row r="648" spans="1:21" s="3" customFormat="1" ht="18" customHeight="1">
      <c r="A648" s="8" t="s">
        <v>727</v>
      </c>
      <c r="B648" s="52">
        <v>10</v>
      </c>
      <c r="C648" s="52">
        <v>8.5</v>
      </c>
      <c r="D648" s="52">
        <v>0.5</v>
      </c>
      <c r="E648" s="52">
        <v>0.99999963999999997</v>
      </c>
      <c r="F648" s="52">
        <v>0</v>
      </c>
      <c r="G648" s="52">
        <v>0</v>
      </c>
      <c r="H648" s="52">
        <v>0</v>
      </c>
      <c r="I648" s="52">
        <v>0</v>
      </c>
      <c r="J648" s="52">
        <v>0</v>
      </c>
      <c r="K648" s="52">
        <v>0</v>
      </c>
      <c r="L648" s="52">
        <v>0</v>
      </c>
      <c r="M648" s="52">
        <v>0</v>
      </c>
      <c r="N648" s="52">
        <v>0</v>
      </c>
      <c r="O648" s="52">
        <v>0</v>
      </c>
      <c r="P648" s="52">
        <v>0</v>
      </c>
      <c r="Q648" s="53">
        <v>5.0000001000000002E-2</v>
      </c>
      <c r="R648" s="52">
        <v>2</v>
      </c>
      <c r="S648" s="53">
        <v>2.4999976E-2</v>
      </c>
      <c r="T648" s="52">
        <v>1</v>
      </c>
      <c r="U648" s="54">
        <v>6</v>
      </c>
    </row>
    <row r="649" spans="1:21" s="3" customFormat="1" ht="18" customHeight="1">
      <c r="A649" s="8" t="s">
        <v>728</v>
      </c>
      <c r="B649" s="52">
        <v>0</v>
      </c>
      <c r="C649" s="52">
        <v>0</v>
      </c>
      <c r="D649" s="52">
        <v>0</v>
      </c>
      <c r="E649" s="52">
        <v>0</v>
      </c>
      <c r="F649" s="52">
        <v>0</v>
      </c>
      <c r="G649" s="52">
        <v>0</v>
      </c>
      <c r="H649" s="52">
        <v>0</v>
      </c>
      <c r="I649" s="52">
        <v>0</v>
      </c>
      <c r="J649" s="52">
        <v>0</v>
      </c>
      <c r="K649" s="52">
        <v>0</v>
      </c>
      <c r="L649" s="52">
        <v>0</v>
      </c>
      <c r="M649" s="52">
        <v>0</v>
      </c>
      <c r="N649" s="52">
        <v>0</v>
      </c>
      <c r="O649" s="52">
        <v>0</v>
      </c>
      <c r="P649" s="52">
        <v>0</v>
      </c>
      <c r="Q649" s="53">
        <v>0</v>
      </c>
      <c r="R649" s="52">
        <v>0</v>
      </c>
      <c r="S649" s="53">
        <v>0</v>
      </c>
      <c r="T649" s="52">
        <v>0</v>
      </c>
      <c r="U649" s="54">
        <v>0</v>
      </c>
    </row>
    <row r="650" spans="1:21" s="3" customFormat="1" ht="18" customHeight="1">
      <c r="A650" s="8" t="s">
        <v>729</v>
      </c>
      <c r="B650" s="52">
        <v>270</v>
      </c>
      <c r="C650" s="52">
        <v>54</v>
      </c>
      <c r="D650" s="52">
        <v>108</v>
      </c>
      <c r="E650" s="52">
        <v>107.99999</v>
      </c>
      <c r="F650" s="52">
        <v>0</v>
      </c>
      <c r="G650" s="52">
        <v>0</v>
      </c>
      <c r="H650" s="52">
        <v>0</v>
      </c>
      <c r="I650" s="52">
        <v>0</v>
      </c>
      <c r="J650" s="52">
        <v>0</v>
      </c>
      <c r="K650" s="52">
        <v>0</v>
      </c>
      <c r="L650" s="52">
        <v>0</v>
      </c>
      <c r="M650" s="52">
        <v>0</v>
      </c>
      <c r="N650" s="52">
        <v>0</v>
      </c>
      <c r="O650" s="52">
        <v>0</v>
      </c>
      <c r="P650" s="52">
        <v>0</v>
      </c>
      <c r="Q650" s="53">
        <v>0.22</v>
      </c>
      <c r="R650" s="52">
        <v>2</v>
      </c>
      <c r="S650" s="53">
        <v>0.34000003000000001</v>
      </c>
      <c r="T650" s="52">
        <v>1</v>
      </c>
      <c r="U650" s="54">
        <v>0</v>
      </c>
    </row>
    <row r="651" spans="1:21" s="3" customFormat="1" ht="18" customHeight="1">
      <c r="A651" s="8" t="s">
        <v>730</v>
      </c>
      <c r="B651" s="52">
        <v>80</v>
      </c>
      <c r="C651" s="52">
        <v>26.400002000000001</v>
      </c>
      <c r="D651" s="52">
        <v>26.400002000000001</v>
      </c>
      <c r="E651" s="52">
        <v>27.199997</v>
      </c>
      <c r="F651" s="52">
        <v>0</v>
      </c>
      <c r="G651" s="52">
        <v>0</v>
      </c>
      <c r="H651" s="52">
        <v>0</v>
      </c>
      <c r="I651" s="52">
        <v>0</v>
      </c>
      <c r="J651" s="52">
        <v>0</v>
      </c>
      <c r="K651" s="52">
        <v>0</v>
      </c>
      <c r="L651" s="52">
        <v>0</v>
      </c>
      <c r="M651" s="52">
        <v>0</v>
      </c>
      <c r="N651" s="52">
        <v>0</v>
      </c>
      <c r="O651" s="52">
        <v>0</v>
      </c>
      <c r="P651" s="52">
        <v>0</v>
      </c>
      <c r="Q651" s="53">
        <v>0.25</v>
      </c>
      <c r="R651" s="52">
        <v>2</v>
      </c>
      <c r="S651" s="53">
        <v>0.10000002</v>
      </c>
      <c r="T651" s="52">
        <v>3.9840639000000002</v>
      </c>
      <c r="U651" s="54">
        <v>1</v>
      </c>
    </row>
    <row r="652" spans="1:21" s="3" customFormat="1" ht="18" customHeight="1">
      <c r="A652" s="8" t="s">
        <v>731</v>
      </c>
      <c r="B652" s="52">
        <v>88</v>
      </c>
      <c r="C652" s="52">
        <v>29.040001</v>
      </c>
      <c r="D652" s="52">
        <v>29.040001</v>
      </c>
      <c r="E652" s="52">
        <v>29.919998</v>
      </c>
      <c r="F652" s="52">
        <v>0</v>
      </c>
      <c r="G652" s="52">
        <v>0</v>
      </c>
      <c r="H652" s="52">
        <v>0</v>
      </c>
      <c r="I652" s="52">
        <v>0</v>
      </c>
      <c r="J652" s="52">
        <v>0</v>
      </c>
      <c r="K652" s="52">
        <v>0</v>
      </c>
      <c r="L652" s="52">
        <v>0</v>
      </c>
      <c r="M652" s="52">
        <v>0</v>
      </c>
      <c r="N652" s="52">
        <v>0</v>
      </c>
      <c r="O652" s="52">
        <v>0</v>
      </c>
      <c r="P652" s="52">
        <v>0</v>
      </c>
      <c r="Q652" s="53">
        <v>0.30000000999999998</v>
      </c>
      <c r="R652" s="52">
        <v>2</v>
      </c>
      <c r="S652" s="53">
        <v>0.25</v>
      </c>
      <c r="T652" s="52">
        <v>4.7169813999999999</v>
      </c>
      <c r="U652" s="54">
        <v>1</v>
      </c>
    </row>
    <row r="653" spans="1:21" s="3" customFormat="1" ht="18" customHeight="1">
      <c r="A653" s="8" t="s">
        <v>732</v>
      </c>
      <c r="B653" s="52">
        <v>225</v>
      </c>
      <c r="C653" s="52">
        <v>11.25</v>
      </c>
      <c r="D653" s="52">
        <v>213.75</v>
      </c>
      <c r="E653" s="52">
        <v>0</v>
      </c>
      <c r="F653" s="52">
        <v>0</v>
      </c>
      <c r="G653" s="52">
        <v>0</v>
      </c>
      <c r="H653" s="52">
        <v>0</v>
      </c>
      <c r="I653" s="52">
        <v>0</v>
      </c>
      <c r="J653" s="52">
        <v>0</v>
      </c>
      <c r="K653" s="52">
        <v>0</v>
      </c>
      <c r="L653" s="52">
        <v>0</v>
      </c>
      <c r="M653" s="52">
        <v>0</v>
      </c>
      <c r="N653" s="52">
        <v>0</v>
      </c>
      <c r="O653" s="52">
        <v>0</v>
      </c>
      <c r="P653" s="52">
        <v>0</v>
      </c>
      <c r="Q653" s="53">
        <v>0.1</v>
      </c>
      <c r="R653" s="52">
        <v>2</v>
      </c>
      <c r="S653" s="53">
        <v>0.25</v>
      </c>
      <c r="T653" s="52">
        <v>0.91666669000000001</v>
      </c>
      <c r="U653" s="54">
        <v>0</v>
      </c>
    </row>
    <row r="654" spans="1:21" s="3" customFormat="1" ht="18" customHeight="1">
      <c r="A654" s="8" t="s">
        <v>733</v>
      </c>
      <c r="B654" s="52">
        <v>20</v>
      </c>
      <c r="C654" s="52">
        <v>0</v>
      </c>
      <c r="D654" s="52">
        <v>0</v>
      </c>
      <c r="E654" s="52">
        <v>0</v>
      </c>
      <c r="F654" s="52">
        <v>0</v>
      </c>
      <c r="G654" s="52">
        <v>0</v>
      </c>
      <c r="H654" s="52">
        <v>0</v>
      </c>
      <c r="I654" s="52">
        <v>0</v>
      </c>
      <c r="J654" s="52">
        <v>0</v>
      </c>
      <c r="K654" s="52">
        <v>0</v>
      </c>
      <c r="L654" s="52">
        <v>0</v>
      </c>
      <c r="M654" s="52">
        <v>0</v>
      </c>
      <c r="N654" s="52">
        <v>0</v>
      </c>
      <c r="O654" s="52">
        <v>20</v>
      </c>
      <c r="P654" s="52">
        <v>0</v>
      </c>
      <c r="Q654" s="53">
        <v>0.38999999000000002</v>
      </c>
      <c r="R654" s="52">
        <v>2.7</v>
      </c>
      <c r="S654" s="53">
        <v>0.13</v>
      </c>
      <c r="T654" s="52">
        <v>12.000000999999999</v>
      </c>
      <c r="U654" s="54">
        <v>1</v>
      </c>
    </row>
    <row r="655" spans="1:21" s="3" customFormat="1" ht="18" customHeight="1">
      <c r="A655" s="8" t="s">
        <v>734</v>
      </c>
      <c r="B655" s="52">
        <v>21</v>
      </c>
      <c r="C655" s="52">
        <v>0</v>
      </c>
      <c r="D655" s="52">
        <v>0</v>
      </c>
      <c r="E655" s="52">
        <v>0</v>
      </c>
      <c r="F655" s="52">
        <v>0</v>
      </c>
      <c r="G655" s="52">
        <v>0</v>
      </c>
      <c r="H655" s="52">
        <v>0</v>
      </c>
      <c r="I655" s="52">
        <v>0</v>
      </c>
      <c r="J655" s="52">
        <v>0</v>
      </c>
      <c r="K655" s="52">
        <v>0</v>
      </c>
      <c r="L655" s="52">
        <v>0</v>
      </c>
      <c r="M655" s="52">
        <v>21</v>
      </c>
      <c r="N655" s="52">
        <v>0</v>
      </c>
      <c r="O655" s="52">
        <v>0</v>
      </c>
      <c r="P655" s="52">
        <v>0</v>
      </c>
      <c r="Q655" s="53">
        <v>0.2</v>
      </c>
      <c r="R655" s="52">
        <v>2</v>
      </c>
      <c r="S655" s="53">
        <v>0.27999996999999999</v>
      </c>
      <c r="T655" s="52">
        <v>12.000000999999999</v>
      </c>
      <c r="U655" s="54">
        <v>1</v>
      </c>
    </row>
    <row r="656" spans="1:21" s="3" customFormat="1" ht="18" customHeight="1">
      <c r="A656" s="8" t="s">
        <v>735</v>
      </c>
      <c r="B656" s="52">
        <v>280</v>
      </c>
      <c r="C656" s="52">
        <v>238</v>
      </c>
      <c r="D656" s="52">
        <v>28</v>
      </c>
      <c r="E656" s="52">
        <v>13.999987000000001</v>
      </c>
      <c r="F656" s="52">
        <v>0</v>
      </c>
      <c r="G656" s="52">
        <v>0</v>
      </c>
      <c r="H656" s="52">
        <v>0</v>
      </c>
      <c r="I656" s="52">
        <v>0</v>
      </c>
      <c r="J656" s="52">
        <v>0</v>
      </c>
      <c r="K656" s="52">
        <v>0</v>
      </c>
      <c r="L656" s="52">
        <v>0</v>
      </c>
      <c r="M656" s="52">
        <v>0</v>
      </c>
      <c r="N656" s="52">
        <v>0</v>
      </c>
      <c r="O656" s="52">
        <v>0</v>
      </c>
      <c r="P656" s="52">
        <v>0</v>
      </c>
      <c r="Q656" s="53">
        <v>0.16</v>
      </c>
      <c r="R656" s="52">
        <v>2</v>
      </c>
      <c r="S656" s="53">
        <v>0.39999997999999998</v>
      </c>
      <c r="T656" s="52">
        <v>1.0833333999999999</v>
      </c>
      <c r="U656" s="54">
        <v>0</v>
      </c>
    </row>
    <row r="657" spans="1:21" s="3" customFormat="1" ht="18" customHeight="1">
      <c r="A657" s="8" t="s">
        <v>736</v>
      </c>
      <c r="B657" s="52">
        <v>240</v>
      </c>
      <c r="C657" s="52">
        <v>0</v>
      </c>
      <c r="D657" s="52">
        <v>0</v>
      </c>
      <c r="E657" s="52">
        <v>0</v>
      </c>
      <c r="F657" s="52">
        <v>0</v>
      </c>
      <c r="G657" s="52">
        <v>0</v>
      </c>
      <c r="H657" s="52">
        <v>0</v>
      </c>
      <c r="I657" s="52">
        <v>0</v>
      </c>
      <c r="J657" s="52">
        <v>0</v>
      </c>
      <c r="K657" s="52">
        <v>0</v>
      </c>
      <c r="L657" s="52">
        <v>0</v>
      </c>
      <c r="M657" s="52">
        <v>240</v>
      </c>
      <c r="N657" s="52">
        <v>0</v>
      </c>
      <c r="O657" s="52">
        <v>0</v>
      </c>
      <c r="P657" s="52">
        <v>0</v>
      </c>
      <c r="Q657" s="53">
        <v>0.14000000000000001</v>
      </c>
      <c r="R657" s="52">
        <v>2</v>
      </c>
      <c r="S657" s="53">
        <v>0.35000002000000002</v>
      </c>
      <c r="T657" s="52">
        <v>3.3333335000000002</v>
      </c>
      <c r="U657" s="54">
        <v>1</v>
      </c>
    </row>
    <row r="658" spans="1:21" s="3" customFormat="1" ht="18" customHeight="1">
      <c r="A658" s="8" t="s">
        <v>737</v>
      </c>
      <c r="B658" s="52">
        <v>120</v>
      </c>
      <c r="C658" s="52">
        <v>0</v>
      </c>
      <c r="D658" s="52">
        <v>0</v>
      </c>
      <c r="E658" s="52">
        <v>0</v>
      </c>
      <c r="F658" s="52">
        <v>0</v>
      </c>
      <c r="G658" s="52">
        <v>0</v>
      </c>
      <c r="H658" s="52">
        <v>0</v>
      </c>
      <c r="I658" s="52">
        <v>0</v>
      </c>
      <c r="J658" s="52">
        <v>120</v>
      </c>
      <c r="K658" s="52">
        <v>0</v>
      </c>
      <c r="L658" s="52">
        <v>0</v>
      </c>
      <c r="M658" s="52">
        <v>0</v>
      </c>
      <c r="N658" s="52">
        <v>0</v>
      </c>
      <c r="O658" s="52">
        <v>0</v>
      </c>
      <c r="P658" s="52">
        <v>0</v>
      </c>
      <c r="Q658" s="53">
        <v>0.22</v>
      </c>
      <c r="R658" s="52">
        <v>2</v>
      </c>
      <c r="S658" s="53">
        <v>0.25999999000000001</v>
      </c>
      <c r="T658" s="52">
        <v>3.3333335000000002</v>
      </c>
      <c r="U658" s="54">
        <v>1</v>
      </c>
    </row>
    <row r="659" spans="1:21" s="3" customFormat="1" ht="18" customHeight="1">
      <c r="A659" s="8" t="s">
        <v>738</v>
      </c>
      <c r="B659" s="52">
        <v>214</v>
      </c>
      <c r="C659" s="52">
        <v>20</v>
      </c>
      <c r="D659" s="52">
        <v>54</v>
      </c>
      <c r="E659" s="52">
        <v>68</v>
      </c>
      <c r="F659" s="52">
        <v>0</v>
      </c>
      <c r="G659" s="52">
        <v>0</v>
      </c>
      <c r="H659" s="52">
        <v>0</v>
      </c>
      <c r="I659" s="52">
        <v>0</v>
      </c>
      <c r="J659" s="52">
        <v>0</v>
      </c>
      <c r="K659" s="52">
        <v>72</v>
      </c>
      <c r="L659" s="52">
        <v>0</v>
      </c>
      <c r="M659" s="52">
        <v>0</v>
      </c>
      <c r="N659" s="52">
        <v>0</v>
      </c>
      <c r="O659" s="52">
        <v>0</v>
      </c>
      <c r="P659" s="52">
        <v>0</v>
      </c>
      <c r="Q659" s="53">
        <v>0.16</v>
      </c>
      <c r="R659" s="52">
        <v>2</v>
      </c>
      <c r="S659" s="53">
        <v>0.27999996999999999</v>
      </c>
      <c r="T659" s="52">
        <v>1</v>
      </c>
      <c r="U659" s="54">
        <v>0</v>
      </c>
    </row>
    <row r="660" spans="1:21" s="3" customFormat="1" ht="18" customHeight="1">
      <c r="A660" s="8" t="s">
        <v>739</v>
      </c>
      <c r="B660" s="52">
        <v>230</v>
      </c>
      <c r="C660" s="52">
        <v>20</v>
      </c>
      <c r="D660" s="52">
        <v>54</v>
      </c>
      <c r="E660" s="52">
        <v>76</v>
      </c>
      <c r="F660" s="52">
        <v>0</v>
      </c>
      <c r="G660" s="52">
        <v>0</v>
      </c>
      <c r="H660" s="52">
        <v>0</v>
      </c>
      <c r="I660" s="52">
        <v>0</v>
      </c>
      <c r="J660" s="52">
        <v>0</v>
      </c>
      <c r="K660" s="52">
        <v>80</v>
      </c>
      <c r="L660" s="52">
        <v>0</v>
      </c>
      <c r="M660" s="52">
        <v>0</v>
      </c>
      <c r="N660" s="52">
        <v>0</v>
      </c>
      <c r="O660" s="52">
        <v>0</v>
      </c>
      <c r="P660" s="52">
        <v>0</v>
      </c>
      <c r="Q660" s="53">
        <v>0.22</v>
      </c>
      <c r="R660" s="52">
        <v>2.4000001000000002</v>
      </c>
      <c r="S660" s="53">
        <v>0.30000000999999998</v>
      </c>
      <c r="T660" s="52">
        <v>1.1666666999999999</v>
      </c>
      <c r="U660" s="54">
        <v>0</v>
      </c>
    </row>
    <row r="661" spans="1:21" s="3" customFormat="1" ht="18" customHeight="1">
      <c r="A661" s="8" t="s">
        <v>740</v>
      </c>
      <c r="B661" s="52">
        <v>6</v>
      </c>
      <c r="C661" s="52">
        <v>0</v>
      </c>
      <c r="D661" s="52">
        <v>0</v>
      </c>
      <c r="E661" s="52">
        <v>0</v>
      </c>
      <c r="F661" s="52">
        <v>0</v>
      </c>
      <c r="G661" s="52">
        <v>0</v>
      </c>
      <c r="H661" s="52">
        <v>6</v>
      </c>
      <c r="I661" s="52">
        <v>0</v>
      </c>
      <c r="J661" s="52">
        <v>0</v>
      </c>
      <c r="K661" s="52">
        <v>0</v>
      </c>
      <c r="L661" s="52">
        <v>0</v>
      </c>
      <c r="M661" s="52">
        <v>0</v>
      </c>
      <c r="N661" s="52">
        <v>0</v>
      </c>
      <c r="O661" s="52">
        <v>0</v>
      </c>
      <c r="P661" s="52">
        <v>0</v>
      </c>
      <c r="Q661" s="53">
        <v>0.02</v>
      </c>
      <c r="R661" s="52">
        <v>1.5</v>
      </c>
      <c r="S661" s="53">
        <v>0.14999998</v>
      </c>
      <c r="T661" s="52">
        <v>8.3333340000000007</v>
      </c>
      <c r="U661" s="54">
        <v>1</v>
      </c>
    </row>
    <row r="662" spans="1:21" s="3" customFormat="1" ht="18" customHeight="1">
      <c r="A662" s="8" t="s">
        <v>741</v>
      </c>
      <c r="B662" s="52">
        <v>160</v>
      </c>
      <c r="C662" s="52">
        <v>32</v>
      </c>
      <c r="D662" s="52">
        <v>16</v>
      </c>
      <c r="E662" s="52">
        <v>112</v>
      </c>
      <c r="F662" s="52">
        <v>0</v>
      </c>
      <c r="G662" s="52">
        <v>0</v>
      </c>
      <c r="H662" s="52">
        <v>0</v>
      </c>
      <c r="I662" s="52">
        <v>0</v>
      </c>
      <c r="J662" s="52">
        <v>0</v>
      </c>
      <c r="K662" s="52">
        <v>0</v>
      </c>
      <c r="L662" s="52">
        <v>0</v>
      </c>
      <c r="M662" s="52">
        <v>0</v>
      </c>
      <c r="N662" s="52">
        <v>0</v>
      </c>
      <c r="O662" s="52">
        <v>0</v>
      </c>
      <c r="P662" s="52">
        <v>0</v>
      </c>
      <c r="Q662" s="53">
        <v>0.30000000999999998</v>
      </c>
      <c r="R662" s="52">
        <v>2</v>
      </c>
      <c r="S662" s="53">
        <v>0.10000002</v>
      </c>
      <c r="T662" s="52">
        <v>0.91666669000000001</v>
      </c>
      <c r="U662" s="54">
        <v>0</v>
      </c>
    </row>
    <row r="663" spans="1:21" s="3" customFormat="1" ht="18" customHeight="1">
      <c r="A663" s="8" t="s">
        <v>742</v>
      </c>
      <c r="B663" s="52">
        <v>180</v>
      </c>
      <c r="C663" s="52">
        <v>39.599997999999999</v>
      </c>
      <c r="D663" s="52">
        <v>25.200001</v>
      </c>
      <c r="E663" s="52">
        <v>115.2</v>
      </c>
      <c r="F663" s="52">
        <v>0</v>
      </c>
      <c r="G663" s="52">
        <v>0</v>
      </c>
      <c r="H663" s="52">
        <v>0</v>
      </c>
      <c r="I663" s="52">
        <v>0</v>
      </c>
      <c r="J663" s="52">
        <v>0</v>
      </c>
      <c r="K663" s="52">
        <v>0</v>
      </c>
      <c r="L663" s="52">
        <v>0</v>
      </c>
      <c r="M663" s="52">
        <v>0</v>
      </c>
      <c r="N663" s="52">
        <v>0</v>
      </c>
      <c r="O663" s="52">
        <v>0</v>
      </c>
      <c r="P663" s="52">
        <v>0</v>
      </c>
      <c r="Q663" s="53">
        <v>0.30000000999999998</v>
      </c>
      <c r="R663" s="52">
        <v>2.4000001000000002</v>
      </c>
      <c r="S663" s="53">
        <v>0.25999999000000001</v>
      </c>
      <c r="T663" s="52">
        <v>1</v>
      </c>
      <c r="U663" s="54">
        <v>0</v>
      </c>
    </row>
    <row r="664" spans="1:21" s="3" customFormat="1" ht="18" customHeight="1">
      <c r="A664" s="8" t="s">
        <v>743</v>
      </c>
      <c r="B664" s="52">
        <v>70</v>
      </c>
      <c r="C664" s="52">
        <v>7</v>
      </c>
      <c r="D664" s="52">
        <v>63</v>
      </c>
      <c r="E664" s="52">
        <v>0</v>
      </c>
      <c r="F664" s="52">
        <v>0</v>
      </c>
      <c r="G664" s="52">
        <v>0</v>
      </c>
      <c r="H664" s="52">
        <v>0</v>
      </c>
      <c r="I664" s="52">
        <v>0</v>
      </c>
      <c r="J664" s="52">
        <v>0</v>
      </c>
      <c r="K664" s="52">
        <v>0</v>
      </c>
      <c r="L664" s="52">
        <v>0</v>
      </c>
      <c r="M664" s="52">
        <v>0</v>
      </c>
      <c r="N664" s="52">
        <v>0</v>
      </c>
      <c r="O664" s="52">
        <v>0</v>
      </c>
      <c r="P664" s="52">
        <v>0</v>
      </c>
      <c r="Q664" s="53">
        <v>0.13</v>
      </c>
      <c r="R664" s="52">
        <v>2</v>
      </c>
      <c r="S664" s="53">
        <v>0.28999996</v>
      </c>
      <c r="T664" s="52">
        <v>5.0000004999999996</v>
      </c>
      <c r="U664" s="54">
        <v>1</v>
      </c>
    </row>
    <row r="665" spans="1:21" s="3" customFormat="1" ht="18" customHeight="1">
      <c r="A665" s="8" t="s">
        <v>744</v>
      </c>
      <c r="B665" s="52">
        <v>209.99997999999999</v>
      </c>
      <c r="C665" s="52">
        <v>21</v>
      </c>
      <c r="D665" s="52">
        <v>178.5</v>
      </c>
      <c r="E665" s="52">
        <v>10.49999</v>
      </c>
      <c r="F665" s="52">
        <v>0</v>
      </c>
      <c r="G665" s="52">
        <v>0</v>
      </c>
      <c r="H665" s="52">
        <v>0</v>
      </c>
      <c r="I665" s="52">
        <v>0</v>
      </c>
      <c r="J665" s="52">
        <v>0</v>
      </c>
      <c r="K665" s="52">
        <v>0</v>
      </c>
      <c r="L665" s="52">
        <v>0</v>
      </c>
      <c r="M665" s="52">
        <v>0</v>
      </c>
      <c r="N665" s="52">
        <v>0</v>
      </c>
      <c r="O665" s="52">
        <v>0</v>
      </c>
      <c r="P665" s="52">
        <v>0</v>
      </c>
      <c r="Q665" s="53">
        <v>0.2</v>
      </c>
      <c r="R665" s="52">
        <v>2</v>
      </c>
      <c r="S665" s="53">
        <v>0.35000002000000002</v>
      </c>
      <c r="T665" s="52">
        <v>1.0833333999999999</v>
      </c>
      <c r="U665" s="54">
        <v>0</v>
      </c>
    </row>
    <row r="666" spans="1:21" s="3" customFormat="1" ht="18" customHeight="1">
      <c r="A666" s="8" t="s">
        <v>745</v>
      </c>
      <c r="B666" s="52">
        <v>30</v>
      </c>
      <c r="C666" s="52">
        <v>3</v>
      </c>
      <c r="D666" s="52">
        <v>27</v>
      </c>
      <c r="E666" s="52">
        <v>0</v>
      </c>
      <c r="F666" s="52">
        <v>0</v>
      </c>
      <c r="G666" s="52">
        <v>0</v>
      </c>
      <c r="H666" s="52">
        <v>0</v>
      </c>
      <c r="I666" s="52">
        <v>0</v>
      </c>
      <c r="J666" s="52">
        <v>0</v>
      </c>
      <c r="K666" s="52">
        <v>0</v>
      </c>
      <c r="L666" s="52">
        <v>0</v>
      </c>
      <c r="M666" s="52">
        <v>0</v>
      </c>
      <c r="N666" s="52">
        <v>0</v>
      </c>
      <c r="O666" s="52">
        <v>0</v>
      </c>
      <c r="P666" s="52">
        <v>0</v>
      </c>
      <c r="Q666" s="53">
        <v>0.30000000999999998</v>
      </c>
      <c r="R666" s="52">
        <v>2.4000001000000002</v>
      </c>
      <c r="S666" s="53">
        <v>0.15999996999999999</v>
      </c>
      <c r="T666" s="52">
        <v>9.3333340000000007</v>
      </c>
      <c r="U666" s="54">
        <v>1</v>
      </c>
    </row>
    <row r="667" spans="1:21" s="3" customFormat="1" ht="18" customHeight="1">
      <c r="A667" s="8" t="s">
        <v>746</v>
      </c>
      <c r="B667" s="52">
        <v>260</v>
      </c>
      <c r="C667" s="52">
        <v>120</v>
      </c>
      <c r="D667" s="52">
        <v>0</v>
      </c>
      <c r="E667" s="52">
        <v>0</v>
      </c>
      <c r="F667" s="52">
        <v>0</v>
      </c>
      <c r="G667" s="52">
        <v>0</v>
      </c>
      <c r="H667" s="52">
        <v>140</v>
      </c>
      <c r="I667" s="52">
        <v>0</v>
      </c>
      <c r="J667" s="52">
        <v>0</v>
      </c>
      <c r="K667" s="52">
        <v>0</v>
      </c>
      <c r="L667" s="52">
        <v>0</v>
      </c>
      <c r="M667" s="52">
        <v>0</v>
      </c>
      <c r="N667" s="52">
        <v>0</v>
      </c>
      <c r="O667" s="52">
        <v>0</v>
      </c>
      <c r="P667" s="52">
        <v>0</v>
      </c>
      <c r="Q667" s="53">
        <v>0.23999999</v>
      </c>
      <c r="R667" s="52">
        <v>2</v>
      </c>
      <c r="S667" s="53">
        <v>0.27999996999999999</v>
      </c>
      <c r="T667" s="52">
        <v>0.91666669000000001</v>
      </c>
      <c r="U667" s="54">
        <v>0</v>
      </c>
    </row>
    <row r="668" spans="1:21" s="3" customFormat="1" ht="18" customHeight="1">
      <c r="A668" s="8" t="s">
        <v>15</v>
      </c>
      <c r="B668" s="52">
        <v>760</v>
      </c>
      <c r="C668" s="52">
        <v>0</v>
      </c>
      <c r="D668" s="52">
        <v>0</v>
      </c>
      <c r="E668" s="52">
        <v>0</v>
      </c>
      <c r="F668" s="52">
        <v>0</v>
      </c>
      <c r="G668" s="52">
        <v>0</v>
      </c>
      <c r="H668" s="52">
        <v>0</v>
      </c>
      <c r="I668" s="52">
        <v>0</v>
      </c>
      <c r="J668" s="52">
        <v>0</v>
      </c>
      <c r="K668" s="52">
        <v>760</v>
      </c>
      <c r="L668" s="52">
        <v>0</v>
      </c>
      <c r="M668" s="52">
        <v>0</v>
      </c>
      <c r="N668" s="52">
        <v>0</v>
      </c>
      <c r="O668" s="52">
        <v>0</v>
      </c>
      <c r="P668" s="52">
        <v>0</v>
      </c>
      <c r="Q668" s="53">
        <v>0.22</v>
      </c>
      <c r="R668" s="52">
        <v>2</v>
      </c>
      <c r="S668" s="53">
        <v>0.34000003000000001</v>
      </c>
      <c r="T668" s="52">
        <v>1</v>
      </c>
      <c r="U668" s="54">
        <v>1</v>
      </c>
    </row>
    <row r="669" spans="1:21" s="3" customFormat="1" ht="18" customHeight="1">
      <c r="A669" s="8" t="s">
        <v>747</v>
      </c>
      <c r="B669" s="52">
        <v>22</v>
      </c>
      <c r="C669" s="52">
        <v>0</v>
      </c>
      <c r="D669" s="52">
        <v>0</v>
      </c>
      <c r="E669" s="52">
        <v>0</v>
      </c>
      <c r="F669" s="52">
        <v>22</v>
      </c>
      <c r="G669" s="52">
        <v>0</v>
      </c>
      <c r="H669" s="52">
        <v>0</v>
      </c>
      <c r="I669" s="52">
        <v>0</v>
      </c>
      <c r="J669" s="52">
        <v>0</v>
      </c>
      <c r="K669" s="52">
        <v>0</v>
      </c>
      <c r="L669" s="52">
        <v>0</v>
      </c>
      <c r="M669" s="52">
        <v>0</v>
      </c>
      <c r="N669" s="52">
        <v>0</v>
      </c>
      <c r="O669" s="52">
        <v>0</v>
      </c>
      <c r="P669" s="52">
        <v>0</v>
      </c>
      <c r="Q669" s="53">
        <v>0.2</v>
      </c>
      <c r="R669" s="52">
        <v>1.8</v>
      </c>
      <c r="S669" s="53">
        <v>0.39999997999999998</v>
      </c>
      <c r="T669" s="52">
        <v>12.000000999999999</v>
      </c>
      <c r="U669" s="54">
        <v>1</v>
      </c>
    </row>
    <row r="670" spans="1:21" s="3" customFormat="1" ht="18" customHeight="1">
      <c r="A670" s="8" t="s">
        <v>748</v>
      </c>
      <c r="B670" s="52">
        <v>26</v>
      </c>
      <c r="C670" s="52">
        <v>0</v>
      </c>
      <c r="D670" s="52">
        <v>0</v>
      </c>
      <c r="E670" s="52">
        <v>0</v>
      </c>
      <c r="F670" s="52">
        <v>0</v>
      </c>
      <c r="G670" s="52">
        <v>0</v>
      </c>
      <c r="H670" s="52">
        <v>0</v>
      </c>
      <c r="I670" s="52">
        <v>0</v>
      </c>
      <c r="J670" s="52">
        <v>0</v>
      </c>
      <c r="K670" s="52">
        <v>26</v>
      </c>
      <c r="L670" s="52">
        <v>0</v>
      </c>
      <c r="M670" s="52">
        <v>0</v>
      </c>
      <c r="N670" s="52">
        <v>0</v>
      </c>
      <c r="O670" s="52">
        <v>0</v>
      </c>
      <c r="P670" s="52">
        <v>0</v>
      </c>
      <c r="Q670" s="53">
        <v>0.18000000999999999</v>
      </c>
      <c r="R670" s="52">
        <v>2</v>
      </c>
      <c r="S670" s="53">
        <v>0.10000002</v>
      </c>
      <c r="T670" s="52">
        <v>3.3333335000000002</v>
      </c>
      <c r="U670" s="54">
        <v>10</v>
      </c>
    </row>
    <row r="671" spans="1:21" s="3" customFormat="1" ht="18" customHeight="1">
      <c r="A671" s="8" t="s">
        <v>749</v>
      </c>
      <c r="B671" s="52">
        <v>28</v>
      </c>
      <c r="C671" s="52">
        <v>11.2</v>
      </c>
      <c r="D671" s="52">
        <v>8.9600000000000009</v>
      </c>
      <c r="E671" s="52">
        <v>7.8399992000000003</v>
      </c>
      <c r="F671" s="52">
        <v>0</v>
      </c>
      <c r="G671" s="52">
        <v>0</v>
      </c>
      <c r="H671" s="52">
        <v>0</v>
      </c>
      <c r="I671" s="52">
        <v>0</v>
      </c>
      <c r="J671" s="52">
        <v>0</v>
      </c>
      <c r="K671" s="52">
        <v>0</v>
      </c>
      <c r="L671" s="52">
        <v>0</v>
      </c>
      <c r="M671" s="52">
        <v>0</v>
      </c>
      <c r="N671" s="52">
        <v>0</v>
      </c>
      <c r="O671" s="52">
        <v>0</v>
      </c>
      <c r="P671" s="52">
        <v>0</v>
      </c>
      <c r="Q671" s="53">
        <v>0.36000000999999998</v>
      </c>
      <c r="R671" s="52">
        <v>2.2000000000000002</v>
      </c>
      <c r="S671" s="53">
        <v>0.13999998999999999</v>
      </c>
      <c r="T671" s="52">
        <v>9.6666670000000003</v>
      </c>
      <c r="U671" s="54">
        <v>1</v>
      </c>
    </row>
    <row r="672" spans="1:21" s="3" customFormat="1" ht="18" customHeight="1">
      <c r="A672" s="8" t="s">
        <v>750</v>
      </c>
      <c r="B672" s="52">
        <v>740</v>
      </c>
      <c r="C672" s="52">
        <v>100</v>
      </c>
      <c r="D672" s="52">
        <v>0</v>
      </c>
      <c r="E672" s="52">
        <v>0</v>
      </c>
      <c r="F672" s="52">
        <v>0</v>
      </c>
      <c r="G672" s="52">
        <v>640</v>
      </c>
      <c r="H672" s="52">
        <v>0</v>
      </c>
      <c r="I672" s="52">
        <v>0</v>
      </c>
      <c r="J672" s="52">
        <v>0</v>
      </c>
      <c r="K672" s="52">
        <v>0</v>
      </c>
      <c r="L672" s="52">
        <v>0</v>
      </c>
      <c r="M672" s="52">
        <v>0</v>
      </c>
      <c r="N672" s="52">
        <v>0</v>
      </c>
      <c r="O672" s="52">
        <v>0</v>
      </c>
      <c r="P672" s="52">
        <v>0</v>
      </c>
      <c r="Q672" s="53">
        <v>0.28000000000000003</v>
      </c>
      <c r="R672" s="52">
        <v>2.5999998999999998</v>
      </c>
      <c r="S672" s="53">
        <v>0.24000001000000001</v>
      </c>
      <c r="T672" s="52">
        <v>0.83333336999999996</v>
      </c>
      <c r="U672" s="54">
        <v>1</v>
      </c>
    </row>
    <row r="673" spans="1:21" s="3" customFormat="1" ht="18" customHeight="1">
      <c r="A673" s="8" t="s">
        <v>751</v>
      </c>
      <c r="B673" s="52">
        <v>190</v>
      </c>
      <c r="C673" s="52">
        <v>102.60001</v>
      </c>
      <c r="D673" s="52">
        <v>0</v>
      </c>
      <c r="E673" s="52">
        <v>87.399994000000007</v>
      </c>
      <c r="F673" s="52">
        <v>0</v>
      </c>
      <c r="G673" s="52">
        <v>0</v>
      </c>
      <c r="H673" s="52">
        <v>0</v>
      </c>
      <c r="I673" s="52">
        <v>0</v>
      </c>
      <c r="J673" s="52">
        <v>0</v>
      </c>
      <c r="K673" s="52">
        <v>0</v>
      </c>
      <c r="L673" s="52">
        <v>0</v>
      </c>
      <c r="M673" s="52">
        <v>0</v>
      </c>
      <c r="N673" s="52">
        <v>0</v>
      </c>
      <c r="O673" s="52">
        <v>0</v>
      </c>
      <c r="P673" s="52">
        <v>0</v>
      </c>
      <c r="Q673" s="53">
        <v>0.38</v>
      </c>
      <c r="R673" s="52">
        <v>2.4000001000000002</v>
      </c>
      <c r="S673" s="53">
        <v>0.22000003000000001</v>
      </c>
      <c r="T673" s="52">
        <v>1</v>
      </c>
      <c r="U673" s="54">
        <v>0</v>
      </c>
    </row>
    <row r="674" spans="1:21" s="3" customFormat="1" ht="18" customHeight="1">
      <c r="A674" s="8" t="s">
        <v>752</v>
      </c>
      <c r="B674" s="52">
        <v>200</v>
      </c>
      <c r="C674" s="52">
        <v>20</v>
      </c>
      <c r="D674" s="52">
        <v>140</v>
      </c>
      <c r="E674" s="52">
        <v>39.999996000000003</v>
      </c>
      <c r="F674" s="52">
        <v>0</v>
      </c>
      <c r="G674" s="52">
        <v>0</v>
      </c>
      <c r="H674" s="52">
        <v>0</v>
      </c>
      <c r="I674" s="52">
        <v>0</v>
      </c>
      <c r="J674" s="52">
        <v>0</v>
      </c>
      <c r="K674" s="52">
        <v>0</v>
      </c>
      <c r="L674" s="52">
        <v>0</v>
      </c>
      <c r="M674" s="52">
        <v>0</v>
      </c>
      <c r="N674" s="52">
        <v>0</v>
      </c>
      <c r="O674" s="52">
        <v>0</v>
      </c>
      <c r="P674" s="52">
        <v>0</v>
      </c>
      <c r="Q674" s="53">
        <v>0.34</v>
      </c>
      <c r="R674" s="52">
        <v>3</v>
      </c>
      <c r="S674" s="53">
        <v>0.25999999000000001</v>
      </c>
      <c r="T674" s="52">
        <v>2.6666666999999999</v>
      </c>
      <c r="U674" s="54">
        <v>1</v>
      </c>
    </row>
    <row r="675" spans="1:21" s="3" customFormat="1" ht="18" customHeight="1">
      <c r="A675" s="8" t="s">
        <v>753</v>
      </c>
      <c r="B675" s="52">
        <v>22</v>
      </c>
      <c r="C675" s="52">
        <v>0</v>
      </c>
      <c r="D675" s="52">
        <v>4.8400002000000004</v>
      </c>
      <c r="E675" s="52">
        <v>17.16</v>
      </c>
      <c r="F675" s="52">
        <v>0</v>
      </c>
      <c r="G675" s="52">
        <v>0</v>
      </c>
      <c r="H675" s="52">
        <v>0</v>
      </c>
      <c r="I675" s="52">
        <v>0</v>
      </c>
      <c r="J675" s="52">
        <v>0</v>
      </c>
      <c r="K675" s="52">
        <v>0</v>
      </c>
      <c r="L675" s="52">
        <v>0</v>
      </c>
      <c r="M675" s="52">
        <v>0</v>
      </c>
      <c r="N675" s="52">
        <v>0</v>
      </c>
      <c r="O675" s="52">
        <v>0</v>
      </c>
      <c r="P675" s="52">
        <v>0</v>
      </c>
      <c r="Q675" s="53">
        <v>0.2</v>
      </c>
      <c r="R675" s="52">
        <v>1.8</v>
      </c>
      <c r="S675" s="53">
        <v>0.25999999000000001</v>
      </c>
      <c r="T675" s="52">
        <v>15.000000999999999</v>
      </c>
      <c r="U675" s="54">
        <v>1</v>
      </c>
    </row>
    <row r="676" spans="1:21" s="3" customFormat="1" ht="18" customHeight="1">
      <c r="A676" s="8" t="s">
        <v>754</v>
      </c>
      <c r="B676" s="52">
        <v>34</v>
      </c>
      <c r="C676" s="52">
        <v>0</v>
      </c>
      <c r="D676" s="52">
        <v>0</v>
      </c>
      <c r="E676" s="52">
        <v>0</v>
      </c>
      <c r="F676" s="52">
        <v>0</v>
      </c>
      <c r="G676" s="52">
        <v>34</v>
      </c>
      <c r="H676" s="52">
        <v>0</v>
      </c>
      <c r="I676" s="52">
        <v>0</v>
      </c>
      <c r="J676" s="52">
        <v>0</v>
      </c>
      <c r="K676" s="52">
        <v>0</v>
      </c>
      <c r="L676" s="52">
        <v>0</v>
      </c>
      <c r="M676" s="52">
        <v>0</v>
      </c>
      <c r="N676" s="52">
        <v>0</v>
      </c>
      <c r="O676" s="52">
        <v>0</v>
      </c>
      <c r="P676" s="52">
        <v>0</v>
      </c>
      <c r="Q676" s="53">
        <v>0.2</v>
      </c>
      <c r="R676" s="52">
        <v>2.2000000000000002</v>
      </c>
      <c r="S676" s="53">
        <v>0.39999997999999998</v>
      </c>
      <c r="T676" s="52">
        <v>12.000000999999999</v>
      </c>
      <c r="U676" s="54">
        <v>1</v>
      </c>
    </row>
    <row r="677" spans="1:21" s="3" customFormat="1" ht="18" customHeight="1">
      <c r="A677" s="8" t="s">
        <v>755</v>
      </c>
      <c r="B677" s="52">
        <v>228</v>
      </c>
      <c r="C677" s="52">
        <v>9.1199998999999998</v>
      </c>
      <c r="D677" s="52">
        <v>82.080001999999993</v>
      </c>
      <c r="E677" s="52">
        <v>136.80000000000001</v>
      </c>
      <c r="F677" s="52">
        <v>0</v>
      </c>
      <c r="G677" s="52">
        <v>0</v>
      </c>
      <c r="H677" s="52">
        <v>0</v>
      </c>
      <c r="I677" s="52">
        <v>0</v>
      </c>
      <c r="J677" s="52">
        <v>0</v>
      </c>
      <c r="K677" s="52">
        <v>0</v>
      </c>
      <c r="L677" s="52">
        <v>0</v>
      </c>
      <c r="M677" s="52">
        <v>0</v>
      </c>
      <c r="N677" s="52">
        <v>0</v>
      </c>
      <c r="O677" s="52">
        <v>0</v>
      </c>
      <c r="P677" s="52">
        <v>0</v>
      </c>
      <c r="Q677" s="53">
        <v>0.23999999</v>
      </c>
      <c r="R677" s="52">
        <v>1.6</v>
      </c>
      <c r="S677" s="53">
        <v>0.38</v>
      </c>
      <c r="T677" s="52">
        <v>1.0833333999999999</v>
      </c>
      <c r="U677" s="54">
        <v>0</v>
      </c>
    </row>
    <row r="678" spans="1:21" s="3" customFormat="1" ht="18" customHeight="1">
      <c r="A678" s="8" t="s">
        <v>756</v>
      </c>
      <c r="B678" s="52">
        <v>198</v>
      </c>
      <c r="C678" s="52">
        <v>9.9000006000000003</v>
      </c>
      <c r="D678" s="52">
        <v>9.9000006000000003</v>
      </c>
      <c r="E678" s="52">
        <v>178.2</v>
      </c>
      <c r="F678" s="52">
        <v>0</v>
      </c>
      <c r="G678" s="52">
        <v>0</v>
      </c>
      <c r="H678" s="52">
        <v>0</v>
      </c>
      <c r="I678" s="52">
        <v>0</v>
      </c>
      <c r="J678" s="52">
        <v>0</v>
      </c>
      <c r="K678" s="52">
        <v>0</v>
      </c>
      <c r="L678" s="52">
        <v>0</v>
      </c>
      <c r="M678" s="52">
        <v>0</v>
      </c>
      <c r="N678" s="52">
        <v>0</v>
      </c>
      <c r="O678" s="52">
        <v>0</v>
      </c>
      <c r="P678" s="52">
        <v>0</v>
      </c>
      <c r="Q678" s="53">
        <v>0.28000000000000003</v>
      </c>
      <c r="R678" s="52">
        <v>2.2000000000000002</v>
      </c>
      <c r="S678" s="53">
        <v>0.27999996999999999</v>
      </c>
      <c r="T678" s="52">
        <v>1.0833333999999999</v>
      </c>
      <c r="U678" s="54">
        <v>0</v>
      </c>
    </row>
    <row r="679" spans="1:21" s="3" customFormat="1" ht="18" customHeight="1">
      <c r="A679" s="8" t="s">
        <v>757</v>
      </c>
      <c r="B679" s="52">
        <v>70</v>
      </c>
      <c r="C679" s="52">
        <v>0</v>
      </c>
      <c r="D679" s="52">
        <v>40</v>
      </c>
      <c r="E679" s="52">
        <v>0</v>
      </c>
      <c r="F679" s="52">
        <v>30</v>
      </c>
      <c r="G679" s="52">
        <v>0</v>
      </c>
      <c r="H679" s="52">
        <v>0</v>
      </c>
      <c r="I679" s="52">
        <v>0</v>
      </c>
      <c r="J679" s="52">
        <v>0</v>
      </c>
      <c r="K679" s="52">
        <v>0</v>
      </c>
      <c r="L679" s="52">
        <v>0</v>
      </c>
      <c r="M679" s="52">
        <v>0</v>
      </c>
      <c r="N679" s="52">
        <v>0</v>
      </c>
      <c r="O679" s="52">
        <v>0</v>
      </c>
      <c r="P679" s="52">
        <v>0</v>
      </c>
      <c r="Q679" s="53">
        <v>0.44</v>
      </c>
      <c r="R679" s="52">
        <v>3</v>
      </c>
      <c r="S679" s="53">
        <v>0.12</v>
      </c>
      <c r="T679" s="52">
        <v>3.3333335000000002</v>
      </c>
      <c r="U679" s="54">
        <v>1</v>
      </c>
    </row>
    <row r="680" spans="1:21" s="3" customFormat="1" ht="18" customHeight="1">
      <c r="A680" s="8" t="s">
        <v>758</v>
      </c>
      <c r="B680" s="52">
        <v>200</v>
      </c>
      <c r="C680" s="52">
        <v>40</v>
      </c>
      <c r="D680" s="52">
        <v>20</v>
      </c>
      <c r="E680" s="52">
        <v>0</v>
      </c>
      <c r="F680" s="52">
        <v>140</v>
      </c>
      <c r="G680" s="52">
        <v>0</v>
      </c>
      <c r="H680" s="52">
        <v>0</v>
      </c>
      <c r="I680" s="52">
        <v>0</v>
      </c>
      <c r="J680" s="52">
        <v>0</v>
      </c>
      <c r="K680" s="52">
        <v>0</v>
      </c>
      <c r="L680" s="52">
        <v>0</v>
      </c>
      <c r="M680" s="52">
        <v>0</v>
      </c>
      <c r="N680" s="52">
        <v>0</v>
      </c>
      <c r="O680" s="52">
        <v>0</v>
      </c>
      <c r="P680" s="52">
        <v>0</v>
      </c>
      <c r="Q680" s="53">
        <v>0.25999999000000001</v>
      </c>
      <c r="R680" s="52">
        <v>2.4000001000000002</v>
      </c>
      <c r="S680" s="53">
        <v>0.39999997999999998</v>
      </c>
      <c r="T680" s="52">
        <v>2.3333335000000002</v>
      </c>
      <c r="U680" s="54">
        <v>1</v>
      </c>
    </row>
    <row r="681" spans="1:21" s="3" customFormat="1" ht="18" customHeight="1">
      <c r="A681" s="8" t="s">
        <v>759</v>
      </c>
      <c r="B681" s="52">
        <v>60</v>
      </c>
      <c r="C681" s="52">
        <v>13.2</v>
      </c>
      <c r="D681" s="52">
        <v>33.599997999999999</v>
      </c>
      <c r="E681" s="52">
        <v>13.200002</v>
      </c>
      <c r="F681" s="52">
        <v>0</v>
      </c>
      <c r="G681" s="52">
        <v>0</v>
      </c>
      <c r="H681" s="52">
        <v>0</v>
      </c>
      <c r="I681" s="52">
        <v>0</v>
      </c>
      <c r="J681" s="52">
        <v>0</v>
      </c>
      <c r="K681" s="52">
        <v>0</v>
      </c>
      <c r="L681" s="52">
        <v>0</v>
      </c>
      <c r="M681" s="52">
        <v>0</v>
      </c>
      <c r="N681" s="52">
        <v>0</v>
      </c>
      <c r="O681" s="52">
        <v>0</v>
      </c>
      <c r="P681" s="52">
        <v>0</v>
      </c>
      <c r="Q681" s="53">
        <v>0.28000000000000003</v>
      </c>
      <c r="R681" s="52">
        <v>2.2000000000000002</v>
      </c>
      <c r="S681" s="53">
        <v>0.30000000999999998</v>
      </c>
      <c r="T681" s="52">
        <v>5.0000004999999996</v>
      </c>
      <c r="U681" s="54">
        <v>1</v>
      </c>
    </row>
    <row r="682" spans="1:21" s="3" customFormat="1" ht="18" customHeight="1">
      <c r="A682" s="8" t="s">
        <v>760</v>
      </c>
      <c r="B682" s="52">
        <v>24</v>
      </c>
      <c r="C682" s="52">
        <v>7.2000003000000001</v>
      </c>
      <c r="D682" s="52">
        <v>9.6000004000000008</v>
      </c>
      <c r="E682" s="52">
        <v>7.1999988999999998</v>
      </c>
      <c r="F682" s="52">
        <v>0</v>
      </c>
      <c r="G682" s="52">
        <v>0</v>
      </c>
      <c r="H682" s="52">
        <v>0</v>
      </c>
      <c r="I682" s="52">
        <v>0</v>
      </c>
      <c r="J682" s="52">
        <v>0</v>
      </c>
      <c r="K682" s="52">
        <v>0</v>
      </c>
      <c r="L682" s="52">
        <v>0</v>
      </c>
      <c r="M682" s="52">
        <v>0</v>
      </c>
      <c r="N682" s="52">
        <v>0</v>
      </c>
      <c r="O682" s="52">
        <v>0</v>
      </c>
      <c r="P682" s="52">
        <v>0</v>
      </c>
      <c r="Q682" s="53">
        <v>0.28000000000000003</v>
      </c>
      <c r="R682" s="52">
        <v>2</v>
      </c>
      <c r="S682" s="53">
        <v>0.15999996999999999</v>
      </c>
      <c r="T682" s="52">
        <v>11.666667</v>
      </c>
      <c r="U682" s="54">
        <v>1</v>
      </c>
    </row>
    <row r="683" spans="1:21" s="3" customFormat="1" ht="18" customHeight="1">
      <c r="A683" s="8" t="s">
        <v>761</v>
      </c>
      <c r="B683" s="52">
        <v>28</v>
      </c>
      <c r="C683" s="52">
        <v>8.4000006000000003</v>
      </c>
      <c r="D683" s="52">
        <v>11.2</v>
      </c>
      <c r="E683" s="52">
        <v>8.3999986999999994</v>
      </c>
      <c r="F683" s="52">
        <v>0</v>
      </c>
      <c r="G683" s="52">
        <v>0</v>
      </c>
      <c r="H683" s="52">
        <v>0</v>
      </c>
      <c r="I683" s="52">
        <v>0</v>
      </c>
      <c r="J683" s="52">
        <v>0</v>
      </c>
      <c r="K683" s="52">
        <v>0</v>
      </c>
      <c r="L683" s="52">
        <v>0</v>
      </c>
      <c r="M683" s="52">
        <v>0</v>
      </c>
      <c r="N683" s="52">
        <v>0</v>
      </c>
      <c r="O683" s="52">
        <v>0</v>
      </c>
      <c r="P683" s="52">
        <v>0</v>
      </c>
      <c r="Q683" s="53">
        <v>0.30000000999999998</v>
      </c>
      <c r="R683" s="52">
        <v>2.2000000000000002</v>
      </c>
      <c r="S683" s="53">
        <v>0.24000001000000001</v>
      </c>
      <c r="T683" s="52">
        <v>12.666667</v>
      </c>
      <c r="U683" s="54">
        <v>1</v>
      </c>
    </row>
    <row r="684" spans="1:21" s="3" customFormat="1" ht="18" customHeight="1">
      <c r="A684" s="8" t="s">
        <v>762</v>
      </c>
      <c r="B684" s="52">
        <v>0</v>
      </c>
      <c r="C684" s="52">
        <v>0</v>
      </c>
      <c r="D684" s="52">
        <v>0</v>
      </c>
      <c r="E684" s="52">
        <v>0</v>
      </c>
      <c r="F684" s="52">
        <v>0</v>
      </c>
      <c r="G684" s="52">
        <v>0</v>
      </c>
      <c r="H684" s="52">
        <v>0</v>
      </c>
      <c r="I684" s="52">
        <v>0</v>
      </c>
      <c r="J684" s="52">
        <v>0</v>
      </c>
      <c r="K684" s="52">
        <v>0</v>
      </c>
      <c r="L684" s="52">
        <v>0</v>
      </c>
      <c r="M684" s="52">
        <v>0</v>
      </c>
      <c r="N684" s="52">
        <v>0</v>
      </c>
      <c r="O684" s="52">
        <v>0</v>
      </c>
      <c r="P684" s="52">
        <v>0</v>
      </c>
      <c r="Q684" s="53">
        <v>0</v>
      </c>
      <c r="R684" s="52">
        <v>0</v>
      </c>
      <c r="S684" s="53">
        <v>0</v>
      </c>
      <c r="T684" s="52">
        <v>0</v>
      </c>
      <c r="U684" s="54">
        <v>0</v>
      </c>
    </row>
    <row r="685" spans="1:21" s="3" customFormat="1" ht="18" customHeight="1">
      <c r="A685" s="8" t="s">
        <v>763</v>
      </c>
      <c r="B685" s="52">
        <v>32</v>
      </c>
      <c r="C685" s="52">
        <v>6.4000000999999997</v>
      </c>
      <c r="D685" s="52">
        <v>25.6</v>
      </c>
      <c r="E685" s="52">
        <v>0</v>
      </c>
      <c r="F685" s="52">
        <v>0</v>
      </c>
      <c r="G685" s="52">
        <v>0</v>
      </c>
      <c r="H685" s="52">
        <v>0</v>
      </c>
      <c r="I685" s="52">
        <v>0</v>
      </c>
      <c r="J685" s="52">
        <v>0</v>
      </c>
      <c r="K685" s="52">
        <v>0</v>
      </c>
      <c r="L685" s="52">
        <v>0</v>
      </c>
      <c r="M685" s="52">
        <v>0</v>
      </c>
      <c r="N685" s="52">
        <v>0</v>
      </c>
      <c r="O685" s="52">
        <v>0</v>
      </c>
      <c r="P685" s="52">
        <v>0</v>
      </c>
      <c r="Q685" s="53">
        <v>3.9999999000000001E-2</v>
      </c>
      <c r="R685" s="52">
        <v>1.5</v>
      </c>
      <c r="S685" s="53">
        <v>0.19999998999999999</v>
      </c>
      <c r="T685" s="52">
        <v>6.6666670000000003</v>
      </c>
      <c r="U685" s="54">
        <v>1</v>
      </c>
    </row>
    <row r="686" spans="1:21" s="3" customFormat="1" ht="18" customHeight="1">
      <c r="A686" s="8" t="s">
        <v>764</v>
      </c>
      <c r="B686" s="52">
        <v>0</v>
      </c>
      <c r="C686" s="52">
        <v>0</v>
      </c>
      <c r="D686" s="52">
        <v>0</v>
      </c>
      <c r="E686" s="52">
        <v>0</v>
      </c>
      <c r="F686" s="52">
        <v>0</v>
      </c>
      <c r="G686" s="52">
        <v>0</v>
      </c>
      <c r="H686" s="52">
        <v>0</v>
      </c>
      <c r="I686" s="52">
        <v>0</v>
      </c>
      <c r="J686" s="52">
        <v>0</v>
      </c>
      <c r="K686" s="52">
        <v>0</v>
      </c>
      <c r="L686" s="52">
        <v>0</v>
      </c>
      <c r="M686" s="52">
        <v>0</v>
      </c>
      <c r="N686" s="52">
        <v>0</v>
      </c>
      <c r="O686" s="52">
        <v>0</v>
      </c>
      <c r="P686" s="52">
        <v>0</v>
      </c>
      <c r="Q686" s="53">
        <v>0</v>
      </c>
      <c r="R686" s="52">
        <v>0</v>
      </c>
      <c r="S686" s="53">
        <v>0</v>
      </c>
      <c r="T686" s="52">
        <v>0</v>
      </c>
      <c r="U686" s="54">
        <v>0</v>
      </c>
    </row>
    <row r="687" spans="1:21" s="3" customFormat="1" ht="18" customHeight="1">
      <c r="A687" s="8" t="s">
        <v>765</v>
      </c>
      <c r="B687" s="52">
        <v>0</v>
      </c>
      <c r="C687" s="52">
        <v>0</v>
      </c>
      <c r="D687" s="52">
        <v>0</v>
      </c>
      <c r="E687" s="52">
        <v>0</v>
      </c>
      <c r="F687" s="52">
        <v>0</v>
      </c>
      <c r="G687" s="52">
        <v>0</v>
      </c>
      <c r="H687" s="52">
        <v>0</v>
      </c>
      <c r="I687" s="52">
        <v>0</v>
      </c>
      <c r="J687" s="52">
        <v>0</v>
      </c>
      <c r="K687" s="52">
        <v>0</v>
      </c>
      <c r="L687" s="52">
        <v>0</v>
      </c>
      <c r="M687" s="52">
        <v>0</v>
      </c>
      <c r="N687" s="52">
        <v>0</v>
      </c>
      <c r="O687" s="52">
        <v>0</v>
      </c>
      <c r="P687" s="52">
        <v>0</v>
      </c>
      <c r="Q687" s="53">
        <v>0</v>
      </c>
      <c r="R687" s="52">
        <v>0</v>
      </c>
      <c r="S687" s="53">
        <v>0</v>
      </c>
      <c r="T687" s="52">
        <v>0</v>
      </c>
      <c r="U687" s="54">
        <v>0</v>
      </c>
    </row>
    <row r="688" spans="1:21" s="3" customFormat="1" ht="18" customHeight="1">
      <c r="A688" s="8" t="s">
        <v>766</v>
      </c>
      <c r="B688" s="52">
        <v>0</v>
      </c>
      <c r="C688" s="52">
        <v>0</v>
      </c>
      <c r="D688" s="52">
        <v>0</v>
      </c>
      <c r="E688" s="52">
        <v>0</v>
      </c>
      <c r="F688" s="52">
        <v>0</v>
      </c>
      <c r="G688" s="52">
        <v>0</v>
      </c>
      <c r="H688" s="52">
        <v>0</v>
      </c>
      <c r="I688" s="52">
        <v>0</v>
      </c>
      <c r="J688" s="52">
        <v>0</v>
      </c>
      <c r="K688" s="52">
        <v>0</v>
      </c>
      <c r="L688" s="52">
        <v>0</v>
      </c>
      <c r="M688" s="52">
        <v>0</v>
      </c>
      <c r="N688" s="52">
        <v>0</v>
      </c>
      <c r="O688" s="52">
        <v>0</v>
      </c>
      <c r="P688" s="52">
        <v>0</v>
      </c>
      <c r="Q688" s="53">
        <v>0</v>
      </c>
      <c r="R688" s="52">
        <v>0</v>
      </c>
      <c r="S688" s="53">
        <v>0</v>
      </c>
      <c r="T688" s="52">
        <v>0</v>
      </c>
      <c r="U688" s="54">
        <v>0</v>
      </c>
    </row>
    <row r="689" spans="1:21" s="3" customFormat="1" ht="18" customHeight="1">
      <c r="A689" s="8" t="s">
        <v>767</v>
      </c>
      <c r="B689" s="52">
        <v>0</v>
      </c>
      <c r="C689" s="52">
        <v>0</v>
      </c>
      <c r="D689" s="52">
        <v>0</v>
      </c>
      <c r="E689" s="52">
        <v>0</v>
      </c>
      <c r="F689" s="52">
        <v>0</v>
      </c>
      <c r="G689" s="52">
        <v>0</v>
      </c>
      <c r="H689" s="52">
        <v>0</v>
      </c>
      <c r="I689" s="52">
        <v>0</v>
      </c>
      <c r="J689" s="52">
        <v>0</v>
      </c>
      <c r="K689" s="52">
        <v>0</v>
      </c>
      <c r="L689" s="52">
        <v>0</v>
      </c>
      <c r="M689" s="52">
        <v>0</v>
      </c>
      <c r="N689" s="52">
        <v>0</v>
      </c>
      <c r="O689" s="52">
        <v>0</v>
      </c>
      <c r="P689" s="52">
        <v>0</v>
      </c>
      <c r="Q689" s="53">
        <v>0</v>
      </c>
      <c r="R689" s="52">
        <v>0</v>
      </c>
      <c r="S689" s="53">
        <v>0</v>
      </c>
      <c r="T689" s="52">
        <v>0</v>
      </c>
      <c r="U689" s="54">
        <v>0</v>
      </c>
    </row>
    <row r="690" spans="1:21" s="3" customFormat="1" ht="18" customHeight="1">
      <c r="A690" s="8" t="s">
        <v>768</v>
      </c>
      <c r="B690" s="52">
        <v>44</v>
      </c>
      <c r="C690" s="52">
        <v>11</v>
      </c>
      <c r="D690" s="52">
        <v>22</v>
      </c>
      <c r="E690" s="52">
        <v>11</v>
      </c>
      <c r="F690" s="52">
        <v>0</v>
      </c>
      <c r="G690" s="52">
        <v>0</v>
      </c>
      <c r="H690" s="52">
        <v>0</v>
      </c>
      <c r="I690" s="52">
        <v>0</v>
      </c>
      <c r="J690" s="52">
        <v>0</v>
      </c>
      <c r="K690" s="52">
        <v>0</v>
      </c>
      <c r="L690" s="52">
        <v>0</v>
      </c>
      <c r="M690" s="52">
        <v>0</v>
      </c>
      <c r="N690" s="52">
        <v>0</v>
      </c>
      <c r="O690" s="52">
        <v>0</v>
      </c>
      <c r="P690" s="52">
        <v>0</v>
      </c>
      <c r="Q690" s="53">
        <v>0.25999999000000001</v>
      </c>
      <c r="R690" s="52">
        <v>2.4000001000000002</v>
      </c>
      <c r="S690" s="53">
        <v>0.15999996999999999</v>
      </c>
      <c r="T690" s="52">
        <v>9.0909099999999992</v>
      </c>
      <c r="U690" s="54">
        <v>1</v>
      </c>
    </row>
    <row r="691" spans="1:21" s="3" customFormat="1" ht="18" customHeight="1">
      <c r="A691" s="8" t="s">
        <v>769</v>
      </c>
      <c r="B691" s="52">
        <v>48</v>
      </c>
      <c r="C691" s="52">
        <v>14.400001</v>
      </c>
      <c r="D691" s="52">
        <v>19.200001</v>
      </c>
      <c r="E691" s="52">
        <v>14.399998</v>
      </c>
      <c r="F691" s="52">
        <v>0</v>
      </c>
      <c r="G691" s="52">
        <v>0</v>
      </c>
      <c r="H691" s="52">
        <v>0</v>
      </c>
      <c r="I691" s="52">
        <v>0</v>
      </c>
      <c r="J691" s="52">
        <v>0</v>
      </c>
      <c r="K691" s="52">
        <v>0</v>
      </c>
      <c r="L691" s="52">
        <v>0</v>
      </c>
      <c r="M691" s="52">
        <v>0</v>
      </c>
      <c r="N691" s="52">
        <v>0</v>
      </c>
      <c r="O691" s="52">
        <v>0</v>
      </c>
      <c r="P691" s="52">
        <v>0</v>
      </c>
      <c r="Q691" s="53">
        <v>0.28000000000000003</v>
      </c>
      <c r="R691" s="52">
        <v>3</v>
      </c>
      <c r="S691" s="53">
        <v>0.19999998999999999</v>
      </c>
      <c r="T691" s="52">
        <v>6.8181820000000002</v>
      </c>
      <c r="U691" s="54">
        <v>1</v>
      </c>
    </row>
    <row r="692" spans="1:21" s="3" customFormat="1" ht="18" customHeight="1">
      <c r="A692" s="8" t="s">
        <v>770</v>
      </c>
      <c r="B692" s="52">
        <v>210</v>
      </c>
      <c r="C692" s="52">
        <v>21</v>
      </c>
      <c r="D692" s="52">
        <v>21</v>
      </c>
      <c r="E692" s="52">
        <v>168</v>
      </c>
      <c r="F692" s="52">
        <v>0</v>
      </c>
      <c r="G692" s="52">
        <v>0</v>
      </c>
      <c r="H692" s="52">
        <v>0</v>
      </c>
      <c r="I692" s="52">
        <v>0</v>
      </c>
      <c r="J692" s="52">
        <v>0</v>
      </c>
      <c r="K692" s="52">
        <v>0</v>
      </c>
      <c r="L692" s="52">
        <v>0</v>
      </c>
      <c r="M692" s="52">
        <v>0</v>
      </c>
      <c r="N692" s="52">
        <v>0</v>
      </c>
      <c r="O692" s="52">
        <v>0</v>
      </c>
      <c r="P692" s="52">
        <v>0</v>
      </c>
      <c r="Q692" s="53">
        <v>0.1</v>
      </c>
      <c r="R692" s="52">
        <v>2</v>
      </c>
      <c r="S692" s="53">
        <v>0.16799997999999999</v>
      </c>
      <c r="T692" s="52">
        <v>2</v>
      </c>
      <c r="U692" s="54">
        <v>5</v>
      </c>
    </row>
    <row r="693" spans="1:21" s="3" customFormat="1" ht="18" customHeight="1">
      <c r="A693" s="8" t="s">
        <v>771</v>
      </c>
      <c r="B693" s="52">
        <v>195</v>
      </c>
      <c r="C693" s="52">
        <v>19.5</v>
      </c>
      <c r="D693" s="52">
        <v>19.5</v>
      </c>
      <c r="E693" s="52">
        <v>156</v>
      </c>
      <c r="F693" s="52">
        <v>0</v>
      </c>
      <c r="G693" s="52">
        <v>0</v>
      </c>
      <c r="H693" s="52">
        <v>0</v>
      </c>
      <c r="I693" s="52">
        <v>0</v>
      </c>
      <c r="J693" s="52">
        <v>0</v>
      </c>
      <c r="K693" s="52">
        <v>0</v>
      </c>
      <c r="L693" s="52">
        <v>0</v>
      </c>
      <c r="M693" s="52">
        <v>0</v>
      </c>
      <c r="N693" s="52">
        <v>0</v>
      </c>
      <c r="O693" s="52">
        <v>0</v>
      </c>
      <c r="P693" s="52">
        <v>0</v>
      </c>
      <c r="Q693" s="53">
        <v>0.1</v>
      </c>
      <c r="R693" s="52">
        <v>2</v>
      </c>
      <c r="S693" s="53">
        <v>0.11250001</v>
      </c>
      <c r="T693" s="52">
        <v>2</v>
      </c>
      <c r="U693" s="54">
        <v>8</v>
      </c>
    </row>
    <row r="694" spans="1:21" s="3" customFormat="1" ht="18" customHeight="1">
      <c r="A694" s="8" t="s">
        <v>772</v>
      </c>
      <c r="B694" s="52">
        <v>124.00001</v>
      </c>
      <c r="C694" s="52">
        <v>12.400001</v>
      </c>
      <c r="D694" s="52">
        <v>12.400001</v>
      </c>
      <c r="E694" s="52">
        <v>99.200005000000004</v>
      </c>
      <c r="F694" s="52">
        <v>0</v>
      </c>
      <c r="G694" s="52">
        <v>0</v>
      </c>
      <c r="H694" s="52">
        <v>0</v>
      </c>
      <c r="I694" s="52">
        <v>0</v>
      </c>
      <c r="J694" s="52">
        <v>0</v>
      </c>
      <c r="K694" s="52">
        <v>0</v>
      </c>
      <c r="L694" s="52">
        <v>0</v>
      </c>
      <c r="M694" s="52">
        <v>0</v>
      </c>
      <c r="N694" s="52">
        <v>0</v>
      </c>
      <c r="O694" s="52">
        <v>0</v>
      </c>
      <c r="P694" s="52">
        <v>0</v>
      </c>
      <c r="Q694" s="53">
        <v>0.2</v>
      </c>
      <c r="R694" s="52">
        <v>2</v>
      </c>
      <c r="S694" s="53">
        <v>0.19999998999999999</v>
      </c>
      <c r="T694" s="52">
        <v>1.3333333999999999</v>
      </c>
      <c r="U694" s="54">
        <v>0</v>
      </c>
    </row>
    <row r="695" spans="1:21" s="3" customFormat="1" ht="18" customHeight="1">
      <c r="A695" s="8" t="s">
        <v>773</v>
      </c>
      <c r="B695" s="52">
        <v>170</v>
      </c>
      <c r="C695" s="52">
        <v>17</v>
      </c>
      <c r="D695" s="52">
        <v>17</v>
      </c>
      <c r="E695" s="52">
        <v>136</v>
      </c>
      <c r="F695" s="52">
        <v>0</v>
      </c>
      <c r="G695" s="52">
        <v>0</v>
      </c>
      <c r="H695" s="52">
        <v>0</v>
      </c>
      <c r="I695" s="52">
        <v>0</v>
      </c>
      <c r="J695" s="52">
        <v>0</v>
      </c>
      <c r="K695" s="52">
        <v>0</v>
      </c>
      <c r="L695" s="52">
        <v>0</v>
      </c>
      <c r="M695" s="52">
        <v>0</v>
      </c>
      <c r="N695" s="52">
        <v>0</v>
      </c>
      <c r="O695" s="52">
        <v>0</v>
      </c>
      <c r="P695" s="52">
        <v>0</v>
      </c>
      <c r="Q695" s="53">
        <v>0.23999999</v>
      </c>
      <c r="R695" s="52">
        <v>2.4000001000000002</v>
      </c>
      <c r="S695" s="53">
        <v>0.24000001000000001</v>
      </c>
      <c r="T695" s="52">
        <v>1.1666666999999999</v>
      </c>
      <c r="U695" s="54">
        <v>0</v>
      </c>
    </row>
    <row r="696" spans="1:21" s="3" customFormat="1" ht="18" customHeight="1">
      <c r="A696" s="8" t="s">
        <v>774</v>
      </c>
      <c r="B696" s="52">
        <v>0</v>
      </c>
      <c r="C696" s="52">
        <v>0</v>
      </c>
      <c r="D696" s="52">
        <v>0</v>
      </c>
      <c r="E696" s="52">
        <v>0</v>
      </c>
      <c r="F696" s="52">
        <v>0</v>
      </c>
      <c r="G696" s="52">
        <v>0</v>
      </c>
      <c r="H696" s="52">
        <v>0</v>
      </c>
      <c r="I696" s="52">
        <v>0</v>
      </c>
      <c r="J696" s="52">
        <v>0</v>
      </c>
      <c r="K696" s="52">
        <v>0</v>
      </c>
      <c r="L696" s="52">
        <v>0</v>
      </c>
      <c r="M696" s="52">
        <v>0</v>
      </c>
      <c r="N696" s="52">
        <v>0</v>
      </c>
      <c r="O696" s="52">
        <v>0</v>
      </c>
      <c r="P696" s="52">
        <v>0</v>
      </c>
      <c r="Q696" s="53">
        <v>0</v>
      </c>
      <c r="R696" s="52">
        <v>0</v>
      </c>
      <c r="S696" s="53">
        <v>0</v>
      </c>
      <c r="T696" s="52">
        <v>0</v>
      </c>
      <c r="U696" s="54">
        <v>0</v>
      </c>
    </row>
    <row r="697" spans="1:21" s="3" customFormat="1" ht="18" customHeight="1">
      <c r="A697" s="8" t="s">
        <v>775</v>
      </c>
      <c r="B697" s="52">
        <v>184</v>
      </c>
      <c r="C697" s="52">
        <v>18.399999999999999</v>
      </c>
      <c r="D697" s="52">
        <v>27.6</v>
      </c>
      <c r="E697" s="52">
        <v>138</v>
      </c>
      <c r="F697" s="52">
        <v>0</v>
      </c>
      <c r="G697" s="52">
        <v>0</v>
      </c>
      <c r="H697" s="52">
        <v>0</v>
      </c>
      <c r="I697" s="52">
        <v>0</v>
      </c>
      <c r="J697" s="52">
        <v>0</v>
      </c>
      <c r="K697" s="52">
        <v>0</v>
      </c>
      <c r="L697" s="52">
        <v>0</v>
      </c>
      <c r="M697" s="52">
        <v>0</v>
      </c>
      <c r="N697" s="52">
        <v>0</v>
      </c>
      <c r="O697" s="52">
        <v>0</v>
      </c>
      <c r="P697" s="52">
        <v>0</v>
      </c>
      <c r="Q697" s="53">
        <v>5.0000001000000002E-2</v>
      </c>
      <c r="R697" s="52">
        <v>2</v>
      </c>
      <c r="S697" s="53">
        <v>0.25</v>
      </c>
      <c r="T697" s="52">
        <v>1</v>
      </c>
      <c r="U697" s="54">
        <v>0</v>
      </c>
    </row>
    <row r="698" spans="1:21" s="3" customFormat="1" ht="18" customHeight="1">
      <c r="A698" s="8" t="s">
        <v>776</v>
      </c>
      <c r="B698" s="52">
        <v>725</v>
      </c>
      <c r="C698" s="52">
        <v>0</v>
      </c>
      <c r="D698" s="52">
        <v>75</v>
      </c>
      <c r="E698" s="52">
        <v>0</v>
      </c>
      <c r="F698" s="52">
        <v>0</v>
      </c>
      <c r="G698" s="52">
        <v>0</v>
      </c>
      <c r="H698" s="52">
        <v>0</v>
      </c>
      <c r="I698" s="52">
        <v>0</v>
      </c>
      <c r="J698" s="52">
        <v>650</v>
      </c>
      <c r="K698" s="52">
        <v>0</v>
      </c>
      <c r="L698" s="52">
        <v>0</v>
      </c>
      <c r="M698" s="52">
        <v>0</v>
      </c>
      <c r="N698" s="52">
        <v>0</v>
      </c>
      <c r="O698" s="52">
        <v>0</v>
      </c>
      <c r="P698" s="52">
        <v>0</v>
      </c>
      <c r="Q698" s="53">
        <v>0.25</v>
      </c>
      <c r="R698" s="52">
        <v>2.5</v>
      </c>
      <c r="S698" s="53">
        <v>0.10000002</v>
      </c>
      <c r="T698" s="52">
        <v>3.1666666999999999</v>
      </c>
      <c r="U698" s="54">
        <v>1</v>
      </c>
    </row>
    <row r="699" spans="1:21" s="3" customFormat="1" ht="18" customHeight="1">
      <c r="A699" s="8" t="s">
        <v>777</v>
      </c>
      <c r="B699" s="52">
        <v>140</v>
      </c>
      <c r="C699" s="52">
        <v>0</v>
      </c>
      <c r="D699" s="52">
        <v>0</v>
      </c>
      <c r="E699" s="52">
        <v>0</v>
      </c>
      <c r="F699" s="52">
        <v>0</v>
      </c>
      <c r="G699" s="52">
        <v>0</v>
      </c>
      <c r="H699" s="52">
        <v>0</v>
      </c>
      <c r="I699" s="52">
        <v>140</v>
      </c>
      <c r="J699" s="52">
        <v>0</v>
      </c>
      <c r="K699" s="52">
        <v>0</v>
      </c>
      <c r="L699" s="52">
        <v>0</v>
      </c>
      <c r="M699" s="52">
        <v>0</v>
      </c>
      <c r="N699" s="52">
        <v>0</v>
      </c>
      <c r="O699" s="52">
        <v>0</v>
      </c>
      <c r="P699" s="52">
        <v>0</v>
      </c>
      <c r="Q699" s="53">
        <v>0.15000000999999999</v>
      </c>
      <c r="R699" s="52">
        <v>2</v>
      </c>
      <c r="S699" s="53">
        <v>0.23000002</v>
      </c>
      <c r="T699" s="52">
        <v>1.5000001000000001</v>
      </c>
      <c r="U699" s="54">
        <v>1</v>
      </c>
    </row>
    <row r="700" spans="1:21" s="3" customFormat="1" ht="18" customHeight="1">
      <c r="A700" s="8" t="s">
        <v>778</v>
      </c>
      <c r="B700" s="52">
        <v>0</v>
      </c>
      <c r="C700" s="52">
        <v>0</v>
      </c>
      <c r="D700" s="52">
        <v>0</v>
      </c>
      <c r="E700" s="52">
        <v>0</v>
      </c>
      <c r="F700" s="52">
        <v>0</v>
      </c>
      <c r="G700" s="52">
        <v>0</v>
      </c>
      <c r="H700" s="52">
        <v>0</v>
      </c>
      <c r="I700" s="52">
        <v>0</v>
      </c>
      <c r="J700" s="52">
        <v>0</v>
      </c>
      <c r="K700" s="52">
        <v>0</v>
      </c>
      <c r="L700" s="52">
        <v>0</v>
      </c>
      <c r="M700" s="52">
        <v>0</v>
      </c>
      <c r="N700" s="52">
        <v>0</v>
      </c>
      <c r="O700" s="52">
        <v>0</v>
      </c>
      <c r="P700" s="52">
        <v>0</v>
      </c>
      <c r="Q700" s="53">
        <v>0</v>
      </c>
      <c r="R700" s="52">
        <v>0</v>
      </c>
      <c r="S700" s="53">
        <v>0</v>
      </c>
      <c r="T700" s="52">
        <v>0</v>
      </c>
      <c r="U700" s="54">
        <v>0</v>
      </c>
    </row>
    <row r="701" spans="1:21" s="3" customFormat="1" ht="18" customHeight="1">
      <c r="A701" s="8" t="s">
        <v>779</v>
      </c>
      <c r="B701" s="52">
        <v>82</v>
      </c>
      <c r="C701" s="52">
        <v>29</v>
      </c>
      <c r="D701" s="52">
        <v>0</v>
      </c>
      <c r="E701" s="52">
        <v>0</v>
      </c>
      <c r="F701" s="52">
        <v>53</v>
      </c>
      <c r="G701" s="52">
        <v>0</v>
      </c>
      <c r="H701" s="52">
        <v>0</v>
      </c>
      <c r="I701" s="52">
        <v>0</v>
      </c>
      <c r="J701" s="52">
        <v>0</v>
      </c>
      <c r="K701" s="52">
        <v>0</v>
      </c>
      <c r="L701" s="52">
        <v>0</v>
      </c>
      <c r="M701" s="52">
        <v>0</v>
      </c>
      <c r="N701" s="52">
        <v>0</v>
      </c>
      <c r="O701" s="52">
        <v>0</v>
      </c>
      <c r="P701" s="52">
        <v>0</v>
      </c>
      <c r="Q701" s="53">
        <v>0.23999999</v>
      </c>
      <c r="R701" s="52">
        <v>2.2000000000000002</v>
      </c>
      <c r="S701" s="53">
        <v>0.30000000999999998</v>
      </c>
      <c r="T701" s="52">
        <v>4.6666670000000003</v>
      </c>
      <c r="U701" s="54">
        <v>1</v>
      </c>
    </row>
    <row r="702" spans="1:21" s="3" customFormat="1" ht="18" customHeight="1">
      <c r="A702" s="8" t="s">
        <v>780</v>
      </c>
      <c r="B702" s="52">
        <v>0</v>
      </c>
      <c r="C702" s="52">
        <v>0</v>
      </c>
      <c r="D702" s="52">
        <v>0</v>
      </c>
      <c r="E702" s="52">
        <v>0</v>
      </c>
      <c r="F702" s="52">
        <v>0</v>
      </c>
      <c r="G702" s="52">
        <v>0</v>
      </c>
      <c r="H702" s="52">
        <v>0</v>
      </c>
      <c r="I702" s="52">
        <v>0</v>
      </c>
      <c r="J702" s="52">
        <v>0</v>
      </c>
      <c r="K702" s="52">
        <v>0</v>
      </c>
      <c r="L702" s="52">
        <v>0</v>
      </c>
      <c r="M702" s="52">
        <v>0</v>
      </c>
      <c r="N702" s="52">
        <v>0</v>
      </c>
      <c r="O702" s="52">
        <v>0</v>
      </c>
      <c r="P702" s="52">
        <v>0</v>
      </c>
      <c r="Q702" s="53">
        <v>0</v>
      </c>
      <c r="R702" s="52">
        <v>0</v>
      </c>
      <c r="S702" s="53">
        <v>0</v>
      </c>
      <c r="T702" s="52">
        <v>0</v>
      </c>
      <c r="U702" s="54">
        <v>0</v>
      </c>
    </row>
    <row r="703" spans="1:21" s="3" customFormat="1" ht="18" customHeight="1">
      <c r="A703" s="8" t="s">
        <v>781</v>
      </c>
      <c r="B703" s="52">
        <v>210.00002000000001</v>
      </c>
      <c r="C703" s="52">
        <v>55.000003999999997</v>
      </c>
      <c r="D703" s="52">
        <v>15.000000999999999</v>
      </c>
      <c r="E703" s="52">
        <v>55.000003999999997</v>
      </c>
      <c r="F703" s="52">
        <v>85</v>
      </c>
      <c r="G703" s="52">
        <v>0</v>
      </c>
      <c r="H703" s="52">
        <v>0</v>
      </c>
      <c r="I703" s="52">
        <v>0</v>
      </c>
      <c r="J703" s="52">
        <v>0</v>
      </c>
      <c r="K703" s="52">
        <v>0</v>
      </c>
      <c r="L703" s="52">
        <v>0</v>
      </c>
      <c r="M703" s="52">
        <v>0</v>
      </c>
      <c r="N703" s="52">
        <v>0</v>
      </c>
      <c r="O703" s="52">
        <v>0</v>
      </c>
      <c r="P703" s="52">
        <v>0</v>
      </c>
      <c r="Q703" s="53">
        <v>5.0000001000000002E-2</v>
      </c>
      <c r="R703" s="52">
        <v>2</v>
      </c>
      <c r="S703" s="53">
        <v>0.39999997999999998</v>
      </c>
      <c r="T703" s="52">
        <v>1</v>
      </c>
      <c r="U703" s="54">
        <v>0</v>
      </c>
    </row>
    <row r="704" spans="1:21" s="3" customFormat="1" ht="18" customHeight="1">
      <c r="A704" s="8" t="s">
        <v>782</v>
      </c>
      <c r="B704" s="52">
        <v>10</v>
      </c>
      <c r="C704" s="52">
        <v>4</v>
      </c>
      <c r="D704" s="52">
        <v>3.3333298999999998</v>
      </c>
      <c r="E704" s="52">
        <v>2.6666701000000002</v>
      </c>
      <c r="F704" s="52">
        <v>0</v>
      </c>
      <c r="G704" s="52">
        <v>0</v>
      </c>
      <c r="H704" s="52">
        <v>0</v>
      </c>
      <c r="I704" s="52">
        <v>0</v>
      </c>
      <c r="J704" s="52">
        <v>0</v>
      </c>
      <c r="K704" s="52">
        <v>0</v>
      </c>
      <c r="L704" s="52">
        <v>0</v>
      </c>
      <c r="M704" s="52">
        <v>0</v>
      </c>
      <c r="N704" s="52">
        <v>0</v>
      </c>
      <c r="O704" s="52">
        <v>0</v>
      </c>
      <c r="P704" s="52">
        <v>0</v>
      </c>
      <c r="Q704" s="53">
        <v>0.25</v>
      </c>
      <c r="R704" s="52">
        <v>2.7</v>
      </c>
      <c r="S704" s="53">
        <v>0.16500002</v>
      </c>
      <c r="T704" s="52">
        <v>20.000001999999999</v>
      </c>
      <c r="U704" s="54">
        <v>2</v>
      </c>
    </row>
    <row r="705" spans="1:21" s="3" customFormat="1" ht="18" customHeight="1">
      <c r="A705" s="8" t="s">
        <v>783</v>
      </c>
      <c r="B705" s="52">
        <v>37</v>
      </c>
      <c r="C705" s="52">
        <v>12.333334000000001</v>
      </c>
      <c r="D705" s="52">
        <v>12.333334000000001</v>
      </c>
      <c r="E705" s="52">
        <v>12.333333</v>
      </c>
      <c r="F705" s="52">
        <v>0</v>
      </c>
      <c r="G705" s="52">
        <v>0</v>
      </c>
      <c r="H705" s="52">
        <v>0</v>
      </c>
      <c r="I705" s="52">
        <v>0</v>
      </c>
      <c r="J705" s="52">
        <v>0</v>
      </c>
      <c r="K705" s="52">
        <v>0</v>
      </c>
      <c r="L705" s="52">
        <v>0</v>
      </c>
      <c r="M705" s="52">
        <v>0</v>
      </c>
      <c r="N705" s="52">
        <v>0</v>
      </c>
      <c r="O705" s="52">
        <v>0</v>
      </c>
      <c r="P705" s="52">
        <v>0</v>
      </c>
      <c r="Q705" s="53">
        <v>0.15000000999999999</v>
      </c>
      <c r="R705" s="52">
        <v>1.5</v>
      </c>
      <c r="S705" s="53">
        <v>0.14999998</v>
      </c>
      <c r="T705" s="52">
        <v>5.0000004999999996</v>
      </c>
      <c r="U705" s="54">
        <v>1</v>
      </c>
    </row>
    <row r="706" spans="1:21" s="3" customFormat="1" ht="18" customHeight="1">
      <c r="A706" s="8" t="s">
        <v>784</v>
      </c>
      <c r="B706" s="52">
        <v>0</v>
      </c>
      <c r="C706" s="52">
        <v>0</v>
      </c>
      <c r="D706" s="52">
        <v>0</v>
      </c>
      <c r="E706" s="52">
        <v>0</v>
      </c>
      <c r="F706" s="52">
        <v>0</v>
      </c>
      <c r="G706" s="52">
        <v>0</v>
      </c>
      <c r="H706" s="52">
        <v>0</v>
      </c>
      <c r="I706" s="52">
        <v>0</v>
      </c>
      <c r="J706" s="52">
        <v>0</v>
      </c>
      <c r="K706" s="52">
        <v>0</v>
      </c>
      <c r="L706" s="52">
        <v>0</v>
      </c>
      <c r="M706" s="52">
        <v>0</v>
      </c>
      <c r="N706" s="52">
        <v>0</v>
      </c>
      <c r="O706" s="52">
        <v>0</v>
      </c>
      <c r="P706" s="52">
        <v>0</v>
      </c>
      <c r="Q706" s="53">
        <v>0</v>
      </c>
      <c r="R706" s="52">
        <v>0</v>
      </c>
      <c r="S706" s="53">
        <v>0</v>
      </c>
      <c r="T706" s="52">
        <v>0</v>
      </c>
      <c r="U706" s="54">
        <v>0</v>
      </c>
    </row>
    <row r="707" spans="1:21" s="3" customFormat="1" ht="18" customHeight="1">
      <c r="A707" s="8" t="s">
        <v>785</v>
      </c>
      <c r="B707" s="52">
        <v>30</v>
      </c>
      <c r="C707" s="52">
        <v>6</v>
      </c>
      <c r="D707" s="52">
        <v>6</v>
      </c>
      <c r="E707" s="52">
        <v>18</v>
      </c>
      <c r="F707" s="52">
        <v>0</v>
      </c>
      <c r="G707" s="52">
        <v>0</v>
      </c>
      <c r="H707" s="52">
        <v>0</v>
      </c>
      <c r="I707" s="52">
        <v>0</v>
      </c>
      <c r="J707" s="52">
        <v>0</v>
      </c>
      <c r="K707" s="52">
        <v>0</v>
      </c>
      <c r="L707" s="52">
        <v>0</v>
      </c>
      <c r="M707" s="52">
        <v>0</v>
      </c>
      <c r="N707" s="52">
        <v>0</v>
      </c>
      <c r="O707" s="52">
        <v>0</v>
      </c>
      <c r="P707" s="52">
        <v>0</v>
      </c>
      <c r="Q707" s="53">
        <v>0.11</v>
      </c>
      <c r="R707" s="52">
        <v>2</v>
      </c>
      <c r="S707" s="53">
        <v>0.13800001000000001</v>
      </c>
      <c r="T707" s="52">
        <v>6.6666670000000003</v>
      </c>
      <c r="U707" s="54">
        <v>5</v>
      </c>
    </row>
    <row r="708" spans="1:21" s="3" customFormat="1" ht="18" customHeight="1">
      <c r="A708" s="8" t="s">
        <v>786</v>
      </c>
      <c r="B708" s="52">
        <v>250</v>
      </c>
      <c r="C708" s="52">
        <v>30</v>
      </c>
      <c r="D708" s="52">
        <v>45</v>
      </c>
      <c r="E708" s="52">
        <v>175</v>
      </c>
      <c r="F708" s="52">
        <v>0</v>
      </c>
      <c r="G708" s="52">
        <v>0</v>
      </c>
      <c r="H708" s="52">
        <v>0</v>
      </c>
      <c r="I708" s="52">
        <v>0</v>
      </c>
      <c r="J708" s="52">
        <v>0</v>
      </c>
      <c r="K708" s="52">
        <v>0</v>
      </c>
      <c r="L708" s="52">
        <v>0</v>
      </c>
      <c r="M708" s="52">
        <v>0</v>
      </c>
      <c r="N708" s="52">
        <v>0</v>
      </c>
      <c r="O708" s="52">
        <v>0</v>
      </c>
      <c r="P708" s="52">
        <v>0</v>
      </c>
      <c r="Q708" s="53">
        <v>0.19</v>
      </c>
      <c r="R708" s="52">
        <v>1.7</v>
      </c>
      <c r="S708" s="53">
        <v>0.33000003999999999</v>
      </c>
      <c r="T708" s="52">
        <v>0.91666669000000001</v>
      </c>
      <c r="U708" s="54">
        <v>0</v>
      </c>
    </row>
    <row r="709" spans="1:21" s="3" customFormat="1" ht="18" customHeight="1">
      <c r="A709" s="8" t="s">
        <v>787</v>
      </c>
      <c r="B709" s="52">
        <v>47.000003999999997</v>
      </c>
      <c r="C709" s="52">
        <v>18.800001000000002</v>
      </c>
      <c r="D709" s="52">
        <v>23.5</v>
      </c>
      <c r="E709" s="52">
        <v>4.7000012</v>
      </c>
      <c r="F709" s="52">
        <v>0</v>
      </c>
      <c r="G709" s="52">
        <v>0</v>
      </c>
      <c r="H709" s="52">
        <v>0</v>
      </c>
      <c r="I709" s="52">
        <v>0</v>
      </c>
      <c r="J709" s="52">
        <v>0</v>
      </c>
      <c r="K709" s="52">
        <v>0</v>
      </c>
      <c r="L709" s="52">
        <v>0</v>
      </c>
      <c r="M709" s="52">
        <v>0</v>
      </c>
      <c r="N709" s="52">
        <v>0</v>
      </c>
      <c r="O709" s="52">
        <v>0</v>
      </c>
      <c r="P709" s="52">
        <v>0</v>
      </c>
      <c r="Q709" s="53">
        <v>0.1</v>
      </c>
      <c r="R709" s="52">
        <v>2</v>
      </c>
      <c r="S709" s="53">
        <v>6.5999984999999997E-2</v>
      </c>
      <c r="T709" s="52">
        <v>2.5000002000000001</v>
      </c>
      <c r="U709" s="54">
        <v>15</v>
      </c>
    </row>
    <row r="710" spans="1:21" s="3" customFormat="1" ht="18" customHeight="1">
      <c r="A710" s="8" t="s">
        <v>788</v>
      </c>
      <c r="B710" s="52">
        <v>17</v>
      </c>
      <c r="C710" s="52">
        <v>10.200001</v>
      </c>
      <c r="D710" s="52">
        <v>1.7</v>
      </c>
      <c r="E710" s="52">
        <v>5.0999993999999997</v>
      </c>
      <c r="F710" s="52">
        <v>0</v>
      </c>
      <c r="G710" s="52">
        <v>0</v>
      </c>
      <c r="H710" s="52">
        <v>0</v>
      </c>
      <c r="I710" s="52">
        <v>0</v>
      </c>
      <c r="J710" s="52">
        <v>0</v>
      </c>
      <c r="K710" s="52">
        <v>0</v>
      </c>
      <c r="L710" s="52">
        <v>0</v>
      </c>
      <c r="M710" s="52">
        <v>0</v>
      </c>
      <c r="N710" s="52">
        <v>0</v>
      </c>
      <c r="O710" s="52">
        <v>0</v>
      </c>
      <c r="P710" s="52">
        <v>0</v>
      </c>
      <c r="Q710" s="53">
        <v>0.15000000999999999</v>
      </c>
      <c r="R710" s="52">
        <v>1.5</v>
      </c>
      <c r="S710" s="53">
        <v>0.11000001</v>
      </c>
      <c r="T710" s="52">
        <v>25.000001999999999</v>
      </c>
      <c r="U710" s="54">
        <v>1</v>
      </c>
    </row>
    <row r="711" spans="1:21" s="3" customFormat="1" ht="18" customHeight="1">
      <c r="A711" s="8" t="s">
        <v>789</v>
      </c>
      <c r="B711" s="52">
        <v>18</v>
      </c>
      <c r="C711" s="52">
        <v>14.400001</v>
      </c>
      <c r="D711" s="52">
        <v>1.8000001000000001</v>
      </c>
      <c r="E711" s="52">
        <v>1.7999993999999999</v>
      </c>
      <c r="F711" s="52">
        <v>0</v>
      </c>
      <c r="G711" s="52">
        <v>0</v>
      </c>
      <c r="H711" s="52">
        <v>0</v>
      </c>
      <c r="I711" s="52">
        <v>0</v>
      </c>
      <c r="J711" s="52">
        <v>0</v>
      </c>
      <c r="K711" s="52">
        <v>0</v>
      </c>
      <c r="L711" s="52">
        <v>0</v>
      </c>
      <c r="M711" s="52">
        <v>0</v>
      </c>
      <c r="N711" s="52">
        <v>0</v>
      </c>
      <c r="O711" s="52">
        <v>0</v>
      </c>
      <c r="P711" s="52">
        <v>0</v>
      </c>
      <c r="Q711" s="53">
        <v>0.19</v>
      </c>
      <c r="R711" s="52">
        <v>2</v>
      </c>
      <c r="S711" s="53">
        <v>9.0000032999999993E-2</v>
      </c>
      <c r="T711" s="52">
        <v>25.000001999999999</v>
      </c>
      <c r="U711" s="54">
        <v>1</v>
      </c>
    </row>
    <row r="712" spans="1:21" s="3" customFormat="1" ht="18" customHeight="1">
      <c r="A712" s="8" t="s">
        <v>790</v>
      </c>
      <c r="B712" s="52">
        <v>0</v>
      </c>
      <c r="C712" s="52">
        <v>0</v>
      </c>
      <c r="D712" s="52">
        <v>0</v>
      </c>
      <c r="E712" s="52">
        <v>0</v>
      </c>
      <c r="F712" s="52">
        <v>0</v>
      </c>
      <c r="G712" s="52">
        <v>0</v>
      </c>
      <c r="H712" s="52">
        <v>0</v>
      </c>
      <c r="I712" s="52">
        <v>0</v>
      </c>
      <c r="J712" s="52">
        <v>0</v>
      </c>
      <c r="K712" s="52">
        <v>0</v>
      </c>
      <c r="L712" s="52">
        <v>0</v>
      </c>
      <c r="M712" s="52">
        <v>0</v>
      </c>
      <c r="N712" s="52">
        <v>0</v>
      </c>
      <c r="O712" s="52">
        <v>0</v>
      </c>
      <c r="P712" s="52">
        <v>0</v>
      </c>
      <c r="Q712" s="53">
        <v>0</v>
      </c>
      <c r="R712" s="52">
        <v>0</v>
      </c>
      <c r="S712" s="53">
        <v>0</v>
      </c>
      <c r="T712" s="52">
        <v>0</v>
      </c>
      <c r="U712" s="54">
        <v>0</v>
      </c>
    </row>
    <row r="713" spans="1:21" s="3" customFormat="1" ht="18" customHeight="1">
      <c r="A713" s="8" t="s">
        <v>791</v>
      </c>
      <c r="B713" s="52">
        <v>0</v>
      </c>
      <c r="C713" s="52">
        <v>0</v>
      </c>
      <c r="D713" s="52">
        <v>0</v>
      </c>
      <c r="E713" s="52">
        <v>0</v>
      </c>
      <c r="F713" s="52">
        <v>0</v>
      </c>
      <c r="G713" s="52">
        <v>0</v>
      </c>
      <c r="H713" s="52">
        <v>0</v>
      </c>
      <c r="I713" s="52">
        <v>0</v>
      </c>
      <c r="J713" s="52">
        <v>0</v>
      </c>
      <c r="K713" s="52">
        <v>0</v>
      </c>
      <c r="L713" s="52">
        <v>0</v>
      </c>
      <c r="M713" s="52">
        <v>0</v>
      </c>
      <c r="N713" s="52">
        <v>0</v>
      </c>
      <c r="O713" s="52">
        <v>0</v>
      </c>
      <c r="P713" s="52">
        <v>0</v>
      </c>
      <c r="Q713" s="53">
        <v>0</v>
      </c>
      <c r="R713" s="52">
        <v>0</v>
      </c>
      <c r="S713" s="53">
        <v>0</v>
      </c>
      <c r="T713" s="52">
        <v>0</v>
      </c>
      <c r="U713" s="54">
        <v>0</v>
      </c>
    </row>
    <row r="714" spans="1:21" s="3" customFormat="1" ht="18" customHeight="1">
      <c r="A714" s="8" t="s">
        <v>792</v>
      </c>
      <c r="B714" s="52">
        <v>76</v>
      </c>
      <c r="C714" s="52">
        <v>9</v>
      </c>
      <c r="D714" s="52">
        <v>23</v>
      </c>
      <c r="E714" s="52">
        <v>17</v>
      </c>
      <c r="F714" s="52">
        <v>0</v>
      </c>
      <c r="G714" s="52">
        <v>0</v>
      </c>
      <c r="H714" s="52">
        <v>0</v>
      </c>
      <c r="I714" s="52">
        <v>0</v>
      </c>
      <c r="J714" s="52">
        <v>0</v>
      </c>
      <c r="K714" s="52">
        <v>0</v>
      </c>
      <c r="L714" s="52">
        <v>0</v>
      </c>
      <c r="M714" s="52">
        <v>0</v>
      </c>
      <c r="N714" s="52">
        <v>0</v>
      </c>
      <c r="O714" s="52">
        <v>27</v>
      </c>
      <c r="P714" s="52">
        <v>0</v>
      </c>
      <c r="Q714" s="53">
        <v>2.9999998999999999E-2</v>
      </c>
      <c r="R714" s="52">
        <v>1.5</v>
      </c>
      <c r="S714" s="53">
        <v>0.5</v>
      </c>
      <c r="T714" s="52">
        <v>2.5000002000000001</v>
      </c>
      <c r="U714" s="54">
        <v>1</v>
      </c>
    </row>
    <row r="715" spans="1:21" s="3" customFormat="1" ht="18" customHeight="1">
      <c r="A715" s="8" t="s">
        <v>793</v>
      </c>
      <c r="B715" s="52">
        <v>0</v>
      </c>
      <c r="C715" s="52">
        <v>0</v>
      </c>
      <c r="D715" s="52">
        <v>0</v>
      </c>
      <c r="E715" s="52">
        <v>0</v>
      </c>
      <c r="F715" s="52">
        <v>0</v>
      </c>
      <c r="G715" s="52">
        <v>0</v>
      </c>
      <c r="H715" s="52">
        <v>0</v>
      </c>
      <c r="I715" s="52">
        <v>0</v>
      </c>
      <c r="J715" s="52">
        <v>0</v>
      </c>
      <c r="K715" s="52">
        <v>0</v>
      </c>
      <c r="L715" s="52">
        <v>0</v>
      </c>
      <c r="M715" s="52">
        <v>0</v>
      </c>
      <c r="N715" s="52">
        <v>0</v>
      </c>
      <c r="O715" s="52">
        <v>0</v>
      </c>
      <c r="P715" s="52">
        <v>0</v>
      </c>
      <c r="Q715" s="53">
        <v>0</v>
      </c>
      <c r="R715" s="52">
        <v>0</v>
      </c>
      <c r="S715" s="53">
        <v>0</v>
      </c>
      <c r="T715" s="52">
        <v>0</v>
      </c>
      <c r="U715" s="54">
        <v>0</v>
      </c>
    </row>
    <row r="716" spans="1:21" s="3" customFormat="1" ht="18" customHeight="1">
      <c r="A716" s="8" t="s">
        <v>794</v>
      </c>
      <c r="B716" s="52">
        <v>0</v>
      </c>
      <c r="C716" s="52">
        <v>0</v>
      </c>
      <c r="D716" s="52">
        <v>0</v>
      </c>
      <c r="E716" s="52">
        <v>0</v>
      </c>
      <c r="F716" s="52">
        <v>0</v>
      </c>
      <c r="G716" s="52">
        <v>0</v>
      </c>
      <c r="H716" s="52">
        <v>0</v>
      </c>
      <c r="I716" s="52">
        <v>0</v>
      </c>
      <c r="J716" s="52">
        <v>0</v>
      </c>
      <c r="K716" s="52">
        <v>0</v>
      </c>
      <c r="L716" s="52">
        <v>0</v>
      </c>
      <c r="M716" s="52">
        <v>0</v>
      </c>
      <c r="N716" s="52">
        <v>0</v>
      </c>
      <c r="O716" s="52">
        <v>0</v>
      </c>
      <c r="P716" s="52">
        <v>0</v>
      </c>
      <c r="Q716" s="53">
        <v>0</v>
      </c>
      <c r="R716" s="52">
        <v>0</v>
      </c>
      <c r="S716" s="53">
        <v>0</v>
      </c>
      <c r="T716" s="52">
        <v>0</v>
      </c>
      <c r="U716" s="54">
        <v>0</v>
      </c>
    </row>
    <row r="717" spans="1:21" s="3" customFormat="1" ht="18" customHeight="1">
      <c r="A717" s="8" t="s">
        <v>795</v>
      </c>
      <c r="B717" s="52">
        <v>300</v>
      </c>
      <c r="C717" s="52">
        <v>99.989998</v>
      </c>
      <c r="D717" s="52">
        <v>99.999893</v>
      </c>
      <c r="E717" s="52">
        <v>100.01009000000001</v>
      </c>
      <c r="F717" s="52">
        <v>0</v>
      </c>
      <c r="G717" s="52">
        <v>0</v>
      </c>
      <c r="H717" s="52">
        <v>0</v>
      </c>
      <c r="I717" s="52">
        <v>0</v>
      </c>
      <c r="J717" s="52">
        <v>0</v>
      </c>
      <c r="K717" s="52">
        <v>0</v>
      </c>
      <c r="L717" s="52">
        <v>0</v>
      </c>
      <c r="M717" s="52">
        <v>0</v>
      </c>
      <c r="N717" s="52">
        <v>0</v>
      </c>
      <c r="O717" s="52">
        <v>0</v>
      </c>
      <c r="P717" s="52">
        <v>0</v>
      </c>
      <c r="Q717" s="53">
        <v>0.5</v>
      </c>
      <c r="R717" s="52">
        <v>2</v>
      </c>
      <c r="S717" s="53">
        <v>0</v>
      </c>
      <c r="T717" s="52">
        <v>1.5000001000000001</v>
      </c>
      <c r="U717" s="54">
        <v>0</v>
      </c>
    </row>
    <row r="718" spans="1:21" s="3" customFormat="1" ht="18" customHeight="1">
      <c r="A718" s="8" t="s">
        <v>796</v>
      </c>
      <c r="B718" s="52">
        <v>300</v>
      </c>
      <c r="C718" s="52">
        <v>99.989998</v>
      </c>
      <c r="D718" s="52">
        <v>99.999893</v>
      </c>
      <c r="E718" s="52">
        <v>100.01009000000001</v>
      </c>
      <c r="F718" s="52">
        <v>0</v>
      </c>
      <c r="G718" s="52">
        <v>0</v>
      </c>
      <c r="H718" s="52">
        <v>0</v>
      </c>
      <c r="I718" s="52">
        <v>0</v>
      </c>
      <c r="J718" s="52">
        <v>0</v>
      </c>
      <c r="K718" s="52">
        <v>0</v>
      </c>
      <c r="L718" s="52">
        <v>0</v>
      </c>
      <c r="M718" s="52">
        <v>0</v>
      </c>
      <c r="N718" s="52">
        <v>0</v>
      </c>
      <c r="O718" s="52">
        <v>0</v>
      </c>
      <c r="P718" s="52">
        <v>0</v>
      </c>
      <c r="Q718" s="53">
        <v>0.5</v>
      </c>
      <c r="R718" s="52">
        <v>2</v>
      </c>
      <c r="S718" s="53">
        <v>0</v>
      </c>
      <c r="T718" s="52">
        <v>1.5000001000000001</v>
      </c>
      <c r="U718" s="54">
        <v>0</v>
      </c>
    </row>
    <row r="719" spans="1:21" s="3" customFormat="1" ht="18" customHeight="1">
      <c r="A719" s="8" t="s">
        <v>797</v>
      </c>
      <c r="B719" s="52">
        <v>0</v>
      </c>
      <c r="C719" s="52">
        <v>0</v>
      </c>
      <c r="D719" s="52">
        <v>0</v>
      </c>
      <c r="E719" s="52">
        <v>0</v>
      </c>
      <c r="F719" s="52">
        <v>0</v>
      </c>
      <c r="G719" s="52">
        <v>0</v>
      </c>
      <c r="H719" s="52">
        <v>0</v>
      </c>
      <c r="I719" s="52">
        <v>0</v>
      </c>
      <c r="J719" s="52">
        <v>0</v>
      </c>
      <c r="K719" s="52">
        <v>0</v>
      </c>
      <c r="L719" s="52">
        <v>0</v>
      </c>
      <c r="M719" s="52">
        <v>0</v>
      </c>
      <c r="N719" s="52">
        <v>0</v>
      </c>
      <c r="O719" s="52">
        <v>0</v>
      </c>
      <c r="P719" s="52">
        <v>0</v>
      </c>
      <c r="Q719" s="53">
        <v>0</v>
      </c>
      <c r="R719" s="52">
        <v>0</v>
      </c>
      <c r="S719" s="53">
        <v>0</v>
      </c>
      <c r="T719" s="52">
        <v>0</v>
      </c>
      <c r="U719" s="54">
        <v>0</v>
      </c>
    </row>
    <row r="720" spans="1:21" s="3" customFormat="1" ht="18" customHeight="1">
      <c r="A720" s="8" t="s">
        <v>798</v>
      </c>
      <c r="B720" s="52">
        <v>0</v>
      </c>
      <c r="C720" s="52">
        <v>0</v>
      </c>
      <c r="D720" s="52">
        <v>0</v>
      </c>
      <c r="E720" s="52">
        <v>0</v>
      </c>
      <c r="F720" s="52">
        <v>0</v>
      </c>
      <c r="G720" s="52">
        <v>0</v>
      </c>
      <c r="H720" s="52">
        <v>0</v>
      </c>
      <c r="I720" s="52">
        <v>0</v>
      </c>
      <c r="J720" s="52">
        <v>0</v>
      </c>
      <c r="K720" s="52">
        <v>0</v>
      </c>
      <c r="L720" s="52">
        <v>0</v>
      </c>
      <c r="M720" s="52">
        <v>0</v>
      </c>
      <c r="N720" s="52">
        <v>0</v>
      </c>
      <c r="O720" s="52">
        <v>0</v>
      </c>
      <c r="P720" s="52">
        <v>0</v>
      </c>
      <c r="Q720" s="53">
        <v>0</v>
      </c>
      <c r="R720" s="52">
        <v>0</v>
      </c>
      <c r="S720" s="53">
        <v>0</v>
      </c>
      <c r="T720" s="52">
        <v>0</v>
      </c>
      <c r="U720" s="54">
        <v>0</v>
      </c>
    </row>
    <row r="721" spans="1:21" s="3" customFormat="1" ht="18" customHeight="1">
      <c r="A721" s="8" t="s">
        <v>799</v>
      </c>
      <c r="B721" s="52">
        <v>0</v>
      </c>
      <c r="C721" s="52">
        <v>0</v>
      </c>
      <c r="D721" s="52">
        <v>0</v>
      </c>
      <c r="E721" s="52">
        <v>0</v>
      </c>
      <c r="F721" s="52">
        <v>0</v>
      </c>
      <c r="G721" s="52">
        <v>0</v>
      </c>
      <c r="H721" s="52">
        <v>0</v>
      </c>
      <c r="I721" s="52">
        <v>0</v>
      </c>
      <c r="J721" s="52">
        <v>0</v>
      </c>
      <c r="K721" s="52">
        <v>0</v>
      </c>
      <c r="L721" s="52">
        <v>0</v>
      </c>
      <c r="M721" s="52">
        <v>0</v>
      </c>
      <c r="N721" s="52">
        <v>0</v>
      </c>
      <c r="O721" s="52">
        <v>0</v>
      </c>
      <c r="P721" s="52">
        <v>0</v>
      </c>
      <c r="Q721" s="53">
        <v>0</v>
      </c>
      <c r="R721" s="52">
        <v>0</v>
      </c>
      <c r="S721" s="53">
        <v>0</v>
      </c>
      <c r="T721" s="52">
        <v>0</v>
      </c>
      <c r="U721" s="54">
        <v>0</v>
      </c>
    </row>
    <row r="722" spans="1:21" s="3" customFormat="1" ht="18" customHeight="1">
      <c r="A722" s="8" t="s">
        <v>800</v>
      </c>
      <c r="B722" s="52">
        <v>0</v>
      </c>
      <c r="C722" s="52">
        <v>0</v>
      </c>
      <c r="D722" s="52">
        <v>0</v>
      </c>
      <c r="E722" s="52">
        <v>0</v>
      </c>
      <c r="F722" s="52">
        <v>0</v>
      </c>
      <c r="G722" s="52">
        <v>0</v>
      </c>
      <c r="H722" s="52">
        <v>0</v>
      </c>
      <c r="I722" s="52">
        <v>0</v>
      </c>
      <c r="J722" s="52">
        <v>0</v>
      </c>
      <c r="K722" s="52">
        <v>0</v>
      </c>
      <c r="L722" s="52">
        <v>0</v>
      </c>
      <c r="M722" s="52">
        <v>0</v>
      </c>
      <c r="N722" s="52">
        <v>0</v>
      </c>
      <c r="O722" s="52">
        <v>0</v>
      </c>
      <c r="P722" s="52">
        <v>0</v>
      </c>
      <c r="Q722" s="53">
        <v>0</v>
      </c>
      <c r="R722" s="52">
        <v>0</v>
      </c>
      <c r="S722" s="53">
        <v>0</v>
      </c>
      <c r="T722" s="52">
        <v>0</v>
      </c>
      <c r="U722" s="54">
        <v>0</v>
      </c>
    </row>
    <row r="723" spans="1:21" s="3" customFormat="1" ht="18" customHeight="1">
      <c r="A723" s="8" t="s">
        <v>801</v>
      </c>
      <c r="B723" s="52">
        <v>0</v>
      </c>
      <c r="C723" s="52">
        <v>0</v>
      </c>
      <c r="D723" s="52">
        <v>0</v>
      </c>
      <c r="E723" s="52">
        <v>0</v>
      </c>
      <c r="F723" s="52">
        <v>0</v>
      </c>
      <c r="G723" s="52">
        <v>0</v>
      </c>
      <c r="H723" s="52">
        <v>0</v>
      </c>
      <c r="I723" s="52">
        <v>0</v>
      </c>
      <c r="J723" s="52">
        <v>0</v>
      </c>
      <c r="K723" s="52">
        <v>0</v>
      </c>
      <c r="L723" s="52">
        <v>0</v>
      </c>
      <c r="M723" s="52">
        <v>0</v>
      </c>
      <c r="N723" s="52">
        <v>0</v>
      </c>
      <c r="O723" s="52">
        <v>0</v>
      </c>
      <c r="P723" s="52">
        <v>0</v>
      </c>
      <c r="Q723" s="53">
        <v>0</v>
      </c>
      <c r="R723" s="52">
        <v>0</v>
      </c>
      <c r="S723" s="53">
        <v>0</v>
      </c>
      <c r="T723" s="52">
        <v>0</v>
      </c>
      <c r="U723" s="54">
        <v>0</v>
      </c>
    </row>
    <row r="724" spans="1:21" s="3" customFormat="1" ht="18" customHeight="1">
      <c r="A724" s="8" t="s">
        <v>802</v>
      </c>
      <c r="B724" s="52">
        <v>0</v>
      </c>
      <c r="C724" s="52">
        <v>0</v>
      </c>
      <c r="D724" s="52">
        <v>0</v>
      </c>
      <c r="E724" s="52">
        <v>0</v>
      </c>
      <c r="F724" s="52">
        <v>0</v>
      </c>
      <c r="G724" s="52">
        <v>0</v>
      </c>
      <c r="H724" s="52">
        <v>0</v>
      </c>
      <c r="I724" s="52">
        <v>0</v>
      </c>
      <c r="J724" s="52">
        <v>0</v>
      </c>
      <c r="K724" s="52">
        <v>0</v>
      </c>
      <c r="L724" s="52">
        <v>0</v>
      </c>
      <c r="M724" s="52">
        <v>0</v>
      </c>
      <c r="N724" s="52">
        <v>0</v>
      </c>
      <c r="O724" s="52">
        <v>0</v>
      </c>
      <c r="P724" s="52">
        <v>0</v>
      </c>
      <c r="Q724" s="53">
        <v>0</v>
      </c>
      <c r="R724" s="52">
        <v>0</v>
      </c>
      <c r="S724" s="53">
        <v>0</v>
      </c>
      <c r="T724" s="52">
        <v>0</v>
      </c>
      <c r="U724" s="54">
        <v>0</v>
      </c>
    </row>
    <row r="725" spans="1:21" s="3" customFormat="1" ht="18" customHeight="1">
      <c r="A725" s="8" t="s">
        <v>803</v>
      </c>
      <c r="B725" s="52">
        <v>279</v>
      </c>
      <c r="C725" s="52">
        <v>19.530000999999999</v>
      </c>
      <c r="D725" s="52">
        <v>25.110001</v>
      </c>
      <c r="E725" s="52">
        <v>234.36001999999999</v>
      </c>
      <c r="F725" s="52">
        <v>0</v>
      </c>
      <c r="G725" s="52">
        <v>0</v>
      </c>
      <c r="H725" s="52">
        <v>0</v>
      </c>
      <c r="I725" s="52">
        <v>0</v>
      </c>
      <c r="J725" s="52">
        <v>0</v>
      </c>
      <c r="K725" s="52">
        <v>0</v>
      </c>
      <c r="L725" s="52">
        <v>0</v>
      </c>
      <c r="M725" s="52">
        <v>0</v>
      </c>
      <c r="N725" s="52">
        <v>0</v>
      </c>
      <c r="O725" s="52">
        <v>0</v>
      </c>
      <c r="P725" s="52">
        <v>0</v>
      </c>
      <c r="Q725" s="53">
        <v>0.19</v>
      </c>
      <c r="R725" s="52">
        <v>1.7</v>
      </c>
      <c r="S725" s="53">
        <v>0.31</v>
      </c>
      <c r="T725" s="52">
        <v>1</v>
      </c>
      <c r="U725" s="54">
        <v>0</v>
      </c>
    </row>
    <row r="726" spans="1:21" s="3" customFormat="1" ht="18" customHeight="1">
      <c r="A726" s="8" t="s">
        <v>804</v>
      </c>
      <c r="B726" s="52">
        <v>90</v>
      </c>
      <c r="C726" s="52">
        <v>22.5</v>
      </c>
      <c r="D726" s="52">
        <v>22.5</v>
      </c>
      <c r="E726" s="52">
        <v>45</v>
      </c>
      <c r="F726" s="52">
        <v>0</v>
      </c>
      <c r="G726" s="52">
        <v>0</v>
      </c>
      <c r="H726" s="52">
        <v>0</v>
      </c>
      <c r="I726" s="52">
        <v>0</v>
      </c>
      <c r="J726" s="52">
        <v>0</v>
      </c>
      <c r="K726" s="52">
        <v>0</v>
      </c>
      <c r="L726" s="52">
        <v>0</v>
      </c>
      <c r="M726" s="52">
        <v>0</v>
      </c>
      <c r="N726" s="52">
        <v>0</v>
      </c>
      <c r="O726" s="52">
        <v>0</v>
      </c>
      <c r="P726" s="52">
        <v>0</v>
      </c>
      <c r="Q726" s="53">
        <v>0.2</v>
      </c>
      <c r="R726" s="52">
        <v>1.8</v>
      </c>
      <c r="S726" s="53">
        <v>7.9999982999999997E-2</v>
      </c>
      <c r="T726" s="52">
        <v>2.5000002000000001</v>
      </c>
      <c r="U726" s="54">
        <v>1</v>
      </c>
    </row>
    <row r="727" spans="1:21" s="3" customFormat="1" ht="18" customHeight="1">
      <c r="A727" s="8" t="s">
        <v>805</v>
      </c>
      <c r="B727" s="52">
        <v>110</v>
      </c>
      <c r="C727" s="52">
        <v>16.5</v>
      </c>
      <c r="D727" s="52">
        <v>16.5</v>
      </c>
      <c r="E727" s="52">
        <v>77</v>
      </c>
      <c r="F727" s="52">
        <v>0</v>
      </c>
      <c r="G727" s="52">
        <v>0</v>
      </c>
      <c r="H727" s="52">
        <v>0</v>
      </c>
      <c r="I727" s="52">
        <v>0</v>
      </c>
      <c r="J727" s="52">
        <v>0</v>
      </c>
      <c r="K727" s="52">
        <v>0</v>
      </c>
      <c r="L727" s="52">
        <v>0</v>
      </c>
      <c r="M727" s="52">
        <v>0</v>
      </c>
      <c r="N727" s="52">
        <v>0</v>
      </c>
      <c r="O727" s="52">
        <v>0</v>
      </c>
      <c r="P727" s="52">
        <v>0</v>
      </c>
      <c r="Q727" s="53">
        <v>0.22</v>
      </c>
      <c r="R727" s="52">
        <v>2.4000001000000002</v>
      </c>
      <c r="S727" s="53">
        <v>0.22000003000000001</v>
      </c>
      <c r="T727" s="52">
        <v>2.5000002000000001</v>
      </c>
      <c r="U727" s="54">
        <v>1</v>
      </c>
    </row>
    <row r="728" spans="1:21" s="3" customFormat="1" ht="18" customHeight="1">
      <c r="A728" s="8" t="s">
        <v>806</v>
      </c>
      <c r="B728" s="52">
        <v>75</v>
      </c>
      <c r="C728" s="52">
        <v>11.25</v>
      </c>
      <c r="D728" s="52">
        <v>48.75</v>
      </c>
      <c r="E728" s="52">
        <v>15.000004000000001</v>
      </c>
      <c r="F728" s="52">
        <v>0</v>
      </c>
      <c r="G728" s="52">
        <v>0</v>
      </c>
      <c r="H728" s="52">
        <v>0</v>
      </c>
      <c r="I728" s="52">
        <v>0</v>
      </c>
      <c r="J728" s="52">
        <v>0</v>
      </c>
      <c r="K728" s="52">
        <v>0</v>
      </c>
      <c r="L728" s="52">
        <v>0</v>
      </c>
      <c r="M728" s="52">
        <v>0</v>
      </c>
      <c r="N728" s="52">
        <v>0</v>
      </c>
      <c r="O728" s="52">
        <v>0</v>
      </c>
      <c r="P728" s="52">
        <v>0</v>
      </c>
      <c r="Q728" s="53">
        <v>0.25</v>
      </c>
      <c r="R728" s="52">
        <v>2</v>
      </c>
      <c r="S728" s="53">
        <v>0.10714287</v>
      </c>
      <c r="T728" s="52">
        <v>3.0000002000000001</v>
      </c>
      <c r="U728" s="54">
        <v>7</v>
      </c>
    </row>
    <row r="729" spans="1:21" s="3" customFormat="1" ht="18" customHeight="1">
      <c r="A729" s="8" t="s">
        <v>807</v>
      </c>
      <c r="B729" s="52">
        <v>160</v>
      </c>
      <c r="C729" s="52">
        <v>96</v>
      </c>
      <c r="D729" s="52">
        <v>16</v>
      </c>
      <c r="E729" s="52">
        <v>47.999991999999999</v>
      </c>
      <c r="F729" s="52">
        <v>0</v>
      </c>
      <c r="G729" s="52">
        <v>0</v>
      </c>
      <c r="H729" s="52">
        <v>0</v>
      </c>
      <c r="I729" s="52">
        <v>0</v>
      </c>
      <c r="J729" s="52">
        <v>0</v>
      </c>
      <c r="K729" s="52">
        <v>0</v>
      </c>
      <c r="L729" s="52">
        <v>0</v>
      </c>
      <c r="M729" s="52">
        <v>0</v>
      </c>
      <c r="N729" s="52">
        <v>0</v>
      </c>
      <c r="O729" s="52">
        <v>0</v>
      </c>
      <c r="P729" s="52">
        <v>0</v>
      </c>
      <c r="Q729" s="53">
        <v>0.2</v>
      </c>
      <c r="R729" s="52">
        <v>1.5</v>
      </c>
      <c r="S729" s="53">
        <v>0.35000002000000002</v>
      </c>
      <c r="T729" s="52">
        <v>2</v>
      </c>
      <c r="U729" s="54">
        <v>1</v>
      </c>
    </row>
    <row r="730" spans="1:21" s="3" customFormat="1" ht="18" customHeight="1">
      <c r="A730" s="8" t="s">
        <v>808</v>
      </c>
      <c r="B730" s="52">
        <v>212.99997999999999</v>
      </c>
      <c r="C730" s="52">
        <v>10.650001</v>
      </c>
      <c r="D730" s="52">
        <v>202.34998999999999</v>
      </c>
      <c r="E730" s="52">
        <v>0</v>
      </c>
      <c r="F730" s="52">
        <v>0</v>
      </c>
      <c r="G730" s="52">
        <v>0</v>
      </c>
      <c r="H730" s="52">
        <v>0</v>
      </c>
      <c r="I730" s="52">
        <v>0</v>
      </c>
      <c r="J730" s="52">
        <v>0</v>
      </c>
      <c r="K730" s="52">
        <v>0</v>
      </c>
      <c r="L730" s="52">
        <v>0</v>
      </c>
      <c r="M730" s="52">
        <v>0</v>
      </c>
      <c r="N730" s="52">
        <v>0</v>
      </c>
      <c r="O730" s="52">
        <v>0</v>
      </c>
      <c r="P730" s="52">
        <v>0</v>
      </c>
      <c r="Q730" s="53">
        <v>0.20999999</v>
      </c>
      <c r="R730" s="52">
        <v>2.5</v>
      </c>
      <c r="S730" s="53">
        <v>0.33000003999999999</v>
      </c>
      <c r="T730" s="52">
        <v>1.0833333999999999</v>
      </c>
      <c r="U730" s="54">
        <v>0</v>
      </c>
    </row>
    <row r="731" spans="1:21" s="3" customFormat="1" ht="18" customHeight="1">
      <c r="A731" s="8" t="s">
        <v>809</v>
      </c>
      <c r="B731" s="52">
        <v>225</v>
      </c>
      <c r="C731" s="52">
        <v>90</v>
      </c>
      <c r="D731" s="52">
        <v>78.75</v>
      </c>
      <c r="E731" s="52">
        <v>56.25</v>
      </c>
      <c r="F731" s="52">
        <v>0</v>
      </c>
      <c r="G731" s="52">
        <v>0</v>
      </c>
      <c r="H731" s="52">
        <v>0</v>
      </c>
      <c r="I731" s="52">
        <v>0</v>
      </c>
      <c r="J731" s="52">
        <v>0</v>
      </c>
      <c r="K731" s="52">
        <v>0</v>
      </c>
      <c r="L731" s="52">
        <v>0</v>
      </c>
      <c r="M731" s="52">
        <v>0</v>
      </c>
      <c r="N731" s="52">
        <v>0</v>
      </c>
      <c r="O731" s="52">
        <v>0</v>
      </c>
      <c r="P731" s="52">
        <v>0</v>
      </c>
      <c r="Q731" s="53">
        <v>0.25</v>
      </c>
      <c r="R731" s="52">
        <v>2</v>
      </c>
      <c r="S731" s="53">
        <v>0.30000000999999998</v>
      </c>
      <c r="T731" s="52">
        <v>1.5000001000000001</v>
      </c>
      <c r="U731" s="54">
        <v>1</v>
      </c>
    </row>
    <row r="732" spans="1:21" s="3" customFormat="1" ht="18" customHeight="1">
      <c r="A732" s="8" t="s">
        <v>810</v>
      </c>
      <c r="B732" s="52">
        <v>350</v>
      </c>
      <c r="C732" s="52">
        <v>140</v>
      </c>
      <c r="D732" s="52">
        <v>157.5</v>
      </c>
      <c r="E732" s="52">
        <v>52.499991999999999</v>
      </c>
      <c r="F732" s="52">
        <v>0</v>
      </c>
      <c r="G732" s="52">
        <v>0</v>
      </c>
      <c r="H732" s="52">
        <v>0</v>
      </c>
      <c r="I732" s="52">
        <v>0</v>
      </c>
      <c r="J732" s="52">
        <v>0</v>
      </c>
      <c r="K732" s="52">
        <v>0</v>
      </c>
      <c r="L732" s="52">
        <v>0</v>
      </c>
      <c r="M732" s="52">
        <v>0</v>
      </c>
      <c r="N732" s="52">
        <v>0</v>
      </c>
      <c r="O732" s="52">
        <v>0</v>
      </c>
      <c r="P732" s="52">
        <v>0</v>
      </c>
      <c r="Q732" s="53">
        <v>0.30000000999999998</v>
      </c>
      <c r="R732" s="52">
        <v>2</v>
      </c>
      <c r="S732" s="53">
        <v>0.30000000999999998</v>
      </c>
      <c r="T732" s="52">
        <v>2.6666666999999999</v>
      </c>
      <c r="U732" s="54">
        <v>1</v>
      </c>
    </row>
    <row r="733" spans="1:21" s="3" customFormat="1" ht="18" customHeight="1">
      <c r="A733" s="8" t="s">
        <v>811</v>
      </c>
      <c r="B733" s="52">
        <v>90</v>
      </c>
      <c r="C733" s="52">
        <v>23.4</v>
      </c>
      <c r="D733" s="52">
        <v>23.4</v>
      </c>
      <c r="E733" s="52">
        <v>43.200001</v>
      </c>
      <c r="F733" s="52">
        <v>0</v>
      </c>
      <c r="G733" s="52">
        <v>0</v>
      </c>
      <c r="H733" s="52">
        <v>0</v>
      </c>
      <c r="I733" s="52">
        <v>0</v>
      </c>
      <c r="J733" s="52">
        <v>0</v>
      </c>
      <c r="K733" s="52">
        <v>0</v>
      </c>
      <c r="L733" s="52">
        <v>0</v>
      </c>
      <c r="M733" s="52">
        <v>0</v>
      </c>
      <c r="N733" s="52">
        <v>0</v>
      </c>
      <c r="O733" s="52">
        <v>0</v>
      </c>
      <c r="P733" s="52">
        <v>0</v>
      </c>
      <c r="Q733" s="53">
        <v>0.22</v>
      </c>
      <c r="R733" s="52">
        <v>2.2000000000000002</v>
      </c>
      <c r="S733" s="53">
        <v>0.22000003000000001</v>
      </c>
      <c r="T733" s="52">
        <v>3.6666666999999999</v>
      </c>
      <c r="U733" s="54">
        <v>1</v>
      </c>
    </row>
    <row r="734" spans="1:21" s="3" customFormat="1" ht="18" customHeight="1">
      <c r="A734" s="8" t="s">
        <v>812</v>
      </c>
      <c r="B734" s="52">
        <v>1600</v>
      </c>
      <c r="C734" s="52">
        <v>400</v>
      </c>
      <c r="D734" s="52">
        <v>400</v>
      </c>
      <c r="E734" s="52">
        <v>400</v>
      </c>
      <c r="F734" s="52">
        <v>0</v>
      </c>
      <c r="G734" s="52">
        <v>0</v>
      </c>
      <c r="H734" s="52">
        <v>0</v>
      </c>
      <c r="I734" s="52">
        <v>0</v>
      </c>
      <c r="J734" s="52">
        <v>0</v>
      </c>
      <c r="K734" s="52">
        <v>0</v>
      </c>
      <c r="L734" s="52">
        <v>0</v>
      </c>
      <c r="M734" s="52">
        <v>400</v>
      </c>
      <c r="N734" s="52">
        <v>0</v>
      </c>
      <c r="O734" s="52">
        <v>0</v>
      </c>
      <c r="P734" s="52">
        <v>0</v>
      </c>
      <c r="Q734" s="53">
        <v>0.30000000999999998</v>
      </c>
      <c r="R734" s="52">
        <v>2</v>
      </c>
      <c r="S734" s="53">
        <v>0.25</v>
      </c>
      <c r="T734" s="52">
        <v>5.0000004999999996</v>
      </c>
      <c r="U734" s="54">
        <v>1</v>
      </c>
    </row>
    <row r="735" spans="1:21" s="3" customFormat="1" ht="18" customHeight="1">
      <c r="A735" s="8" t="s">
        <v>813</v>
      </c>
      <c r="B735" s="52">
        <v>24</v>
      </c>
      <c r="C735" s="52">
        <v>4.3200002</v>
      </c>
      <c r="D735" s="52">
        <v>8.1599997999999996</v>
      </c>
      <c r="E735" s="52">
        <v>11.52</v>
      </c>
      <c r="F735" s="52">
        <v>0</v>
      </c>
      <c r="G735" s="52">
        <v>0</v>
      </c>
      <c r="H735" s="52">
        <v>0</v>
      </c>
      <c r="I735" s="52">
        <v>0</v>
      </c>
      <c r="J735" s="52">
        <v>0</v>
      </c>
      <c r="K735" s="52">
        <v>0</v>
      </c>
      <c r="L735" s="52">
        <v>0</v>
      </c>
      <c r="M735" s="52">
        <v>0</v>
      </c>
      <c r="N735" s="52">
        <v>0</v>
      </c>
      <c r="O735" s="52">
        <v>0</v>
      </c>
      <c r="P735" s="52">
        <v>0</v>
      </c>
      <c r="Q735" s="53">
        <v>0.14000000000000001</v>
      </c>
      <c r="R735" s="52">
        <v>1.8</v>
      </c>
      <c r="S735" s="53">
        <v>0.22000003000000001</v>
      </c>
      <c r="T735" s="52">
        <v>15.000000999999999</v>
      </c>
      <c r="U735" s="54">
        <v>1</v>
      </c>
    </row>
    <row r="736" spans="1:21" s="3" customFormat="1" ht="18" customHeight="1">
      <c r="A736" s="8" t="s">
        <v>814</v>
      </c>
      <c r="B736" s="52">
        <v>27</v>
      </c>
      <c r="C736" s="52">
        <v>6.48</v>
      </c>
      <c r="D736" s="52">
        <v>7.5599999000000002</v>
      </c>
      <c r="E736" s="52">
        <v>12.960001</v>
      </c>
      <c r="F736" s="52">
        <v>0</v>
      </c>
      <c r="G736" s="52">
        <v>0</v>
      </c>
      <c r="H736" s="52">
        <v>0</v>
      </c>
      <c r="I736" s="52">
        <v>0</v>
      </c>
      <c r="J736" s="52">
        <v>0</v>
      </c>
      <c r="K736" s="52">
        <v>0</v>
      </c>
      <c r="L736" s="52">
        <v>0</v>
      </c>
      <c r="M736" s="52">
        <v>0</v>
      </c>
      <c r="N736" s="52">
        <v>0</v>
      </c>
      <c r="O736" s="52">
        <v>0</v>
      </c>
      <c r="P736" s="52">
        <v>0</v>
      </c>
      <c r="Q736" s="53">
        <v>0.14000000000000001</v>
      </c>
      <c r="R736" s="52">
        <v>2</v>
      </c>
      <c r="S736" s="53">
        <v>0.31999999000000001</v>
      </c>
      <c r="T736" s="52">
        <v>17</v>
      </c>
      <c r="U736" s="54">
        <v>1</v>
      </c>
    </row>
    <row r="737" spans="1:21" s="3" customFormat="1" ht="18" customHeight="1">
      <c r="A737" s="8" t="s">
        <v>815</v>
      </c>
      <c r="B737" s="52">
        <v>220</v>
      </c>
      <c r="C737" s="52">
        <v>33</v>
      </c>
      <c r="D737" s="52">
        <v>110</v>
      </c>
      <c r="E737" s="52">
        <v>77.000007999999994</v>
      </c>
      <c r="F737" s="52">
        <v>0</v>
      </c>
      <c r="G737" s="52">
        <v>0</v>
      </c>
      <c r="H737" s="52">
        <v>0</v>
      </c>
      <c r="I737" s="52">
        <v>0</v>
      </c>
      <c r="J737" s="52">
        <v>0</v>
      </c>
      <c r="K737" s="52">
        <v>0</v>
      </c>
      <c r="L737" s="52">
        <v>0</v>
      </c>
      <c r="M737" s="52">
        <v>0</v>
      </c>
      <c r="N737" s="52">
        <v>0</v>
      </c>
      <c r="O737" s="52">
        <v>0</v>
      </c>
      <c r="P737" s="52">
        <v>0</v>
      </c>
      <c r="Q737" s="53">
        <v>0.27000001000000001</v>
      </c>
      <c r="R737" s="52">
        <v>2.0999998999999998</v>
      </c>
      <c r="S737" s="53">
        <v>0.24000001000000001</v>
      </c>
      <c r="T737" s="52">
        <v>1.0833333999999999</v>
      </c>
      <c r="U737" s="54">
        <v>0</v>
      </c>
    </row>
    <row r="738" spans="1:21" s="3" customFormat="1" ht="18" customHeight="1">
      <c r="A738" s="8" t="s">
        <v>816</v>
      </c>
      <c r="B738" s="52">
        <v>140</v>
      </c>
      <c r="C738" s="52">
        <v>7</v>
      </c>
      <c r="D738" s="52">
        <v>35</v>
      </c>
      <c r="E738" s="52">
        <v>98</v>
      </c>
      <c r="F738" s="52">
        <v>0</v>
      </c>
      <c r="G738" s="52">
        <v>0</v>
      </c>
      <c r="H738" s="52">
        <v>0</v>
      </c>
      <c r="I738" s="52">
        <v>0</v>
      </c>
      <c r="J738" s="52">
        <v>0</v>
      </c>
      <c r="K738" s="52">
        <v>0</v>
      </c>
      <c r="L738" s="52">
        <v>0</v>
      </c>
      <c r="M738" s="52">
        <v>0</v>
      </c>
      <c r="N738" s="52">
        <v>0</v>
      </c>
      <c r="O738" s="52">
        <v>0</v>
      </c>
      <c r="P738" s="52">
        <v>0</v>
      </c>
      <c r="Q738" s="53">
        <v>0.15000000999999999</v>
      </c>
      <c r="R738" s="52">
        <v>2</v>
      </c>
      <c r="S738" s="53">
        <v>0.14999998</v>
      </c>
      <c r="T738" s="52">
        <v>1</v>
      </c>
      <c r="U738" s="54">
        <v>0</v>
      </c>
    </row>
    <row r="739" spans="1:21" s="3" customFormat="1" ht="18" customHeight="1">
      <c r="A739" s="8" t="s">
        <v>817</v>
      </c>
      <c r="B739" s="52">
        <v>188</v>
      </c>
      <c r="C739" s="52">
        <v>9.4000006000000003</v>
      </c>
      <c r="D739" s="52">
        <v>37.600002000000003</v>
      </c>
      <c r="E739" s="52">
        <v>141</v>
      </c>
      <c r="F739" s="52">
        <v>0</v>
      </c>
      <c r="G739" s="52">
        <v>0</v>
      </c>
      <c r="H739" s="52">
        <v>0</v>
      </c>
      <c r="I739" s="52">
        <v>0</v>
      </c>
      <c r="J739" s="52">
        <v>0</v>
      </c>
      <c r="K739" s="52">
        <v>0</v>
      </c>
      <c r="L739" s="52">
        <v>0</v>
      </c>
      <c r="M739" s="52">
        <v>0</v>
      </c>
      <c r="N739" s="52">
        <v>0</v>
      </c>
      <c r="O739" s="52">
        <v>0</v>
      </c>
      <c r="P739" s="52">
        <v>0</v>
      </c>
      <c r="Q739" s="53">
        <v>0.31999999000000001</v>
      </c>
      <c r="R739" s="52">
        <v>2.5999998999999998</v>
      </c>
      <c r="S739" s="53">
        <v>0.24000001000000001</v>
      </c>
      <c r="T739" s="52">
        <v>1.0500001000000001</v>
      </c>
      <c r="U739" s="54">
        <v>0</v>
      </c>
    </row>
    <row r="740" spans="1:21" s="3" customFormat="1" ht="18" customHeight="1">
      <c r="A740" s="8" t="s">
        <v>818</v>
      </c>
      <c r="B740" s="52">
        <v>213</v>
      </c>
      <c r="C740" s="52">
        <v>21.300001000000002</v>
      </c>
      <c r="D740" s="52">
        <v>85.200005000000004</v>
      </c>
      <c r="E740" s="52">
        <v>106.5</v>
      </c>
      <c r="F740" s="52">
        <v>0</v>
      </c>
      <c r="G740" s="52">
        <v>0</v>
      </c>
      <c r="H740" s="52">
        <v>0</v>
      </c>
      <c r="I740" s="52">
        <v>0</v>
      </c>
      <c r="J740" s="52">
        <v>0</v>
      </c>
      <c r="K740" s="52">
        <v>0</v>
      </c>
      <c r="L740" s="52">
        <v>0</v>
      </c>
      <c r="M740" s="52">
        <v>0</v>
      </c>
      <c r="N740" s="52">
        <v>0</v>
      </c>
      <c r="O740" s="52">
        <v>0</v>
      </c>
      <c r="P740" s="52">
        <v>0</v>
      </c>
      <c r="Q740" s="53">
        <v>0.30000000999999998</v>
      </c>
      <c r="R740" s="52">
        <v>2.5</v>
      </c>
      <c r="S740" s="53">
        <v>0.20999998</v>
      </c>
      <c r="T740" s="52">
        <v>1</v>
      </c>
      <c r="U740" s="54">
        <v>0</v>
      </c>
    </row>
    <row r="741" spans="1:21" s="3" customFormat="1" ht="18" customHeight="1">
      <c r="A741" s="8" t="s">
        <v>819</v>
      </c>
      <c r="B741" s="52">
        <v>26</v>
      </c>
      <c r="C741" s="52">
        <v>0</v>
      </c>
      <c r="D741" s="52">
        <v>0</v>
      </c>
      <c r="E741" s="52">
        <v>0</v>
      </c>
      <c r="F741" s="52">
        <v>0</v>
      </c>
      <c r="G741" s="52">
        <v>26</v>
      </c>
      <c r="H741" s="52">
        <v>0</v>
      </c>
      <c r="I741" s="52">
        <v>0</v>
      </c>
      <c r="J741" s="52">
        <v>0</v>
      </c>
      <c r="K741" s="52">
        <v>0</v>
      </c>
      <c r="L741" s="52">
        <v>0</v>
      </c>
      <c r="M741" s="52">
        <v>0</v>
      </c>
      <c r="N741" s="52">
        <v>0</v>
      </c>
      <c r="O741" s="52">
        <v>0</v>
      </c>
      <c r="P741" s="52">
        <v>0</v>
      </c>
      <c r="Q741" s="53">
        <v>7.9999998000000003E-2</v>
      </c>
      <c r="R741" s="52">
        <v>2</v>
      </c>
      <c r="S741" s="53">
        <v>0.34000003000000001</v>
      </c>
      <c r="T741" s="52">
        <v>12.000000999999999</v>
      </c>
      <c r="U741" s="54">
        <v>1</v>
      </c>
    </row>
    <row r="742" spans="1:21" s="3" customFormat="1" ht="18" customHeight="1">
      <c r="A742" s="8" t="s">
        <v>820</v>
      </c>
      <c r="B742" s="52">
        <v>32</v>
      </c>
      <c r="C742" s="52">
        <v>0</v>
      </c>
      <c r="D742" s="52">
        <v>0</v>
      </c>
      <c r="E742" s="52">
        <v>0</v>
      </c>
      <c r="F742" s="52">
        <v>0</v>
      </c>
      <c r="G742" s="52">
        <v>32</v>
      </c>
      <c r="H742" s="52">
        <v>0</v>
      </c>
      <c r="I742" s="52">
        <v>0</v>
      </c>
      <c r="J742" s="52">
        <v>0</v>
      </c>
      <c r="K742" s="52">
        <v>0</v>
      </c>
      <c r="L742" s="52">
        <v>0</v>
      </c>
      <c r="M742" s="52">
        <v>0</v>
      </c>
      <c r="N742" s="52">
        <v>0</v>
      </c>
      <c r="O742" s="52">
        <v>0</v>
      </c>
      <c r="P742" s="52">
        <v>0</v>
      </c>
      <c r="Q742" s="53">
        <v>0.14000000000000001</v>
      </c>
      <c r="R742" s="52">
        <v>2.2000000000000002</v>
      </c>
      <c r="S742" s="53">
        <v>0.36000000999999998</v>
      </c>
      <c r="T742" s="52">
        <v>12.000000999999999</v>
      </c>
      <c r="U742" s="54">
        <v>1</v>
      </c>
    </row>
    <row r="743" spans="1:21" s="3" customFormat="1" ht="18" customHeight="1">
      <c r="A743" s="8" t="s">
        <v>821</v>
      </c>
      <c r="B743" s="52">
        <v>180</v>
      </c>
      <c r="C743" s="52">
        <v>21.6</v>
      </c>
      <c r="D743" s="52">
        <v>28.799999</v>
      </c>
      <c r="E743" s="52">
        <v>129.60001</v>
      </c>
      <c r="F743" s="52">
        <v>0</v>
      </c>
      <c r="G743" s="52">
        <v>0</v>
      </c>
      <c r="H743" s="52">
        <v>0</v>
      </c>
      <c r="I743" s="52">
        <v>0</v>
      </c>
      <c r="J743" s="52">
        <v>0</v>
      </c>
      <c r="K743" s="52">
        <v>0</v>
      </c>
      <c r="L743" s="52">
        <v>0</v>
      </c>
      <c r="M743" s="52">
        <v>0</v>
      </c>
      <c r="N743" s="52">
        <v>0</v>
      </c>
      <c r="O743" s="52">
        <v>0</v>
      </c>
      <c r="P743" s="52">
        <v>0</v>
      </c>
      <c r="Q743" s="53">
        <v>0.22</v>
      </c>
      <c r="R743" s="52">
        <v>2</v>
      </c>
      <c r="S743" s="53">
        <v>0.19999998999999999</v>
      </c>
      <c r="T743" s="52">
        <v>1</v>
      </c>
      <c r="U743" s="54">
        <v>0</v>
      </c>
    </row>
    <row r="744" spans="1:21" s="3" customFormat="1" ht="18" customHeight="1">
      <c r="A744" s="8" t="s">
        <v>822</v>
      </c>
      <c r="B744" s="52">
        <v>470</v>
      </c>
      <c r="C744" s="52">
        <v>70.5</v>
      </c>
      <c r="D744" s="52">
        <v>70.5</v>
      </c>
      <c r="E744" s="52">
        <v>329</v>
      </c>
      <c r="F744" s="52">
        <v>0</v>
      </c>
      <c r="G744" s="52">
        <v>0</v>
      </c>
      <c r="H744" s="52">
        <v>0</v>
      </c>
      <c r="I744" s="52">
        <v>0</v>
      </c>
      <c r="J744" s="52">
        <v>0</v>
      </c>
      <c r="K744" s="52">
        <v>0</v>
      </c>
      <c r="L744" s="52">
        <v>0</v>
      </c>
      <c r="M744" s="52">
        <v>0</v>
      </c>
      <c r="N744" s="52">
        <v>0</v>
      </c>
      <c r="O744" s="52">
        <v>0</v>
      </c>
      <c r="P744" s="52">
        <v>0</v>
      </c>
      <c r="Q744" s="53">
        <v>5.0000001000000002E-2</v>
      </c>
      <c r="R744" s="52">
        <v>1.5</v>
      </c>
      <c r="S744" s="53">
        <v>0.10000002</v>
      </c>
      <c r="T744" s="52">
        <v>0.83333336999999996</v>
      </c>
      <c r="U744" s="54">
        <v>0</v>
      </c>
    </row>
    <row r="745" spans="1:21" s="3" customFormat="1" ht="18" customHeight="1">
      <c r="A745" s="8" t="s">
        <v>823</v>
      </c>
      <c r="B745" s="52">
        <v>0</v>
      </c>
      <c r="C745" s="52">
        <v>0</v>
      </c>
      <c r="D745" s="52">
        <v>0</v>
      </c>
      <c r="E745" s="52">
        <v>0</v>
      </c>
      <c r="F745" s="52">
        <v>0</v>
      </c>
      <c r="G745" s="52">
        <v>0</v>
      </c>
      <c r="H745" s="52">
        <v>0</v>
      </c>
      <c r="I745" s="52">
        <v>0</v>
      </c>
      <c r="J745" s="52">
        <v>0</v>
      </c>
      <c r="K745" s="52">
        <v>0</v>
      </c>
      <c r="L745" s="52">
        <v>0</v>
      </c>
      <c r="M745" s="52">
        <v>0</v>
      </c>
      <c r="N745" s="52">
        <v>0</v>
      </c>
      <c r="O745" s="52">
        <v>0</v>
      </c>
      <c r="P745" s="52">
        <v>0</v>
      </c>
      <c r="Q745" s="53">
        <v>0</v>
      </c>
      <c r="R745" s="52">
        <v>0</v>
      </c>
      <c r="S745" s="53">
        <v>0</v>
      </c>
      <c r="T745" s="52">
        <v>0</v>
      </c>
      <c r="U745" s="54">
        <v>0</v>
      </c>
    </row>
    <row r="746" spans="1:21" s="3" customFormat="1" ht="18" customHeight="1">
      <c r="A746" s="8" t="s">
        <v>824</v>
      </c>
      <c r="B746" s="52">
        <v>17</v>
      </c>
      <c r="C746" s="52">
        <v>10.200001</v>
      </c>
      <c r="D746" s="52">
        <v>1.7</v>
      </c>
      <c r="E746" s="52">
        <v>5.0999993999999997</v>
      </c>
      <c r="F746" s="52">
        <v>0</v>
      </c>
      <c r="G746" s="52">
        <v>0</v>
      </c>
      <c r="H746" s="52">
        <v>0</v>
      </c>
      <c r="I746" s="52">
        <v>0</v>
      </c>
      <c r="J746" s="52">
        <v>0</v>
      </c>
      <c r="K746" s="52">
        <v>0</v>
      </c>
      <c r="L746" s="52">
        <v>0</v>
      </c>
      <c r="M746" s="52">
        <v>0</v>
      </c>
      <c r="N746" s="52">
        <v>0</v>
      </c>
      <c r="O746" s="52">
        <v>0</v>
      </c>
      <c r="P746" s="52">
        <v>0</v>
      </c>
      <c r="Q746" s="53">
        <v>0.15000000999999999</v>
      </c>
      <c r="R746" s="52">
        <v>1.5</v>
      </c>
      <c r="S746" s="53">
        <v>0.11000001</v>
      </c>
      <c r="T746" s="52">
        <v>14.383334</v>
      </c>
      <c r="U746" s="54">
        <v>1</v>
      </c>
    </row>
    <row r="747" spans="1:21" s="3" customFormat="1" ht="18" customHeight="1">
      <c r="A747" s="8" t="s">
        <v>825</v>
      </c>
      <c r="B747" s="52">
        <v>18</v>
      </c>
      <c r="C747" s="52">
        <v>14.400001</v>
      </c>
      <c r="D747" s="52">
        <v>1.8000001000000001</v>
      </c>
      <c r="E747" s="52">
        <v>1.7999993999999999</v>
      </c>
      <c r="F747" s="52">
        <v>0</v>
      </c>
      <c r="G747" s="52">
        <v>0</v>
      </c>
      <c r="H747" s="52">
        <v>0</v>
      </c>
      <c r="I747" s="52">
        <v>0</v>
      </c>
      <c r="J747" s="52">
        <v>0</v>
      </c>
      <c r="K747" s="52">
        <v>0</v>
      </c>
      <c r="L747" s="52">
        <v>0</v>
      </c>
      <c r="M747" s="52">
        <v>0</v>
      </c>
      <c r="N747" s="52">
        <v>0</v>
      </c>
      <c r="O747" s="52">
        <v>0</v>
      </c>
      <c r="P747" s="52">
        <v>0</v>
      </c>
      <c r="Q747" s="53">
        <v>0.19</v>
      </c>
      <c r="R747" s="52">
        <v>2</v>
      </c>
      <c r="S747" s="53">
        <v>9.0000032999999993E-2</v>
      </c>
      <c r="T747" s="52">
        <v>14.383334</v>
      </c>
      <c r="U747" s="54">
        <v>1</v>
      </c>
    </row>
    <row r="748" spans="1:21" s="3" customFormat="1" ht="18" customHeight="1">
      <c r="A748" s="8" t="s">
        <v>826</v>
      </c>
      <c r="B748" s="52">
        <v>0</v>
      </c>
      <c r="C748" s="52">
        <v>0</v>
      </c>
      <c r="D748" s="52">
        <v>0</v>
      </c>
      <c r="E748" s="52">
        <v>0</v>
      </c>
      <c r="F748" s="52">
        <v>0</v>
      </c>
      <c r="G748" s="52">
        <v>0</v>
      </c>
      <c r="H748" s="52">
        <v>0</v>
      </c>
      <c r="I748" s="52">
        <v>0</v>
      </c>
      <c r="J748" s="52">
        <v>0</v>
      </c>
      <c r="K748" s="52">
        <v>0</v>
      </c>
      <c r="L748" s="52">
        <v>0</v>
      </c>
      <c r="M748" s="52">
        <v>0</v>
      </c>
      <c r="N748" s="52">
        <v>0</v>
      </c>
      <c r="O748" s="52">
        <v>0</v>
      </c>
      <c r="P748" s="52">
        <v>0</v>
      </c>
      <c r="Q748" s="53">
        <v>0</v>
      </c>
      <c r="R748" s="52">
        <v>0</v>
      </c>
      <c r="S748" s="53">
        <v>0</v>
      </c>
      <c r="T748" s="52">
        <v>0</v>
      </c>
      <c r="U748" s="54">
        <v>0</v>
      </c>
    </row>
    <row r="749" spans="1:21" s="3" customFormat="1" ht="18" customHeight="1">
      <c r="A749" s="8" t="s">
        <v>827</v>
      </c>
      <c r="B749" s="52">
        <v>333</v>
      </c>
      <c r="C749" s="52">
        <v>99.900002000000001</v>
      </c>
      <c r="D749" s="52">
        <v>99.900002000000001</v>
      </c>
      <c r="E749" s="52">
        <v>133.19999999999999</v>
      </c>
      <c r="F749" s="52">
        <v>0</v>
      </c>
      <c r="G749" s="52">
        <v>0</v>
      </c>
      <c r="H749" s="52">
        <v>0</v>
      </c>
      <c r="I749" s="52">
        <v>0</v>
      </c>
      <c r="J749" s="52">
        <v>0</v>
      </c>
      <c r="K749" s="52">
        <v>0</v>
      </c>
      <c r="L749" s="52">
        <v>0</v>
      </c>
      <c r="M749" s="52">
        <v>0</v>
      </c>
      <c r="N749" s="52">
        <v>0</v>
      </c>
      <c r="O749" s="52">
        <v>0</v>
      </c>
      <c r="P749" s="52">
        <v>0</v>
      </c>
      <c r="Q749" s="53">
        <v>0.23</v>
      </c>
      <c r="R749" s="52">
        <v>2.2999999999999998</v>
      </c>
      <c r="S749" s="53">
        <v>0.33000003999999999</v>
      </c>
      <c r="T749" s="52">
        <v>0.83333336999999996</v>
      </c>
      <c r="U749" s="54">
        <v>0</v>
      </c>
    </row>
    <row r="750" spans="1:21" s="3" customFormat="1" ht="18" customHeight="1">
      <c r="A750" s="8" t="s">
        <v>828</v>
      </c>
      <c r="B750" s="52">
        <v>0</v>
      </c>
      <c r="C750" s="52">
        <v>0</v>
      </c>
      <c r="D750" s="52">
        <v>0</v>
      </c>
      <c r="E750" s="52">
        <v>0</v>
      </c>
      <c r="F750" s="52">
        <v>0</v>
      </c>
      <c r="G750" s="52">
        <v>0</v>
      </c>
      <c r="H750" s="52">
        <v>0</v>
      </c>
      <c r="I750" s="52">
        <v>0</v>
      </c>
      <c r="J750" s="52">
        <v>0</v>
      </c>
      <c r="K750" s="52">
        <v>0</v>
      </c>
      <c r="L750" s="52">
        <v>0</v>
      </c>
      <c r="M750" s="52">
        <v>0</v>
      </c>
      <c r="N750" s="52">
        <v>0</v>
      </c>
      <c r="O750" s="52">
        <v>0</v>
      </c>
      <c r="P750" s="52">
        <v>0</v>
      </c>
      <c r="Q750" s="53">
        <v>0</v>
      </c>
      <c r="R750" s="52">
        <v>0</v>
      </c>
      <c r="S750" s="53">
        <v>0</v>
      </c>
      <c r="T750" s="52">
        <v>0</v>
      </c>
      <c r="U750" s="54">
        <v>0</v>
      </c>
    </row>
    <row r="751" spans="1:21" s="3" customFormat="1" ht="18" customHeight="1">
      <c r="A751" s="8" t="s">
        <v>829</v>
      </c>
      <c r="B751" s="52">
        <v>220.00002000000001</v>
      </c>
      <c r="C751" s="52">
        <v>48.400002000000001</v>
      </c>
      <c r="D751" s="52">
        <v>70.400002000000001</v>
      </c>
      <c r="E751" s="52">
        <v>101.20001000000001</v>
      </c>
      <c r="F751" s="52">
        <v>0</v>
      </c>
      <c r="G751" s="52">
        <v>0</v>
      </c>
      <c r="H751" s="52">
        <v>0</v>
      </c>
      <c r="I751" s="52">
        <v>0</v>
      </c>
      <c r="J751" s="52">
        <v>0</v>
      </c>
      <c r="K751" s="52">
        <v>0</v>
      </c>
      <c r="L751" s="52">
        <v>0</v>
      </c>
      <c r="M751" s="52">
        <v>0</v>
      </c>
      <c r="N751" s="52">
        <v>0</v>
      </c>
      <c r="O751" s="52">
        <v>0</v>
      </c>
      <c r="P751" s="52">
        <v>0</v>
      </c>
      <c r="Q751" s="53">
        <v>0.18000000999999999</v>
      </c>
      <c r="R751" s="52">
        <v>1.6</v>
      </c>
      <c r="S751" s="53">
        <v>0.30000000999999998</v>
      </c>
      <c r="T751" s="52">
        <v>1.2</v>
      </c>
      <c r="U751" s="54">
        <v>0</v>
      </c>
    </row>
    <row r="752" spans="1:21" s="3" customFormat="1" ht="18" customHeight="1">
      <c r="A752" s="8" t="s">
        <v>830</v>
      </c>
      <c r="B752" s="52">
        <v>250</v>
      </c>
      <c r="C752" s="52">
        <v>55</v>
      </c>
      <c r="D752" s="52">
        <v>80</v>
      </c>
      <c r="E752" s="52">
        <v>115.00001</v>
      </c>
      <c r="F752" s="52">
        <v>0</v>
      </c>
      <c r="G752" s="52">
        <v>0</v>
      </c>
      <c r="H752" s="52">
        <v>0</v>
      </c>
      <c r="I752" s="52">
        <v>0</v>
      </c>
      <c r="J752" s="52">
        <v>0</v>
      </c>
      <c r="K752" s="52">
        <v>0</v>
      </c>
      <c r="L752" s="52">
        <v>0</v>
      </c>
      <c r="M752" s="52">
        <v>0</v>
      </c>
      <c r="N752" s="52">
        <v>0</v>
      </c>
      <c r="O752" s="52">
        <v>0</v>
      </c>
      <c r="P752" s="52">
        <v>0</v>
      </c>
      <c r="Q752" s="53">
        <v>0.2</v>
      </c>
      <c r="R752" s="52">
        <v>1.8</v>
      </c>
      <c r="S752" s="53">
        <v>0.34000003000000001</v>
      </c>
      <c r="T752" s="52">
        <v>1.2</v>
      </c>
      <c r="U752" s="54">
        <v>0</v>
      </c>
    </row>
    <row r="753" spans="1:21" s="3" customFormat="1" ht="18" customHeight="1">
      <c r="A753" s="8" t="s">
        <v>831</v>
      </c>
      <c r="B753" s="52">
        <v>35</v>
      </c>
      <c r="C753" s="52">
        <v>0</v>
      </c>
      <c r="D753" s="52">
        <v>0</v>
      </c>
      <c r="E753" s="52">
        <v>0</v>
      </c>
      <c r="F753" s="52">
        <v>35</v>
      </c>
      <c r="G753" s="52">
        <v>0</v>
      </c>
      <c r="H753" s="52">
        <v>0</v>
      </c>
      <c r="I753" s="52">
        <v>0</v>
      </c>
      <c r="J753" s="52">
        <v>0</v>
      </c>
      <c r="K753" s="52">
        <v>0</v>
      </c>
      <c r="L753" s="52">
        <v>0</v>
      </c>
      <c r="M753" s="52">
        <v>0</v>
      </c>
      <c r="N753" s="52">
        <v>0</v>
      </c>
      <c r="O753" s="52">
        <v>0</v>
      </c>
      <c r="P753" s="52">
        <v>0</v>
      </c>
      <c r="Q753" s="53">
        <v>0.2</v>
      </c>
      <c r="R753" s="52">
        <v>2.5</v>
      </c>
      <c r="S753" s="53">
        <v>0.10000002</v>
      </c>
      <c r="T753" s="52">
        <v>1</v>
      </c>
      <c r="U753" s="54">
        <v>1</v>
      </c>
    </row>
    <row r="754" spans="1:21" s="3" customFormat="1" ht="18" customHeight="1">
      <c r="A754" s="8" t="s">
        <v>832</v>
      </c>
      <c r="B754" s="52">
        <v>224.99997999999999</v>
      </c>
      <c r="C754" s="52">
        <v>180</v>
      </c>
      <c r="D754" s="52">
        <v>33.75</v>
      </c>
      <c r="E754" s="52">
        <v>11.24999</v>
      </c>
      <c r="F754" s="52">
        <v>0</v>
      </c>
      <c r="G754" s="52">
        <v>0</v>
      </c>
      <c r="H754" s="52">
        <v>0</v>
      </c>
      <c r="I754" s="52">
        <v>0</v>
      </c>
      <c r="J754" s="52">
        <v>0</v>
      </c>
      <c r="K754" s="52">
        <v>0</v>
      </c>
      <c r="L754" s="52">
        <v>0</v>
      </c>
      <c r="M754" s="52">
        <v>0</v>
      </c>
      <c r="N754" s="52">
        <v>0</v>
      </c>
      <c r="O754" s="52">
        <v>0</v>
      </c>
      <c r="P754" s="52">
        <v>0</v>
      </c>
      <c r="Q754" s="53">
        <v>0.2</v>
      </c>
      <c r="R754" s="52">
        <v>2</v>
      </c>
      <c r="S754" s="53">
        <v>0.25</v>
      </c>
      <c r="T754" s="52">
        <v>1.5000001000000001</v>
      </c>
      <c r="U754" s="54">
        <v>1</v>
      </c>
    </row>
    <row r="755" spans="1:21" s="3" customFormat="1" ht="18" customHeight="1">
      <c r="A755" s="8" t="s">
        <v>833</v>
      </c>
      <c r="B755" s="52">
        <v>273</v>
      </c>
      <c r="C755" s="52">
        <v>245.7</v>
      </c>
      <c r="D755" s="52">
        <v>27.300001000000002</v>
      </c>
      <c r="E755" s="52">
        <v>0</v>
      </c>
      <c r="F755" s="52">
        <v>0</v>
      </c>
      <c r="G755" s="52">
        <v>0</v>
      </c>
      <c r="H755" s="52">
        <v>0</v>
      </c>
      <c r="I755" s="52">
        <v>0</v>
      </c>
      <c r="J755" s="52">
        <v>0</v>
      </c>
      <c r="K755" s="52">
        <v>0</v>
      </c>
      <c r="L755" s="52">
        <v>0</v>
      </c>
      <c r="M755" s="52">
        <v>0</v>
      </c>
      <c r="N755" s="52">
        <v>0</v>
      </c>
      <c r="O755" s="52">
        <v>0</v>
      </c>
      <c r="P755" s="52">
        <v>0</v>
      </c>
      <c r="Q755" s="53">
        <v>0.2</v>
      </c>
      <c r="R755" s="52">
        <v>2</v>
      </c>
      <c r="S755" s="53">
        <v>0.25</v>
      </c>
      <c r="T755" s="52">
        <v>2</v>
      </c>
      <c r="U755" s="54">
        <v>1</v>
      </c>
    </row>
    <row r="756" spans="1:21" s="3" customFormat="1" ht="18" customHeight="1">
      <c r="A756" s="8" t="s">
        <v>834</v>
      </c>
      <c r="B756" s="52">
        <v>85</v>
      </c>
      <c r="C756" s="52">
        <v>0</v>
      </c>
      <c r="D756" s="52">
        <v>0</v>
      </c>
      <c r="E756" s="52">
        <v>0</v>
      </c>
      <c r="F756" s="52">
        <v>0</v>
      </c>
      <c r="G756" s="52">
        <v>0</v>
      </c>
      <c r="H756" s="52">
        <v>85</v>
      </c>
      <c r="I756" s="52">
        <v>0</v>
      </c>
      <c r="J756" s="52">
        <v>0</v>
      </c>
      <c r="K756" s="52">
        <v>0</v>
      </c>
      <c r="L756" s="52">
        <v>0</v>
      </c>
      <c r="M756" s="52">
        <v>0</v>
      </c>
      <c r="N756" s="52">
        <v>0</v>
      </c>
      <c r="O756" s="52">
        <v>0</v>
      </c>
      <c r="P756" s="52">
        <v>0</v>
      </c>
      <c r="Q756" s="53">
        <v>0.34999998999999998</v>
      </c>
      <c r="R756" s="52">
        <v>2.5</v>
      </c>
      <c r="S756" s="53">
        <v>0.25</v>
      </c>
      <c r="T756" s="52">
        <v>0.15000000999999999</v>
      </c>
      <c r="U756" s="54">
        <v>1</v>
      </c>
    </row>
    <row r="757" spans="1:21" s="3" customFormat="1" ht="18" customHeight="1">
      <c r="A757" s="8" t="s">
        <v>835</v>
      </c>
      <c r="B757" s="52">
        <v>0</v>
      </c>
      <c r="C757" s="52">
        <v>0</v>
      </c>
      <c r="D757" s="52">
        <v>0</v>
      </c>
      <c r="E757" s="52">
        <v>0</v>
      </c>
      <c r="F757" s="52">
        <v>0</v>
      </c>
      <c r="G757" s="52">
        <v>0</v>
      </c>
      <c r="H757" s="52">
        <v>0</v>
      </c>
      <c r="I757" s="52">
        <v>0</v>
      </c>
      <c r="J757" s="52">
        <v>0</v>
      </c>
      <c r="K757" s="52">
        <v>0</v>
      </c>
      <c r="L757" s="52">
        <v>0</v>
      </c>
      <c r="M757" s="52">
        <v>0</v>
      </c>
      <c r="N757" s="52">
        <v>0</v>
      </c>
      <c r="O757" s="52">
        <v>0</v>
      </c>
      <c r="P757" s="52">
        <v>0</v>
      </c>
      <c r="Q757" s="53">
        <v>0</v>
      </c>
      <c r="R757" s="52">
        <v>0</v>
      </c>
      <c r="S757" s="53">
        <v>0</v>
      </c>
      <c r="T757" s="52">
        <v>0</v>
      </c>
      <c r="U757" s="54">
        <v>0</v>
      </c>
    </row>
    <row r="758" spans="1:21" s="3" customFormat="1" ht="18" customHeight="1">
      <c r="A758" s="8" t="s">
        <v>836</v>
      </c>
      <c r="B758" s="52">
        <v>250</v>
      </c>
      <c r="C758" s="52">
        <v>120</v>
      </c>
      <c r="D758" s="52">
        <v>60</v>
      </c>
      <c r="E758" s="52">
        <v>70.000007999999994</v>
      </c>
      <c r="F758" s="52">
        <v>0</v>
      </c>
      <c r="G758" s="52">
        <v>0</v>
      </c>
      <c r="H758" s="52">
        <v>0</v>
      </c>
      <c r="I758" s="52">
        <v>0</v>
      </c>
      <c r="J758" s="52">
        <v>0</v>
      </c>
      <c r="K758" s="52">
        <v>0</v>
      </c>
      <c r="L758" s="52">
        <v>0</v>
      </c>
      <c r="M758" s="52">
        <v>0</v>
      </c>
      <c r="N758" s="52">
        <v>0</v>
      </c>
      <c r="O758" s="52">
        <v>0</v>
      </c>
      <c r="P758" s="52">
        <v>0</v>
      </c>
      <c r="Q758" s="53">
        <v>0.25999999000000001</v>
      </c>
      <c r="R758" s="52">
        <v>2.5999998999999998</v>
      </c>
      <c r="S758" s="53">
        <v>0.25999999000000001</v>
      </c>
      <c r="T758" s="52">
        <v>0.91666669000000001</v>
      </c>
      <c r="U758" s="54">
        <v>0</v>
      </c>
    </row>
    <row r="759" spans="1:21" s="3" customFormat="1" ht="18" customHeight="1">
      <c r="A759" s="8" t="s">
        <v>837</v>
      </c>
      <c r="B759" s="52">
        <v>0</v>
      </c>
      <c r="C759" s="52">
        <v>0</v>
      </c>
      <c r="D759" s="52">
        <v>0</v>
      </c>
      <c r="E759" s="52">
        <v>0</v>
      </c>
      <c r="F759" s="52">
        <v>0</v>
      </c>
      <c r="G759" s="52">
        <v>0</v>
      </c>
      <c r="H759" s="52">
        <v>0</v>
      </c>
      <c r="I759" s="52">
        <v>0</v>
      </c>
      <c r="J759" s="52">
        <v>0</v>
      </c>
      <c r="K759" s="52">
        <v>0</v>
      </c>
      <c r="L759" s="52">
        <v>0</v>
      </c>
      <c r="M759" s="52">
        <v>0</v>
      </c>
      <c r="N759" s="52">
        <v>0</v>
      </c>
      <c r="O759" s="52">
        <v>0</v>
      </c>
      <c r="P759" s="52">
        <v>0</v>
      </c>
      <c r="Q759" s="53">
        <v>0</v>
      </c>
      <c r="R759" s="52">
        <v>0</v>
      </c>
      <c r="S759" s="53">
        <v>0</v>
      </c>
      <c r="T759" s="52">
        <v>0</v>
      </c>
      <c r="U759" s="54">
        <v>0</v>
      </c>
    </row>
    <row r="760" spans="1:21" s="3" customFormat="1" ht="18" customHeight="1">
      <c r="A760" s="8" t="s">
        <v>838</v>
      </c>
      <c r="B760" s="52">
        <v>259</v>
      </c>
      <c r="C760" s="52">
        <v>132.09</v>
      </c>
      <c r="D760" s="52">
        <v>7.77</v>
      </c>
      <c r="E760" s="52">
        <v>119.14001</v>
      </c>
      <c r="F760" s="52">
        <v>0</v>
      </c>
      <c r="G760" s="52">
        <v>0</v>
      </c>
      <c r="H760" s="52">
        <v>0</v>
      </c>
      <c r="I760" s="52">
        <v>0</v>
      </c>
      <c r="J760" s="52">
        <v>0</v>
      </c>
      <c r="K760" s="52">
        <v>0</v>
      </c>
      <c r="L760" s="52">
        <v>0</v>
      </c>
      <c r="M760" s="52">
        <v>0</v>
      </c>
      <c r="N760" s="52">
        <v>0</v>
      </c>
      <c r="O760" s="52">
        <v>0</v>
      </c>
      <c r="P760" s="52">
        <v>0</v>
      </c>
      <c r="Q760" s="53">
        <v>0.17</v>
      </c>
      <c r="R760" s="52">
        <v>1.9</v>
      </c>
      <c r="S760" s="53">
        <v>0.33000003999999999</v>
      </c>
      <c r="T760" s="52">
        <v>1</v>
      </c>
      <c r="U760" s="54">
        <v>0</v>
      </c>
    </row>
    <row r="761" spans="1:21" s="3" customFormat="1" ht="18" customHeight="1">
      <c r="A761" s="8" t="s">
        <v>839</v>
      </c>
      <c r="B761" s="52">
        <v>120</v>
      </c>
      <c r="C761" s="52">
        <v>24</v>
      </c>
      <c r="D761" s="52">
        <v>40.799999</v>
      </c>
      <c r="E761" s="52">
        <v>55.199997000000003</v>
      </c>
      <c r="F761" s="52">
        <v>0</v>
      </c>
      <c r="G761" s="52">
        <v>0</v>
      </c>
      <c r="H761" s="52">
        <v>0</v>
      </c>
      <c r="I761" s="52">
        <v>0</v>
      </c>
      <c r="J761" s="52">
        <v>0</v>
      </c>
      <c r="K761" s="52">
        <v>0</v>
      </c>
      <c r="L761" s="52">
        <v>0</v>
      </c>
      <c r="M761" s="52">
        <v>0</v>
      </c>
      <c r="N761" s="52">
        <v>0</v>
      </c>
      <c r="O761" s="52">
        <v>0</v>
      </c>
      <c r="P761" s="52">
        <v>0</v>
      </c>
      <c r="Q761" s="53">
        <v>0.2</v>
      </c>
      <c r="R761" s="52">
        <v>2.4000001000000002</v>
      </c>
      <c r="S761" s="53">
        <v>0.18000000999999999</v>
      </c>
      <c r="T761" s="52">
        <v>1.1666666999999999</v>
      </c>
      <c r="U761" s="54">
        <v>0</v>
      </c>
    </row>
    <row r="762" spans="1:21" s="3" customFormat="1" ht="18" customHeight="1">
      <c r="A762" s="8" t="s">
        <v>840</v>
      </c>
      <c r="B762" s="52">
        <v>30</v>
      </c>
      <c r="C762" s="52">
        <v>12</v>
      </c>
      <c r="D762" s="52">
        <v>18</v>
      </c>
      <c r="E762" s="52">
        <v>0</v>
      </c>
      <c r="F762" s="52">
        <v>0</v>
      </c>
      <c r="G762" s="52">
        <v>0</v>
      </c>
      <c r="H762" s="52">
        <v>0</v>
      </c>
      <c r="I762" s="52">
        <v>0</v>
      </c>
      <c r="J762" s="52">
        <v>0</v>
      </c>
      <c r="K762" s="52">
        <v>0</v>
      </c>
      <c r="L762" s="52">
        <v>0</v>
      </c>
      <c r="M762" s="52">
        <v>0</v>
      </c>
      <c r="N762" s="52">
        <v>0</v>
      </c>
      <c r="O762" s="52">
        <v>0</v>
      </c>
      <c r="P762" s="52">
        <v>0</v>
      </c>
      <c r="Q762" s="53">
        <v>0.02</v>
      </c>
      <c r="R762" s="52">
        <v>1.5</v>
      </c>
      <c r="S762" s="53">
        <v>0.19999998999999999</v>
      </c>
      <c r="T762" s="52">
        <v>5.0000004999999996</v>
      </c>
      <c r="U762" s="54">
        <v>1</v>
      </c>
    </row>
    <row r="763" spans="1:21" s="3" customFormat="1" ht="18" customHeight="1">
      <c r="A763" s="8" t="s">
        <v>841</v>
      </c>
      <c r="B763" s="52">
        <v>30</v>
      </c>
      <c r="C763" s="52">
        <v>12</v>
      </c>
      <c r="D763" s="52">
        <v>18</v>
      </c>
      <c r="E763" s="52">
        <v>0</v>
      </c>
      <c r="F763" s="52">
        <v>0</v>
      </c>
      <c r="G763" s="52">
        <v>0</v>
      </c>
      <c r="H763" s="52">
        <v>0</v>
      </c>
      <c r="I763" s="52">
        <v>0</v>
      </c>
      <c r="J763" s="52">
        <v>0</v>
      </c>
      <c r="K763" s="52">
        <v>0</v>
      </c>
      <c r="L763" s="52">
        <v>0</v>
      </c>
      <c r="M763" s="52">
        <v>0</v>
      </c>
      <c r="N763" s="52">
        <v>0</v>
      </c>
      <c r="O763" s="52">
        <v>0</v>
      </c>
      <c r="P763" s="52">
        <v>0</v>
      </c>
      <c r="Q763" s="53">
        <v>7.9999998000000003E-2</v>
      </c>
      <c r="R763" s="52">
        <v>1.8</v>
      </c>
      <c r="S763" s="53">
        <v>0.41999996000000001</v>
      </c>
      <c r="T763" s="52">
        <v>5.0000004999999996</v>
      </c>
      <c r="U763" s="54">
        <v>1</v>
      </c>
    </row>
    <row r="764" spans="1:21" s="3" customFormat="1" ht="18" customHeight="1">
      <c r="A764" s="8" t="s">
        <v>842</v>
      </c>
      <c r="B764" s="52">
        <v>0</v>
      </c>
      <c r="C764" s="52">
        <v>0</v>
      </c>
      <c r="D764" s="52">
        <v>0</v>
      </c>
      <c r="E764" s="52">
        <v>0</v>
      </c>
      <c r="F764" s="52">
        <v>0</v>
      </c>
      <c r="G764" s="52">
        <v>0</v>
      </c>
      <c r="H764" s="52">
        <v>0</v>
      </c>
      <c r="I764" s="52">
        <v>0</v>
      </c>
      <c r="J764" s="52">
        <v>0</v>
      </c>
      <c r="K764" s="52">
        <v>0</v>
      </c>
      <c r="L764" s="52">
        <v>0</v>
      </c>
      <c r="M764" s="52">
        <v>0</v>
      </c>
      <c r="N764" s="52">
        <v>0</v>
      </c>
      <c r="O764" s="52">
        <v>0</v>
      </c>
      <c r="P764" s="52">
        <v>0</v>
      </c>
      <c r="Q764" s="53">
        <v>0</v>
      </c>
      <c r="R764" s="52">
        <v>0</v>
      </c>
      <c r="S764" s="53">
        <v>0</v>
      </c>
      <c r="T764" s="52">
        <v>0</v>
      </c>
      <c r="U764" s="54">
        <v>0</v>
      </c>
    </row>
    <row r="765" spans="1:21" s="3" customFormat="1" ht="18" customHeight="1">
      <c r="A765" s="8" t="s">
        <v>843</v>
      </c>
      <c r="B765" s="52">
        <v>200</v>
      </c>
      <c r="C765" s="52">
        <v>25</v>
      </c>
      <c r="D765" s="52">
        <v>0</v>
      </c>
      <c r="E765" s="52">
        <v>0</v>
      </c>
      <c r="F765" s="52">
        <v>0</v>
      </c>
      <c r="G765" s="52">
        <v>0</v>
      </c>
      <c r="H765" s="52">
        <v>0</v>
      </c>
      <c r="I765" s="52">
        <v>0</v>
      </c>
      <c r="J765" s="52">
        <v>175</v>
      </c>
      <c r="K765" s="52">
        <v>0</v>
      </c>
      <c r="L765" s="52">
        <v>0</v>
      </c>
      <c r="M765" s="52">
        <v>0</v>
      </c>
      <c r="N765" s="52">
        <v>0</v>
      </c>
      <c r="O765" s="52">
        <v>0</v>
      </c>
      <c r="P765" s="52">
        <v>0</v>
      </c>
      <c r="Q765" s="53">
        <v>0.17</v>
      </c>
      <c r="R765" s="52">
        <v>2.5</v>
      </c>
      <c r="S765" s="53">
        <v>0.28999996</v>
      </c>
      <c r="T765" s="52">
        <v>1.6666666999999999</v>
      </c>
      <c r="U765" s="54">
        <v>1</v>
      </c>
    </row>
    <row r="766" spans="1:21" s="3" customFormat="1" ht="18" customHeight="1">
      <c r="A766" s="8" t="s">
        <v>844</v>
      </c>
      <c r="B766" s="52">
        <v>298</v>
      </c>
      <c r="C766" s="52">
        <v>80</v>
      </c>
      <c r="D766" s="52">
        <v>0</v>
      </c>
      <c r="E766" s="52">
        <v>68</v>
      </c>
      <c r="F766" s="52">
        <v>150</v>
      </c>
      <c r="G766" s="52">
        <v>0</v>
      </c>
      <c r="H766" s="52">
        <v>0</v>
      </c>
      <c r="I766" s="52">
        <v>0</v>
      </c>
      <c r="J766" s="52">
        <v>0</v>
      </c>
      <c r="K766" s="52">
        <v>0</v>
      </c>
      <c r="L766" s="52">
        <v>0</v>
      </c>
      <c r="M766" s="52">
        <v>0</v>
      </c>
      <c r="N766" s="52">
        <v>0</v>
      </c>
      <c r="O766" s="52">
        <v>0</v>
      </c>
      <c r="P766" s="52">
        <v>0</v>
      </c>
      <c r="Q766" s="53">
        <v>0.1</v>
      </c>
      <c r="R766" s="52">
        <v>2</v>
      </c>
      <c r="S766" s="53">
        <v>0.30000000999999998</v>
      </c>
      <c r="T766" s="52">
        <v>0.83333336999999996</v>
      </c>
      <c r="U766" s="54">
        <v>0</v>
      </c>
    </row>
    <row r="767" spans="1:21" s="3" customFormat="1" ht="18" customHeight="1">
      <c r="A767" s="8" t="s">
        <v>845</v>
      </c>
      <c r="B767" s="52">
        <v>30</v>
      </c>
      <c r="C767" s="52">
        <v>4.5</v>
      </c>
      <c r="D767" s="52">
        <v>6</v>
      </c>
      <c r="E767" s="52">
        <v>19.5</v>
      </c>
      <c r="F767" s="52">
        <v>0</v>
      </c>
      <c r="G767" s="52">
        <v>0</v>
      </c>
      <c r="H767" s="52">
        <v>0</v>
      </c>
      <c r="I767" s="52">
        <v>0</v>
      </c>
      <c r="J767" s="52">
        <v>0</v>
      </c>
      <c r="K767" s="52">
        <v>0</v>
      </c>
      <c r="L767" s="52">
        <v>0</v>
      </c>
      <c r="M767" s="52">
        <v>0</v>
      </c>
      <c r="N767" s="52">
        <v>0</v>
      </c>
      <c r="O767" s="52">
        <v>0</v>
      </c>
      <c r="P767" s="52">
        <v>0</v>
      </c>
      <c r="Q767" s="53">
        <v>0.1</v>
      </c>
      <c r="R767" s="52">
        <v>2</v>
      </c>
      <c r="S767" s="53">
        <v>0.34000003000000001</v>
      </c>
      <c r="T767" s="52">
        <v>10.833334000000001</v>
      </c>
      <c r="U767" s="54">
        <v>1</v>
      </c>
    </row>
    <row r="768" spans="1:21" s="3" customFormat="1" ht="18" customHeight="1">
      <c r="A768" s="8" t="s">
        <v>846</v>
      </c>
      <c r="B768" s="52">
        <v>100</v>
      </c>
      <c r="C768" s="52">
        <v>5</v>
      </c>
      <c r="D768" s="52">
        <v>75</v>
      </c>
      <c r="E768" s="52">
        <v>19.999998000000001</v>
      </c>
      <c r="F768" s="52">
        <v>0</v>
      </c>
      <c r="G768" s="52">
        <v>0</v>
      </c>
      <c r="H768" s="52">
        <v>0</v>
      </c>
      <c r="I768" s="52">
        <v>0</v>
      </c>
      <c r="J768" s="52">
        <v>0</v>
      </c>
      <c r="K768" s="52">
        <v>0</v>
      </c>
      <c r="L768" s="52">
        <v>0</v>
      </c>
      <c r="M768" s="52">
        <v>0</v>
      </c>
      <c r="N768" s="52">
        <v>0</v>
      </c>
      <c r="O768" s="52">
        <v>0</v>
      </c>
      <c r="P768" s="52">
        <v>0</v>
      </c>
      <c r="Q768" s="53">
        <v>0.2</v>
      </c>
      <c r="R768" s="52">
        <v>2</v>
      </c>
      <c r="S768" s="53">
        <v>0.35000002000000002</v>
      </c>
      <c r="T768" s="52">
        <v>4.1666670000000003</v>
      </c>
      <c r="U768" s="54">
        <v>1</v>
      </c>
    </row>
    <row r="769" spans="1:21" s="3" customFormat="1" ht="18" customHeight="1">
      <c r="A769" s="8" t="s">
        <v>847</v>
      </c>
      <c r="B769" s="52">
        <v>50</v>
      </c>
      <c r="C769" s="52">
        <v>10</v>
      </c>
      <c r="D769" s="52">
        <v>22.5</v>
      </c>
      <c r="E769" s="52">
        <v>17.500001999999999</v>
      </c>
      <c r="F769" s="52">
        <v>0</v>
      </c>
      <c r="G769" s="52">
        <v>0</v>
      </c>
      <c r="H769" s="52">
        <v>0</v>
      </c>
      <c r="I769" s="52">
        <v>0</v>
      </c>
      <c r="J769" s="52">
        <v>0</v>
      </c>
      <c r="K769" s="52">
        <v>0</v>
      </c>
      <c r="L769" s="52">
        <v>0</v>
      </c>
      <c r="M769" s="52">
        <v>0</v>
      </c>
      <c r="N769" s="52">
        <v>0</v>
      </c>
      <c r="O769" s="52">
        <v>0</v>
      </c>
      <c r="P769" s="52">
        <v>0</v>
      </c>
      <c r="Q769" s="53">
        <v>0.25999999000000001</v>
      </c>
      <c r="R769" s="52">
        <v>2</v>
      </c>
      <c r="S769" s="53">
        <v>0.30000000999999998</v>
      </c>
      <c r="T769" s="52">
        <v>5.5000004999999996</v>
      </c>
      <c r="U769" s="54">
        <v>1</v>
      </c>
    </row>
    <row r="770" spans="1:21" s="3" customFormat="1" ht="18" customHeight="1">
      <c r="A770" s="8" t="s">
        <v>848</v>
      </c>
      <c r="B770" s="52">
        <v>0</v>
      </c>
      <c r="C770" s="52">
        <v>0</v>
      </c>
      <c r="D770" s="52">
        <v>0</v>
      </c>
      <c r="E770" s="52">
        <v>0</v>
      </c>
      <c r="F770" s="52">
        <v>0</v>
      </c>
      <c r="G770" s="52">
        <v>0</v>
      </c>
      <c r="H770" s="52">
        <v>0</v>
      </c>
      <c r="I770" s="52">
        <v>0</v>
      </c>
      <c r="J770" s="52">
        <v>0</v>
      </c>
      <c r="K770" s="52">
        <v>0</v>
      </c>
      <c r="L770" s="52">
        <v>0</v>
      </c>
      <c r="M770" s="52">
        <v>0</v>
      </c>
      <c r="N770" s="52">
        <v>0</v>
      </c>
      <c r="O770" s="52">
        <v>0</v>
      </c>
      <c r="P770" s="52">
        <v>0</v>
      </c>
      <c r="Q770" s="53">
        <v>0</v>
      </c>
      <c r="R770" s="52">
        <v>0</v>
      </c>
      <c r="S770" s="53">
        <v>0</v>
      </c>
      <c r="T770" s="52">
        <v>0</v>
      </c>
      <c r="U770" s="54">
        <v>0</v>
      </c>
    </row>
    <row r="771" spans="1:21" s="3" customFormat="1" ht="18" customHeight="1">
      <c r="A771" s="8" t="s">
        <v>849</v>
      </c>
      <c r="B771" s="52">
        <v>0</v>
      </c>
      <c r="C771" s="52">
        <v>0</v>
      </c>
      <c r="D771" s="52">
        <v>0</v>
      </c>
      <c r="E771" s="52">
        <v>0</v>
      </c>
      <c r="F771" s="52">
        <v>0</v>
      </c>
      <c r="G771" s="52">
        <v>0</v>
      </c>
      <c r="H771" s="52">
        <v>0</v>
      </c>
      <c r="I771" s="52">
        <v>0</v>
      </c>
      <c r="J771" s="52">
        <v>0</v>
      </c>
      <c r="K771" s="52">
        <v>0</v>
      </c>
      <c r="L771" s="52">
        <v>0</v>
      </c>
      <c r="M771" s="52">
        <v>0</v>
      </c>
      <c r="N771" s="52">
        <v>0</v>
      </c>
      <c r="O771" s="52">
        <v>0</v>
      </c>
      <c r="P771" s="52">
        <v>0</v>
      </c>
      <c r="Q771" s="53">
        <v>0</v>
      </c>
      <c r="R771" s="52">
        <v>0</v>
      </c>
      <c r="S771" s="53">
        <v>0</v>
      </c>
      <c r="T771" s="52">
        <v>0</v>
      </c>
      <c r="U771" s="54">
        <v>0</v>
      </c>
    </row>
    <row r="772" spans="1:21" s="3" customFormat="1" ht="18" customHeight="1">
      <c r="A772" s="8" t="s">
        <v>850</v>
      </c>
      <c r="B772" s="52">
        <v>0</v>
      </c>
      <c r="C772" s="52">
        <v>0</v>
      </c>
      <c r="D772" s="52">
        <v>0</v>
      </c>
      <c r="E772" s="52">
        <v>0</v>
      </c>
      <c r="F772" s="52">
        <v>0</v>
      </c>
      <c r="G772" s="52">
        <v>0</v>
      </c>
      <c r="H772" s="52">
        <v>0</v>
      </c>
      <c r="I772" s="52">
        <v>0</v>
      </c>
      <c r="J772" s="52">
        <v>0</v>
      </c>
      <c r="K772" s="52">
        <v>0</v>
      </c>
      <c r="L772" s="52">
        <v>0</v>
      </c>
      <c r="M772" s="52">
        <v>0</v>
      </c>
      <c r="N772" s="52">
        <v>0</v>
      </c>
      <c r="O772" s="52">
        <v>0</v>
      </c>
      <c r="P772" s="52">
        <v>0</v>
      </c>
      <c r="Q772" s="53">
        <v>0</v>
      </c>
      <c r="R772" s="52">
        <v>0</v>
      </c>
      <c r="S772" s="53">
        <v>0</v>
      </c>
      <c r="T772" s="52">
        <v>0</v>
      </c>
      <c r="U772" s="54">
        <v>0</v>
      </c>
    </row>
    <row r="773" spans="1:21" s="3" customFormat="1" ht="18" customHeight="1">
      <c r="A773" s="8" t="s">
        <v>851</v>
      </c>
      <c r="B773" s="52">
        <v>0</v>
      </c>
      <c r="C773" s="52">
        <v>0</v>
      </c>
      <c r="D773" s="52">
        <v>0</v>
      </c>
      <c r="E773" s="52">
        <v>0</v>
      </c>
      <c r="F773" s="52">
        <v>0</v>
      </c>
      <c r="G773" s="52">
        <v>0</v>
      </c>
      <c r="H773" s="52">
        <v>0</v>
      </c>
      <c r="I773" s="52">
        <v>0</v>
      </c>
      <c r="J773" s="52">
        <v>0</v>
      </c>
      <c r="K773" s="52">
        <v>0</v>
      </c>
      <c r="L773" s="52">
        <v>0</v>
      </c>
      <c r="M773" s="52">
        <v>0</v>
      </c>
      <c r="N773" s="52">
        <v>0</v>
      </c>
      <c r="O773" s="52">
        <v>0</v>
      </c>
      <c r="P773" s="52">
        <v>0</v>
      </c>
      <c r="Q773" s="53">
        <v>0</v>
      </c>
      <c r="R773" s="52">
        <v>0</v>
      </c>
      <c r="S773" s="53">
        <v>0</v>
      </c>
      <c r="T773" s="52">
        <v>0</v>
      </c>
      <c r="U773" s="54">
        <v>0</v>
      </c>
    </row>
    <row r="774" spans="1:21" s="3" customFormat="1" ht="18" customHeight="1">
      <c r="A774" s="8" t="s">
        <v>852</v>
      </c>
      <c r="B774" s="52">
        <v>140</v>
      </c>
      <c r="C774" s="52">
        <v>44.799999</v>
      </c>
      <c r="D774" s="52">
        <v>16.799999</v>
      </c>
      <c r="E774" s="52">
        <v>78.400002000000001</v>
      </c>
      <c r="F774" s="52">
        <v>0</v>
      </c>
      <c r="G774" s="52">
        <v>0</v>
      </c>
      <c r="H774" s="52">
        <v>0</v>
      </c>
      <c r="I774" s="52">
        <v>0</v>
      </c>
      <c r="J774" s="52">
        <v>0</v>
      </c>
      <c r="K774" s="52">
        <v>0</v>
      </c>
      <c r="L774" s="52">
        <v>0</v>
      </c>
      <c r="M774" s="52">
        <v>0</v>
      </c>
      <c r="N774" s="52">
        <v>0</v>
      </c>
      <c r="O774" s="52">
        <v>0</v>
      </c>
      <c r="P774" s="52">
        <v>0</v>
      </c>
      <c r="Q774" s="53">
        <v>7.9999998000000003E-2</v>
      </c>
      <c r="R774" s="52">
        <v>2</v>
      </c>
      <c r="S774" s="53">
        <v>0.25999999000000001</v>
      </c>
      <c r="T774" s="52">
        <v>1.5000001000000001</v>
      </c>
      <c r="U774" s="54">
        <v>1</v>
      </c>
    </row>
    <row r="775" spans="1:21" s="3" customFormat="1" ht="18" customHeight="1">
      <c r="A775" s="8" t="s">
        <v>853</v>
      </c>
      <c r="B775" s="52">
        <v>210</v>
      </c>
      <c r="C775" s="52">
        <v>63.000003999999997</v>
      </c>
      <c r="D775" s="52">
        <v>21</v>
      </c>
      <c r="E775" s="52">
        <v>126.00001</v>
      </c>
      <c r="F775" s="52">
        <v>0</v>
      </c>
      <c r="G775" s="52">
        <v>0</v>
      </c>
      <c r="H775" s="52">
        <v>0</v>
      </c>
      <c r="I775" s="52">
        <v>0</v>
      </c>
      <c r="J775" s="52">
        <v>0</v>
      </c>
      <c r="K775" s="52">
        <v>0</v>
      </c>
      <c r="L775" s="52">
        <v>0</v>
      </c>
      <c r="M775" s="52">
        <v>0</v>
      </c>
      <c r="N775" s="52">
        <v>0</v>
      </c>
      <c r="O775" s="52">
        <v>0</v>
      </c>
      <c r="P775" s="52">
        <v>0</v>
      </c>
      <c r="Q775" s="53">
        <v>0.12</v>
      </c>
      <c r="R775" s="52">
        <v>2.4000001000000002</v>
      </c>
      <c r="S775" s="53">
        <v>0.36000000999999998</v>
      </c>
      <c r="T775" s="52">
        <v>1.5000001000000001</v>
      </c>
      <c r="U775" s="54">
        <v>1</v>
      </c>
    </row>
    <row r="776" spans="1:21" s="3" customFormat="1" ht="18" customHeight="1" thickBot="1">
      <c r="A776" s="21" t="s">
        <v>854</v>
      </c>
      <c r="B776" s="55">
        <v>84</v>
      </c>
      <c r="C776" s="55">
        <v>9.1999998000000005</v>
      </c>
      <c r="D776" s="55">
        <v>13.8</v>
      </c>
      <c r="E776" s="55">
        <v>0</v>
      </c>
      <c r="F776" s="55">
        <v>0</v>
      </c>
      <c r="G776" s="55">
        <v>0</v>
      </c>
      <c r="H776" s="55">
        <v>0</v>
      </c>
      <c r="I776" s="55">
        <v>61</v>
      </c>
      <c r="J776" s="55">
        <v>0</v>
      </c>
      <c r="K776" s="55">
        <v>0</v>
      </c>
      <c r="L776" s="55">
        <v>0</v>
      </c>
      <c r="M776" s="55">
        <v>0</v>
      </c>
      <c r="N776" s="55">
        <v>0</v>
      </c>
      <c r="O776" s="55">
        <v>0</v>
      </c>
      <c r="P776" s="55">
        <v>0</v>
      </c>
      <c r="Q776" s="56">
        <v>5.0000001000000002E-2</v>
      </c>
      <c r="R776" s="55">
        <v>2.2999999999999998</v>
      </c>
      <c r="S776" s="56">
        <v>0.30000000999999998</v>
      </c>
      <c r="T776" s="55">
        <v>1.3333333999999999</v>
      </c>
      <c r="U776" s="57">
        <v>1</v>
      </c>
    </row>
    <row r="777" spans="1:21" s="3" customFormat="1" ht="18" customHeight="1" thickBot="1">
      <c r="A777" s="61" t="s">
        <v>855</v>
      </c>
      <c r="B777" s="62"/>
      <c r="C777" s="62"/>
      <c r="D777" s="62"/>
      <c r="E777" s="62"/>
      <c r="F777" s="62"/>
      <c r="G777" s="62"/>
      <c r="H777" s="62"/>
      <c r="I777" s="62"/>
      <c r="J777" s="62"/>
      <c r="K777" s="62"/>
      <c r="L777" s="62"/>
      <c r="M777" s="62"/>
      <c r="N777" s="62"/>
      <c r="O777" s="62"/>
      <c r="P777" s="62"/>
      <c r="Q777" s="62"/>
      <c r="R777" s="62"/>
      <c r="S777" s="62"/>
      <c r="T777" s="62"/>
      <c r="U777" s="63">
        <f>SUBTOTAL(103,WeaponData[MULTI])</f>
        <v>774</v>
      </c>
    </row>
    <row r="778" spans="1:21" s="3" customFormat="1" ht="18" customHeight="1"/>
    <row r="779" spans="1:21" s="3" customFormat="1" ht="18" customHeight="1"/>
    <row r="780" spans="1:21" s="3" customFormat="1" ht="18" customHeight="1"/>
    <row r="781" spans="1:21" s="3" customFormat="1" ht="18" customHeight="1"/>
    <row r="782" spans="1:21" s="3" customFormat="1" ht="18" customHeight="1"/>
    <row r="783" spans="1:21" s="3" customFormat="1" ht="18" customHeight="1"/>
    <row r="784" spans="1:21" s="3" customFormat="1" ht="18" customHeight="1"/>
    <row r="785" s="3" customFormat="1" ht="18" customHeight="1"/>
    <row r="786" s="3" customFormat="1" ht="18" customHeight="1"/>
    <row r="787" s="3" customFormat="1" ht="18" customHeight="1"/>
    <row r="788" s="3" customFormat="1" ht="18" customHeight="1"/>
    <row r="789" s="3" customFormat="1" ht="18" customHeight="1"/>
    <row r="790" s="3" customFormat="1" ht="18" customHeight="1"/>
    <row r="791" s="3" customFormat="1" ht="18" customHeight="1"/>
    <row r="792" s="3" customFormat="1" ht="18" customHeight="1"/>
    <row r="793" s="3" customFormat="1" ht="18" customHeight="1"/>
    <row r="794" s="3" customFormat="1" ht="18" customHeight="1"/>
    <row r="795" s="3" customFormat="1" ht="18" customHeight="1"/>
    <row r="796" s="3" customFormat="1" ht="18" customHeight="1"/>
    <row r="797" s="3" customFormat="1" ht="18" customHeight="1"/>
    <row r="798" s="3" customFormat="1" ht="18" customHeight="1"/>
    <row r="799" s="3" customFormat="1" ht="18" customHeight="1"/>
    <row r="800" s="3" customFormat="1" ht="18" customHeight="1"/>
    <row r="801" s="3" customFormat="1" ht="18" customHeight="1"/>
    <row r="802" s="3" customFormat="1" ht="18" customHeight="1"/>
    <row r="803" s="3" customFormat="1" ht="18" customHeight="1"/>
    <row r="804" s="3" customFormat="1" ht="18" customHeight="1"/>
    <row r="805" s="3" customFormat="1" ht="18" customHeight="1"/>
    <row r="806" s="3" customFormat="1" ht="18" customHeight="1"/>
    <row r="807" s="3" customFormat="1" ht="18" customHeight="1"/>
    <row r="808" s="3" customFormat="1" ht="18" customHeight="1"/>
    <row r="809" s="3" customFormat="1" ht="18" customHeight="1"/>
    <row r="810" s="3" customFormat="1" ht="18" customHeight="1"/>
    <row r="811" s="3" customFormat="1" ht="18" customHeight="1"/>
    <row r="812" s="3" customFormat="1" ht="18" customHeight="1"/>
    <row r="813" s="3" customFormat="1" ht="18" customHeight="1"/>
    <row r="814" s="3" customFormat="1" ht="18" customHeight="1"/>
    <row r="815" s="3" customFormat="1" ht="18" customHeight="1"/>
    <row r="816" s="3" customFormat="1" ht="18" customHeight="1"/>
    <row r="817" s="3" customFormat="1" ht="18" customHeight="1"/>
    <row r="818" s="3" customFormat="1" ht="18" customHeight="1"/>
    <row r="819" s="3" customFormat="1" ht="18" customHeight="1"/>
    <row r="820" s="3" customFormat="1" ht="18" customHeight="1"/>
    <row r="821" s="3" customFormat="1" ht="18" customHeight="1"/>
    <row r="822" s="3" customFormat="1" ht="18" customHeight="1"/>
    <row r="823" s="3" customFormat="1" ht="18" customHeight="1"/>
    <row r="824" s="3" customFormat="1" ht="18" customHeight="1"/>
    <row r="825" s="3" customFormat="1" ht="18" customHeight="1"/>
    <row r="826" s="3" customFormat="1" ht="18" customHeight="1"/>
    <row r="827" s="3" customFormat="1" ht="18" customHeight="1"/>
    <row r="828" s="3" customFormat="1" ht="18" customHeight="1"/>
    <row r="829" s="3" customFormat="1" ht="18" customHeight="1"/>
    <row r="830" s="3" customFormat="1" ht="18" customHeight="1"/>
    <row r="831" s="3" customFormat="1" ht="18" customHeight="1"/>
    <row r="832" s="3" customFormat="1" ht="18" customHeight="1"/>
    <row r="833" s="3" customFormat="1" ht="18" customHeight="1"/>
    <row r="834" s="3" customFormat="1" ht="18" customHeight="1"/>
    <row r="835" s="3" customFormat="1" ht="18" customHeight="1"/>
    <row r="836" s="3" customFormat="1" ht="18" customHeight="1"/>
    <row r="837" s="3" customFormat="1" ht="18" customHeight="1"/>
    <row r="838" s="3" customFormat="1" ht="18" customHeight="1"/>
    <row r="839" s="3" customFormat="1" ht="18" customHeight="1"/>
    <row r="840" s="3" customFormat="1" ht="18" customHeight="1"/>
    <row r="841" s="3" customFormat="1" ht="18" customHeight="1"/>
    <row r="842" s="3" customFormat="1" ht="18" customHeight="1"/>
    <row r="843" s="3" customFormat="1" ht="18" customHeight="1"/>
    <row r="844" s="3" customFormat="1" ht="18" customHeight="1"/>
    <row r="845" s="3" customFormat="1" ht="18" customHeight="1"/>
    <row r="846" s="3" customFormat="1" ht="18" customHeight="1"/>
    <row r="847" s="3" customFormat="1" ht="18" customHeight="1"/>
    <row r="848" s="3" customFormat="1" ht="18" customHeight="1"/>
    <row r="849" s="3" customFormat="1" ht="18" customHeight="1"/>
    <row r="850" s="3" customFormat="1" ht="18" customHeight="1"/>
    <row r="851" s="3" customFormat="1" ht="18" customHeight="1"/>
    <row r="852" s="3" customFormat="1" ht="18" customHeight="1"/>
    <row r="853" s="3" customFormat="1" ht="18" customHeight="1"/>
    <row r="854" s="3" customFormat="1" ht="18" customHeight="1"/>
    <row r="855" s="3" customFormat="1" ht="18" customHeight="1"/>
    <row r="856" s="3" customFormat="1" ht="18" customHeight="1"/>
    <row r="857" s="3" customFormat="1" ht="18" customHeight="1"/>
    <row r="858" s="3" customFormat="1" ht="18" customHeight="1"/>
    <row r="859" s="3" customFormat="1" ht="18" customHeight="1"/>
    <row r="860" s="3" customFormat="1" ht="18" customHeight="1"/>
    <row r="861" s="3" customFormat="1" ht="18" customHeight="1"/>
    <row r="862" s="3" customFormat="1" ht="18" customHeight="1"/>
    <row r="863" s="3" customFormat="1" ht="18" customHeight="1"/>
    <row r="864" s="3" customFormat="1" ht="18" customHeight="1"/>
    <row r="865" s="3" customFormat="1" ht="18" customHeight="1"/>
    <row r="866" s="3" customFormat="1" ht="18" customHeight="1"/>
    <row r="867" s="3" customFormat="1" ht="18" customHeight="1"/>
    <row r="868" s="3" customFormat="1" ht="18" customHeight="1"/>
    <row r="869" s="3" customFormat="1" ht="18" customHeight="1"/>
    <row r="870" s="3" customFormat="1" ht="18" customHeight="1"/>
    <row r="871" s="3" customFormat="1" ht="18" customHeight="1"/>
    <row r="872" s="3" customFormat="1" ht="18" customHeight="1"/>
    <row r="873" s="3" customFormat="1" ht="18" customHeight="1"/>
    <row r="874" s="3" customFormat="1" ht="18" customHeight="1"/>
    <row r="875" s="3" customFormat="1" ht="18" customHeight="1"/>
    <row r="876" s="3" customFormat="1" ht="18" customHeight="1"/>
    <row r="877" s="3" customFormat="1" ht="18" customHeight="1"/>
    <row r="878" s="3" customFormat="1" ht="18" customHeight="1"/>
    <row r="879" s="3" customFormat="1" ht="18" customHeight="1"/>
    <row r="880" s="3" customFormat="1" ht="18" customHeight="1"/>
    <row r="881" s="3" customFormat="1" ht="18" customHeight="1"/>
    <row r="882" s="3" customFormat="1" ht="18" customHeight="1"/>
    <row r="883" s="3" customFormat="1" ht="18" customHeight="1"/>
    <row r="884" s="3" customFormat="1" ht="18" customHeight="1"/>
    <row r="885" s="3" customFormat="1" ht="18" customHeight="1"/>
    <row r="886" s="3" customFormat="1" ht="18" customHeight="1"/>
    <row r="887" s="3" customFormat="1" ht="18" customHeight="1"/>
    <row r="888" s="3" customFormat="1" ht="18" customHeight="1"/>
    <row r="889" s="3" customFormat="1" ht="18" customHeight="1"/>
    <row r="890" s="3" customFormat="1" ht="18" customHeight="1"/>
    <row r="891" s="3" customFormat="1" ht="18" customHeight="1"/>
    <row r="892" s="3" customFormat="1" ht="18" customHeight="1"/>
    <row r="893" s="3" customFormat="1" ht="18" customHeight="1"/>
    <row r="894" s="3" customFormat="1" ht="18" customHeight="1"/>
    <row r="895" s="3" customFormat="1" ht="18" customHeight="1"/>
    <row r="896" s="3" customFormat="1" ht="18" customHeight="1"/>
    <row r="897" s="3" customFormat="1" ht="18" customHeight="1"/>
    <row r="898" s="3" customFormat="1" ht="18" customHeight="1"/>
    <row r="899" s="3" customFormat="1" ht="18" customHeight="1"/>
    <row r="900" s="3" customFormat="1" ht="18" customHeight="1"/>
    <row r="901" s="3" customFormat="1" ht="18" customHeight="1"/>
    <row r="902" s="3" customFormat="1" ht="18" customHeight="1"/>
    <row r="903" s="3" customFormat="1" ht="18" customHeight="1"/>
    <row r="904" s="3" customFormat="1" ht="18" customHeight="1"/>
    <row r="905" s="3" customFormat="1" ht="18" customHeight="1"/>
    <row r="906" s="3" customFormat="1" ht="18" customHeight="1"/>
    <row r="907" s="3" customFormat="1" ht="18" customHeight="1"/>
    <row r="908" s="3" customFormat="1" ht="18" customHeight="1"/>
    <row r="909" s="3" customFormat="1" ht="18" customHeight="1"/>
    <row r="910" s="3" customFormat="1" ht="18" customHeight="1"/>
    <row r="911" s="3" customFormat="1" ht="18" customHeight="1"/>
    <row r="912" s="3" customFormat="1" ht="18" customHeight="1"/>
    <row r="913" s="3" customFormat="1" ht="18" customHeight="1"/>
    <row r="914" s="3" customFormat="1" ht="18" customHeight="1"/>
    <row r="915" s="3" customFormat="1" ht="18" customHeight="1"/>
    <row r="916" s="3" customFormat="1" ht="18" customHeight="1"/>
    <row r="917" s="3" customFormat="1" ht="18" customHeight="1"/>
    <row r="918" s="3" customFormat="1" ht="18" customHeight="1"/>
    <row r="919" s="3" customFormat="1" ht="18" customHeight="1"/>
    <row r="920" s="3" customFormat="1" ht="18" customHeight="1"/>
    <row r="921" s="3" customFormat="1" ht="18" customHeight="1"/>
    <row r="922" s="3" customFormat="1" ht="18" customHeight="1"/>
    <row r="923" s="3" customFormat="1" ht="18" customHeight="1"/>
    <row r="924" s="3" customFormat="1" ht="18" customHeight="1"/>
    <row r="925" s="3" customFormat="1" ht="18" customHeight="1"/>
    <row r="926" s="3" customFormat="1" ht="18" customHeight="1"/>
    <row r="927" s="3" customFormat="1" ht="18" customHeight="1"/>
    <row r="928" s="3" customFormat="1" ht="18" customHeight="1"/>
    <row r="929" spans="1:21">
      <c r="A929" s="3"/>
      <c r="B929" s="3"/>
      <c r="C929" s="3"/>
      <c r="D929" s="3"/>
      <c r="E929" s="3"/>
      <c r="F929" s="3"/>
      <c r="G929" s="3"/>
      <c r="H929" s="3"/>
      <c r="I929" s="3"/>
      <c r="J929" s="3"/>
      <c r="K929" s="3"/>
      <c r="L929" s="3"/>
      <c r="M929" s="3"/>
      <c r="N929" s="3"/>
      <c r="O929" s="3"/>
      <c r="P929" s="3"/>
      <c r="Q929" s="3"/>
      <c r="R929" s="3"/>
      <c r="S929" s="3"/>
      <c r="T929" s="3"/>
      <c r="U929" s="3"/>
    </row>
  </sheetData>
  <mergeCells count="1">
    <mergeCell ref="A1:U1"/>
  </mergeCell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61A20-79DB-4B26-8AD7-05A889FC4AF7}">
  <dimension ref="A1:P586"/>
  <sheetViews>
    <sheetView workbookViewId="0">
      <selection sqref="A1:P1"/>
    </sheetView>
  </sheetViews>
  <sheetFormatPr defaultRowHeight="14.45"/>
  <cols>
    <col min="1" max="1" width="15.85546875" bestFit="1" customWidth="1"/>
    <col min="2" max="2" width="14.85546875" bestFit="1" customWidth="1"/>
    <col min="3" max="3" width="12.28515625" bestFit="1" customWidth="1"/>
    <col min="4" max="4" width="12.7109375" bestFit="1" customWidth="1"/>
    <col min="5" max="5" width="11.7109375" bestFit="1" customWidth="1"/>
    <col min="6" max="6" width="11.85546875" bestFit="1" customWidth="1"/>
    <col min="7" max="7" width="11" bestFit="1" customWidth="1"/>
    <col min="8" max="8" width="12.85546875" bestFit="1" customWidth="1"/>
    <col min="9" max="9" width="12.7109375" bestFit="1" customWidth="1"/>
    <col min="10" max="10" width="10.5703125" bestFit="1" customWidth="1"/>
    <col min="11" max="11" width="10.28515625" bestFit="1" customWidth="1"/>
    <col min="12" max="12" width="11.42578125" bestFit="1" customWidth="1"/>
    <col min="13" max="13" width="12.42578125" bestFit="1" customWidth="1"/>
    <col min="14" max="14" width="12.140625" bestFit="1" customWidth="1"/>
    <col min="15" max="15" width="11.7109375" bestFit="1" customWidth="1"/>
    <col min="16" max="16" width="14.7109375" bestFit="1" customWidth="1"/>
  </cols>
  <sheetData>
    <row r="1" spans="1:16" ht="54" customHeight="1" thickBot="1">
      <c r="A1" s="154" t="s">
        <v>856</v>
      </c>
      <c r="B1" s="134"/>
      <c r="C1" s="134"/>
      <c r="D1" s="134"/>
      <c r="E1" s="134"/>
      <c r="F1" s="134"/>
      <c r="G1" s="134"/>
      <c r="H1" s="134"/>
      <c r="I1" s="134"/>
      <c r="J1" s="134"/>
      <c r="K1" s="134"/>
      <c r="L1" s="134"/>
      <c r="M1" s="134"/>
      <c r="N1" s="134"/>
      <c r="O1" s="134"/>
      <c r="P1" s="155"/>
    </row>
    <row r="2" spans="1:16" s="2" customFormat="1" ht="33" customHeight="1">
      <c r="A2" s="6" t="s">
        <v>857</v>
      </c>
      <c r="B2" s="1" t="s">
        <v>23</v>
      </c>
      <c r="C2" s="1" t="s">
        <v>24</v>
      </c>
      <c r="D2" s="1" t="s">
        <v>25</v>
      </c>
      <c r="E2" s="1" t="s">
        <v>26</v>
      </c>
      <c r="F2" s="1" t="s">
        <v>27</v>
      </c>
      <c r="G2" s="1" t="s">
        <v>28</v>
      </c>
      <c r="H2" s="1" t="s">
        <v>29</v>
      </c>
      <c r="I2" s="1" t="s">
        <v>30</v>
      </c>
      <c r="J2" s="1" t="s">
        <v>31</v>
      </c>
      <c r="K2" s="1" t="s">
        <v>32</v>
      </c>
      <c r="L2" s="1" t="s">
        <v>16</v>
      </c>
      <c r="M2" s="1" t="s">
        <v>33</v>
      </c>
      <c r="N2" s="1" t="s">
        <v>34</v>
      </c>
      <c r="O2" s="1" t="s">
        <v>35</v>
      </c>
      <c r="P2" s="7" t="s">
        <v>36</v>
      </c>
    </row>
    <row r="3" spans="1:16" s="3" customFormat="1" ht="18" customHeight="1">
      <c r="A3" s="8" t="s">
        <v>17</v>
      </c>
      <c r="B3" s="5">
        <v>1.5</v>
      </c>
      <c r="C3" s="5">
        <v>1</v>
      </c>
      <c r="D3" s="5">
        <v>1</v>
      </c>
      <c r="E3" s="5">
        <v>1</v>
      </c>
      <c r="F3" s="5">
        <v>1</v>
      </c>
      <c r="G3" s="5">
        <v>1</v>
      </c>
      <c r="H3" s="5">
        <v>1</v>
      </c>
      <c r="I3" s="5">
        <v>1</v>
      </c>
      <c r="J3" s="5">
        <v>1</v>
      </c>
      <c r="K3" s="5">
        <v>1</v>
      </c>
      <c r="L3" s="5">
        <v>1</v>
      </c>
      <c r="M3" s="5">
        <v>1</v>
      </c>
      <c r="N3" s="5">
        <v>1.5</v>
      </c>
      <c r="O3" s="5">
        <v>1</v>
      </c>
      <c r="P3" s="9">
        <v>1</v>
      </c>
    </row>
    <row r="4" spans="1:16" s="3" customFormat="1" ht="18" customHeight="1">
      <c r="A4" s="8" t="s">
        <v>858</v>
      </c>
      <c r="B4" s="5">
        <v>1.5</v>
      </c>
      <c r="C4" s="5">
        <v>1</v>
      </c>
      <c r="D4" s="5">
        <v>1</v>
      </c>
      <c r="E4" s="5">
        <v>0.5</v>
      </c>
      <c r="F4" s="5">
        <v>1</v>
      </c>
      <c r="G4" s="5">
        <v>1</v>
      </c>
      <c r="H4" s="5">
        <v>1</v>
      </c>
      <c r="I4" s="5">
        <v>1</v>
      </c>
      <c r="J4" s="5">
        <v>1</v>
      </c>
      <c r="K4" s="5">
        <v>1</v>
      </c>
      <c r="L4" s="5">
        <v>1</v>
      </c>
      <c r="M4" s="5">
        <v>1</v>
      </c>
      <c r="N4" s="5">
        <v>1.5</v>
      </c>
      <c r="O4" s="5">
        <v>1</v>
      </c>
      <c r="P4" s="9">
        <v>1</v>
      </c>
    </row>
    <row r="5" spans="1:16" s="3" customFormat="1" ht="18" customHeight="1">
      <c r="A5" s="8" t="s">
        <v>859</v>
      </c>
      <c r="B5" s="5">
        <v>1</v>
      </c>
      <c r="C5" s="5">
        <v>1.5</v>
      </c>
      <c r="D5" s="5">
        <v>1</v>
      </c>
      <c r="E5" s="5">
        <v>1</v>
      </c>
      <c r="F5" s="5">
        <v>1</v>
      </c>
      <c r="G5" s="5">
        <v>1</v>
      </c>
      <c r="H5" s="5">
        <v>1</v>
      </c>
      <c r="I5" s="5">
        <v>1</v>
      </c>
      <c r="J5" s="5">
        <v>1</v>
      </c>
      <c r="K5" s="5">
        <v>1</v>
      </c>
      <c r="L5" s="5">
        <v>1.5</v>
      </c>
      <c r="M5" s="5">
        <v>1</v>
      </c>
      <c r="N5" s="5">
        <v>1</v>
      </c>
      <c r="O5" s="5">
        <v>1</v>
      </c>
      <c r="P5" s="9">
        <v>1</v>
      </c>
    </row>
    <row r="6" spans="1:16" s="3" customFormat="1" ht="18" customHeight="1">
      <c r="A6" s="8" t="s">
        <v>860</v>
      </c>
      <c r="B6" s="5">
        <v>1</v>
      </c>
      <c r="C6" s="5">
        <v>1</v>
      </c>
      <c r="D6" s="5">
        <v>1</v>
      </c>
      <c r="E6" s="5">
        <v>1</v>
      </c>
      <c r="F6" s="5">
        <v>1</v>
      </c>
      <c r="G6" s="5">
        <v>1.5</v>
      </c>
      <c r="H6" s="5">
        <v>1</v>
      </c>
      <c r="I6" s="5">
        <v>0.5</v>
      </c>
      <c r="J6" s="5">
        <v>1</v>
      </c>
      <c r="K6" s="5">
        <v>1</v>
      </c>
      <c r="L6" s="5">
        <v>1.5</v>
      </c>
      <c r="M6" s="5">
        <v>1</v>
      </c>
      <c r="N6" s="5">
        <v>1</v>
      </c>
      <c r="O6" s="5">
        <v>1</v>
      </c>
      <c r="P6" s="9">
        <v>1</v>
      </c>
    </row>
    <row r="7" spans="1:16" s="3" customFormat="1" ht="18" customHeight="1">
      <c r="A7" s="8" t="s">
        <v>861</v>
      </c>
      <c r="B7" s="5">
        <v>1</v>
      </c>
      <c r="C7" s="5">
        <v>1</v>
      </c>
      <c r="D7" s="5">
        <v>1.5</v>
      </c>
      <c r="E7" s="5">
        <v>1.5</v>
      </c>
      <c r="F7" s="5">
        <v>1</v>
      </c>
      <c r="G7" s="5">
        <v>1</v>
      </c>
      <c r="H7" s="5">
        <v>1</v>
      </c>
      <c r="I7" s="5">
        <v>1</v>
      </c>
      <c r="J7" s="5">
        <v>1</v>
      </c>
      <c r="K7" s="5">
        <v>1</v>
      </c>
      <c r="L7" s="5">
        <v>1</v>
      </c>
      <c r="M7" s="5">
        <v>1</v>
      </c>
      <c r="N7" s="5">
        <v>1</v>
      </c>
      <c r="O7" s="5">
        <v>1</v>
      </c>
      <c r="P7" s="9">
        <v>1</v>
      </c>
    </row>
    <row r="8" spans="1:16" s="3" customFormat="1" ht="18" customHeight="1">
      <c r="A8" s="8" t="s">
        <v>862</v>
      </c>
      <c r="B8" s="5">
        <v>1</v>
      </c>
      <c r="C8" s="5">
        <v>1</v>
      </c>
      <c r="D8" s="5">
        <v>1</v>
      </c>
      <c r="E8" s="5">
        <v>1</v>
      </c>
      <c r="F8" s="5">
        <v>1</v>
      </c>
      <c r="G8" s="5">
        <v>1</v>
      </c>
      <c r="H8" s="5">
        <v>1</v>
      </c>
      <c r="I8" s="5">
        <v>1.5</v>
      </c>
      <c r="J8" s="5">
        <v>1</v>
      </c>
      <c r="K8" s="5">
        <v>1.5</v>
      </c>
      <c r="L8" s="5">
        <v>1</v>
      </c>
      <c r="M8" s="5">
        <v>0.5</v>
      </c>
      <c r="N8" s="5">
        <v>1</v>
      </c>
      <c r="O8" s="5">
        <v>1</v>
      </c>
      <c r="P8" s="9">
        <v>1</v>
      </c>
    </row>
    <row r="9" spans="1:16" s="3" customFormat="1" ht="18" customHeight="1">
      <c r="A9" s="8" t="s">
        <v>863</v>
      </c>
      <c r="B9" s="5">
        <v>1</v>
      </c>
      <c r="C9" s="5">
        <v>1.5</v>
      </c>
      <c r="D9" s="5">
        <v>1</v>
      </c>
      <c r="E9" s="5">
        <v>1</v>
      </c>
      <c r="F9" s="5">
        <v>1</v>
      </c>
      <c r="G9" s="5">
        <v>1</v>
      </c>
      <c r="H9" s="5">
        <v>1</v>
      </c>
      <c r="I9" s="5">
        <v>1</v>
      </c>
      <c r="J9" s="5">
        <v>0.5</v>
      </c>
      <c r="K9" s="5">
        <v>1</v>
      </c>
      <c r="L9" s="5">
        <v>1</v>
      </c>
      <c r="M9" s="5">
        <v>1.5</v>
      </c>
      <c r="N9" s="5">
        <v>1</v>
      </c>
      <c r="O9" s="5">
        <v>1</v>
      </c>
      <c r="P9" s="9">
        <v>1</v>
      </c>
    </row>
    <row r="10" spans="1:16" s="3" customFormat="1" ht="18" customHeight="1">
      <c r="A10" s="8" t="s">
        <v>864</v>
      </c>
      <c r="B10" s="5">
        <v>1</v>
      </c>
      <c r="C10" s="5">
        <v>1</v>
      </c>
      <c r="D10" s="5">
        <v>1</v>
      </c>
      <c r="E10" s="5">
        <v>1</v>
      </c>
      <c r="F10" s="5">
        <v>1.5</v>
      </c>
      <c r="G10" s="5">
        <v>1</v>
      </c>
      <c r="H10" s="5">
        <v>1</v>
      </c>
      <c r="I10" s="5">
        <v>1</v>
      </c>
      <c r="J10" s="5">
        <v>1.5</v>
      </c>
      <c r="K10" s="5">
        <v>1</v>
      </c>
      <c r="L10" s="5">
        <v>1</v>
      </c>
      <c r="M10" s="5">
        <v>1</v>
      </c>
      <c r="N10" s="5">
        <v>1</v>
      </c>
      <c r="O10" s="5">
        <v>1</v>
      </c>
      <c r="P10" s="9">
        <v>1</v>
      </c>
    </row>
    <row r="11" spans="1:16" s="3" customFormat="1" ht="18" customHeight="1">
      <c r="A11" s="8" t="s">
        <v>865</v>
      </c>
      <c r="B11" s="5">
        <v>1</v>
      </c>
      <c r="C11" s="5">
        <v>1</v>
      </c>
      <c r="D11" s="5">
        <v>1.5</v>
      </c>
      <c r="E11" s="5">
        <v>1</v>
      </c>
      <c r="F11" s="5">
        <v>1</v>
      </c>
      <c r="G11" s="5">
        <v>1</v>
      </c>
      <c r="H11" s="5">
        <v>1.5</v>
      </c>
      <c r="I11" s="5">
        <v>1</v>
      </c>
      <c r="J11" s="5">
        <v>1</v>
      </c>
      <c r="K11" s="5">
        <v>1</v>
      </c>
      <c r="L11" s="5">
        <v>0.5</v>
      </c>
      <c r="M11" s="5">
        <v>1</v>
      </c>
      <c r="N11" s="5">
        <v>1</v>
      </c>
      <c r="O11" s="5">
        <v>1</v>
      </c>
      <c r="P11" s="9">
        <v>1</v>
      </c>
    </row>
    <row r="12" spans="1:16" s="3" customFormat="1" ht="18" customHeight="1">
      <c r="A12" s="8" t="s">
        <v>866</v>
      </c>
      <c r="B12" s="5">
        <v>1</v>
      </c>
      <c r="C12" s="5">
        <v>1</v>
      </c>
      <c r="D12" s="5">
        <v>1</v>
      </c>
      <c r="E12" s="5">
        <v>1</v>
      </c>
      <c r="F12" s="5">
        <v>1</v>
      </c>
      <c r="G12" s="5">
        <v>1.5</v>
      </c>
      <c r="H12" s="5">
        <v>1</v>
      </c>
      <c r="I12" s="5">
        <v>1</v>
      </c>
      <c r="J12" s="5">
        <v>1.5</v>
      </c>
      <c r="K12" s="5">
        <v>1</v>
      </c>
      <c r="L12" s="5">
        <v>1</v>
      </c>
      <c r="M12" s="5">
        <v>0.5</v>
      </c>
      <c r="N12" s="5">
        <v>1</v>
      </c>
      <c r="O12" s="5">
        <v>1</v>
      </c>
      <c r="P12" s="9">
        <v>1</v>
      </c>
    </row>
    <row r="13" spans="1:16" s="3" customFormat="1" ht="18" customHeight="1" thickBot="1">
      <c r="A13" s="21" t="s">
        <v>867</v>
      </c>
      <c r="B13" s="28">
        <v>1</v>
      </c>
      <c r="C13" s="28">
        <v>1</v>
      </c>
      <c r="D13" s="28">
        <v>1</v>
      </c>
      <c r="E13" s="28">
        <v>1</v>
      </c>
      <c r="F13" s="28">
        <v>1</v>
      </c>
      <c r="G13" s="28">
        <v>1</v>
      </c>
      <c r="H13" s="28">
        <v>1</v>
      </c>
      <c r="I13" s="28">
        <v>1</v>
      </c>
      <c r="J13" s="28">
        <v>1</v>
      </c>
      <c r="K13" s="28">
        <v>1</v>
      </c>
      <c r="L13" s="28">
        <v>1</v>
      </c>
      <c r="M13" s="28">
        <v>1</v>
      </c>
      <c r="N13" s="28">
        <v>1</v>
      </c>
      <c r="O13" s="28">
        <v>1.5</v>
      </c>
      <c r="P13" s="29">
        <v>1</v>
      </c>
    </row>
    <row r="14" spans="1:16" s="3" customFormat="1" ht="18" customHeight="1"/>
    <row r="15" spans="1:16" s="3" customFormat="1" ht="18" customHeight="1"/>
    <row r="16" spans="1:16" s="3" customFormat="1" ht="18" customHeight="1"/>
    <row r="17" s="3" customFormat="1" ht="18" customHeight="1"/>
    <row r="18" s="3" customFormat="1" ht="18" customHeight="1"/>
    <row r="19" s="3" customFormat="1" ht="18" customHeight="1"/>
    <row r="20" s="3" customFormat="1" ht="18" customHeight="1"/>
    <row r="21" s="3" customFormat="1" ht="18" customHeight="1"/>
    <row r="22" s="3" customFormat="1" ht="18" customHeight="1"/>
    <row r="23" s="3" customFormat="1" ht="18" customHeight="1"/>
    <row r="24" s="3" customFormat="1" ht="18" customHeight="1"/>
    <row r="25" s="3" customFormat="1" ht="18" customHeight="1"/>
    <row r="26" s="3" customFormat="1" ht="18" customHeight="1"/>
    <row r="27" s="3" customFormat="1" ht="18" customHeight="1"/>
    <row r="28" s="3" customFormat="1" ht="18" customHeight="1"/>
    <row r="29" s="3" customFormat="1" ht="18" customHeight="1"/>
    <row r="30" s="3" customFormat="1" ht="18" customHeight="1"/>
    <row r="31" s="3" customFormat="1" ht="18" customHeight="1"/>
    <row r="32" s="3" customFormat="1" ht="18" customHeight="1"/>
    <row r="33" s="3" customFormat="1" ht="18" customHeight="1"/>
    <row r="34" s="3" customFormat="1" ht="18" customHeight="1"/>
    <row r="35" s="3" customFormat="1" ht="18" customHeight="1"/>
    <row r="36" s="3" customFormat="1" ht="18" customHeight="1"/>
    <row r="37" s="3" customFormat="1" ht="18" customHeight="1"/>
    <row r="38" s="3" customFormat="1" ht="18" customHeight="1"/>
    <row r="39" s="3" customFormat="1" ht="18" customHeight="1"/>
    <row r="40" s="3" customFormat="1" ht="18" customHeight="1"/>
    <row r="41" s="3" customFormat="1" ht="18" customHeight="1"/>
    <row r="42" s="3" customFormat="1" ht="18" customHeight="1"/>
    <row r="43" s="3" customFormat="1" ht="18" customHeight="1"/>
    <row r="44" s="3" customFormat="1" ht="18" customHeight="1"/>
    <row r="45" s="3" customFormat="1" ht="18" customHeight="1"/>
    <row r="46" s="3" customFormat="1" ht="18" customHeight="1"/>
    <row r="47" s="3" customFormat="1" ht="18" customHeight="1"/>
    <row r="48" s="3" customFormat="1" ht="18" customHeight="1"/>
    <row r="49" s="3" customFormat="1" ht="18" customHeight="1"/>
    <row r="50" s="3" customFormat="1" ht="18" customHeight="1"/>
    <row r="51" s="3" customFormat="1" ht="18" customHeight="1"/>
    <row r="52" s="3" customFormat="1" ht="18" customHeight="1"/>
    <row r="53" s="3" customFormat="1" ht="18" customHeight="1"/>
    <row r="54" s="3" customFormat="1" ht="18" customHeight="1"/>
    <row r="55" s="3" customFormat="1" ht="18" customHeight="1"/>
    <row r="56" s="3" customFormat="1" ht="18" customHeight="1"/>
    <row r="57" s="3" customFormat="1" ht="18" customHeight="1"/>
    <row r="58" s="3" customFormat="1" ht="18" customHeight="1"/>
    <row r="59" s="3" customFormat="1" ht="18" customHeight="1"/>
    <row r="60" s="3" customFormat="1" ht="18" customHeight="1"/>
    <row r="61" s="3" customFormat="1" ht="18" customHeight="1"/>
    <row r="62" s="3" customFormat="1" ht="18" customHeight="1"/>
    <row r="63" s="3" customFormat="1" ht="18" customHeight="1"/>
    <row r="64" s="3" customFormat="1" ht="18" customHeight="1"/>
    <row r="65" s="3" customFormat="1" ht="18" customHeight="1"/>
    <row r="66" s="3" customFormat="1" ht="18" customHeight="1"/>
    <row r="67" s="3" customFormat="1" ht="18" customHeight="1"/>
    <row r="68" s="3" customFormat="1" ht="18" customHeight="1"/>
    <row r="69" s="3" customFormat="1" ht="18" customHeight="1"/>
    <row r="70" s="3" customFormat="1" ht="18" customHeight="1"/>
    <row r="71" s="3" customFormat="1" ht="18" customHeight="1"/>
    <row r="72" s="3" customFormat="1" ht="18" customHeight="1"/>
    <row r="73" s="3" customFormat="1" ht="18" customHeight="1"/>
    <row r="74" s="3" customFormat="1" ht="18" customHeight="1"/>
    <row r="75" s="3" customFormat="1" ht="18" customHeight="1"/>
    <row r="76" s="3" customFormat="1" ht="18" customHeight="1"/>
    <row r="77" s="3" customFormat="1" ht="18" customHeight="1"/>
    <row r="78" s="3" customFormat="1" ht="18" customHeight="1"/>
    <row r="79" s="3" customFormat="1" ht="18" customHeight="1"/>
    <row r="80" s="3" customFormat="1" ht="18" customHeight="1"/>
    <row r="81" s="3" customFormat="1" ht="18" customHeight="1"/>
    <row r="82" s="3" customFormat="1" ht="18" customHeight="1"/>
    <row r="83" s="3" customFormat="1" ht="18" customHeight="1"/>
    <row r="84" s="3" customFormat="1" ht="18" customHeight="1"/>
    <row r="85" s="3" customFormat="1" ht="18" customHeight="1"/>
    <row r="86" s="3" customFormat="1" ht="18" customHeight="1"/>
    <row r="87" s="3" customFormat="1" ht="18" customHeight="1"/>
    <row r="88" s="3" customFormat="1" ht="18" customHeight="1"/>
    <row r="89" s="3" customFormat="1" ht="18" customHeight="1"/>
    <row r="90" s="3" customFormat="1" ht="18" customHeight="1"/>
    <row r="91" s="3" customFormat="1" ht="18" customHeight="1"/>
    <row r="92" s="3" customFormat="1" ht="18" customHeight="1"/>
    <row r="93" s="3" customFormat="1" ht="18" customHeight="1"/>
    <row r="94" s="3" customFormat="1" ht="18" customHeight="1"/>
    <row r="95" s="3" customFormat="1" ht="18" customHeight="1"/>
    <row r="96" s="3" customFormat="1" ht="18" customHeight="1"/>
    <row r="97" s="3" customFormat="1" ht="18" customHeight="1"/>
    <row r="98" s="3" customFormat="1" ht="18" customHeight="1"/>
    <row r="99" s="3" customFormat="1" ht="18" customHeight="1"/>
    <row r="100" s="3" customFormat="1" ht="18" customHeight="1"/>
    <row r="101" s="3" customFormat="1" ht="18" customHeight="1"/>
    <row r="102" s="3" customFormat="1" ht="18" customHeight="1"/>
    <row r="103" s="3" customFormat="1" ht="18" customHeight="1"/>
    <row r="104" s="3" customFormat="1" ht="18" customHeight="1"/>
    <row r="105" s="3" customFormat="1" ht="18" customHeight="1"/>
    <row r="106" s="3" customFormat="1" ht="18" customHeight="1"/>
    <row r="107" s="3" customFormat="1" ht="18" customHeight="1"/>
    <row r="108" s="3" customFormat="1" ht="18" customHeight="1"/>
    <row r="109" s="3" customFormat="1" ht="18" customHeight="1"/>
    <row r="110" s="3" customFormat="1" ht="18" customHeight="1"/>
    <row r="111" s="3" customFormat="1" ht="18" customHeight="1"/>
    <row r="112" s="3" customFormat="1" ht="18" customHeight="1"/>
    <row r="113" s="3" customFormat="1" ht="18" customHeight="1"/>
    <row r="114" s="3" customFormat="1" ht="18" customHeight="1"/>
    <row r="115" s="3" customFormat="1" ht="18" customHeight="1"/>
    <row r="116" s="3" customFormat="1" ht="18" customHeight="1"/>
    <row r="117" s="3" customFormat="1" ht="18" customHeight="1"/>
    <row r="118" s="3" customFormat="1" ht="18" customHeight="1"/>
    <row r="119" s="3" customFormat="1" ht="18" customHeight="1"/>
    <row r="120" s="3" customFormat="1" ht="18" customHeight="1"/>
    <row r="121" s="3" customFormat="1" ht="18" customHeight="1"/>
    <row r="122" s="3" customFormat="1" ht="18" customHeight="1"/>
    <row r="123" s="3" customFormat="1" ht="18" customHeight="1"/>
    <row r="124" s="3" customFormat="1" ht="18" customHeight="1"/>
    <row r="125" s="3" customFormat="1" ht="18" customHeight="1"/>
    <row r="126" s="3" customFormat="1" ht="18" customHeight="1"/>
    <row r="127" s="3" customFormat="1" ht="18" customHeight="1"/>
    <row r="128" s="3" customFormat="1" ht="18" customHeight="1"/>
    <row r="129" s="3" customFormat="1" ht="18" customHeight="1"/>
    <row r="130" s="3" customFormat="1" ht="18" customHeight="1"/>
    <row r="131" s="3" customFormat="1" ht="18" customHeight="1"/>
    <row r="132" s="3" customFormat="1" ht="18" customHeight="1"/>
    <row r="133" s="3" customFormat="1" ht="18" customHeight="1"/>
    <row r="134" s="3" customFormat="1" ht="18" customHeight="1"/>
    <row r="135" s="3" customFormat="1" ht="18" customHeight="1"/>
    <row r="136" s="3" customFormat="1" ht="18" customHeight="1"/>
    <row r="137" s="3" customFormat="1" ht="18" customHeight="1"/>
    <row r="138" s="3" customFormat="1" ht="18" customHeight="1"/>
    <row r="139" s="3" customFormat="1" ht="18" customHeight="1"/>
    <row r="140" s="3" customFormat="1" ht="18" customHeight="1"/>
    <row r="141" s="3" customFormat="1" ht="18" customHeight="1"/>
    <row r="142" s="3" customFormat="1" ht="18" customHeight="1"/>
    <row r="143" s="3" customFormat="1" ht="18" customHeight="1"/>
    <row r="144" s="3" customFormat="1" ht="18" customHeight="1"/>
    <row r="145" s="3" customFormat="1" ht="18" customHeight="1"/>
    <row r="146" s="3" customFormat="1" ht="18" customHeight="1"/>
    <row r="147" s="3" customFormat="1" ht="18" customHeight="1"/>
    <row r="148" s="3" customFormat="1" ht="18" customHeight="1"/>
    <row r="149" s="3" customFormat="1" ht="18" customHeight="1"/>
    <row r="150" s="3" customFormat="1" ht="18" customHeight="1"/>
    <row r="151" s="3" customFormat="1" ht="18" customHeight="1"/>
    <row r="152" s="3" customFormat="1" ht="18" customHeight="1"/>
    <row r="153" s="3" customFormat="1" ht="18" customHeight="1"/>
    <row r="154" s="3" customFormat="1" ht="18" customHeight="1"/>
    <row r="155" s="3" customFormat="1" ht="18" customHeight="1"/>
    <row r="156" s="3" customFormat="1" ht="18" customHeight="1"/>
    <row r="157" s="3" customFormat="1" ht="18" customHeight="1"/>
    <row r="158" s="3" customFormat="1" ht="18" customHeight="1"/>
    <row r="159" s="3" customFormat="1" ht="18" customHeight="1"/>
    <row r="160" s="3" customFormat="1" ht="18" customHeight="1"/>
    <row r="161" s="3" customFormat="1" ht="18" customHeight="1"/>
    <row r="162" s="3" customFormat="1" ht="18" customHeight="1"/>
    <row r="163" s="3" customFormat="1" ht="18" customHeight="1"/>
    <row r="164" s="3" customFormat="1" ht="18" customHeight="1"/>
    <row r="165" s="3" customFormat="1" ht="18" customHeight="1"/>
    <row r="166" s="3" customFormat="1" ht="18" customHeight="1"/>
    <row r="167" s="3" customFormat="1" ht="18" customHeight="1"/>
    <row r="168" s="3" customFormat="1" ht="18" customHeight="1"/>
    <row r="169" s="3" customFormat="1" ht="18" customHeight="1"/>
    <row r="170" s="3" customFormat="1" ht="18" customHeight="1"/>
    <row r="171" s="3" customFormat="1" ht="18" customHeight="1"/>
    <row r="172" s="3" customFormat="1" ht="18" customHeight="1"/>
    <row r="173" s="3" customFormat="1" ht="18" customHeight="1"/>
    <row r="174" s="3" customFormat="1" ht="18" customHeight="1"/>
    <row r="175" s="3" customFormat="1" ht="18" customHeight="1"/>
    <row r="176" s="3" customFormat="1" ht="18" customHeight="1"/>
    <row r="177" s="3" customFormat="1" ht="18" customHeight="1"/>
    <row r="178" s="3" customFormat="1" ht="18" customHeight="1"/>
    <row r="179" s="3" customFormat="1" ht="18" customHeight="1"/>
    <row r="180" s="3" customFormat="1" ht="18" customHeight="1"/>
    <row r="181" s="3" customFormat="1" ht="18" customHeight="1"/>
    <row r="182" s="3" customFormat="1" ht="18" customHeight="1"/>
    <row r="183" s="3" customFormat="1" ht="18" customHeight="1"/>
    <row r="184" s="3" customFormat="1" ht="18" customHeight="1"/>
    <row r="185" s="3" customFormat="1" ht="18" customHeight="1"/>
    <row r="186" s="3" customFormat="1" ht="18" customHeight="1"/>
    <row r="187" s="3" customFormat="1" ht="18" customHeight="1"/>
    <row r="188" s="3" customFormat="1" ht="18" customHeight="1"/>
    <row r="189" s="3" customFormat="1" ht="18" customHeight="1"/>
    <row r="190" s="3" customFormat="1" ht="18" customHeight="1"/>
    <row r="191" s="3" customFormat="1" ht="18" customHeight="1"/>
    <row r="192" s="3" customFormat="1" ht="18" customHeight="1"/>
    <row r="193" s="3" customFormat="1" ht="18" customHeight="1"/>
    <row r="194" s="3" customFormat="1" ht="18" customHeight="1"/>
    <row r="195" s="3" customFormat="1" ht="18" customHeight="1"/>
    <row r="196" s="3" customFormat="1" ht="18" customHeight="1"/>
    <row r="197" s="3" customFormat="1" ht="18" customHeight="1"/>
    <row r="198" s="3" customFormat="1" ht="18" customHeight="1"/>
    <row r="199" s="3" customFormat="1" ht="18" customHeight="1"/>
    <row r="200" s="3" customFormat="1" ht="18" customHeight="1"/>
    <row r="201" s="3" customFormat="1" ht="18" customHeight="1"/>
    <row r="202" s="3" customFormat="1" ht="18" customHeight="1"/>
    <row r="203" s="3" customFormat="1" ht="18" customHeight="1"/>
    <row r="204" s="3" customFormat="1" ht="18" customHeight="1"/>
    <row r="205" s="3" customFormat="1" ht="18" customHeight="1"/>
    <row r="206" s="3" customFormat="1" ht="18" customHeight="1"/>
    <row r="207" s="3" customFormat="1" ht="18" customHeight="1"/>
    <row r="208" s="3" customFormat="1" ht="18" customHeight="1"/>
    <row r="209" s="3" customFormat="1" ht="18" customHeight="1"/>
    <row r="210" s="3" customFormat="1" ht="18" customHeight="1"/>
    <row r="211" s="3" customFormat="1" ht="18" customHeight="1"/>
    <row r="212" s="3" customFormat="1" ht="18" customHeight="1"/>
    <row r="213" s="3" customFormat="1" ht="18" customHeight="1"/>
    <row r="214" s="3" customFormat="1" ht="18" customHeight="1"/>
    <row r="215" s="3" customFormat="1" ht="18" customHeight="1"/>
    <row r="216" s="3" customFormat="1" ht="18" customHeight="1"/>
    <row r="217" s="3" customFormat="1" ht="18" customHeight="1"/>
    <row r="218" s="3" customFormat="1" ht="18" customHeight="1"/>
    <row r="219" s="3" customFormat="1" ht="18" customHeight="1"/>
    <row r="220" s="3" customFormat="1" ht="18" customHeight="1"/>
    <row r="221" s="3" customFormat="1" ht="18" customHeight="1"/>
    <row r="222" s="3" customFormat="1" ht="18" customHeight="1"/>
    <row r="223" s="3" customFormat="1" ht="18" customHeight="1"/>
    <row r="224" s="3" customFormat="1" ht="18" customHeight="1"/>
    <row r="225" s="3" customFormat="1" ht="18" customHeight="1"/>
    <row r="226" s="3" customFormat="1" ht="18" customHeight="1"/>
    <row r="227" s="3" customFormat="1" ht="18" customHeight="1"/>
    <row r="228" s="3" customFormat="1" ht="18" customHeight="1"/>
    <row r="229" s="3" customFormat="1" ht="18" customHeight="1"/>
    <row r="230" s="3" customFormat="1" ht="18" customHeight="1"/>
    <row r="231" s="3" customFormat="1" ht="18" customHeight="1"/>
    <row r="232" s="3" customFormat="1" ht="18" customHeight="1"/>
    <row r="233" s="3" customFormat="1" ht="18" customHeight="1"/>
    <row r="234" s="3" customFormat="1" ht="18" customHeight="1"/>
    <row r="235" s="3" customFormat="1" ht="18" customHeight="1"/>
    <row r="236" s="3" customFormat="1" ht="18" customHeight="1"/>
    <row r="237" s="3" customFormat="1" ht="18" customHeight="1"/>
    <row r="238" s="3" customFormat="1" ht="18" customHeight="1"/>
    <row r="239" s="3" customFormat="1" ht="18" customHeight="1"/>
    <row r="240" s="3" customFormat="1" ht="18" customHeight="1"/>
    <row r="241" s="3" customFormat="1" ht="18" customHeight="1"/>
    <row r="242" s="3" customFormat="1" ht="18" customHeight="1"/>
    <row r="243" s="3" customFormat="1" ht="18" customHeight="1"/>
    <row r="244" s="3" customFormat="1" ht="18" customHeight="1"/>
    <row r="245" s="3" customFormat="1" ht="18" customHeight="1"/>
    <row r="246" s="3" customFormat="1" ht="18" customHeight="1"/>
    <row r="247" s="3" customFormat="1" ht="18" customHeight="1"/>
    <row r="248" s="3" customFormat="1" ht="18" customHeight="1"/>
    <row r="249" s="3" customFormat="1" ht="18" customHeight="1"/>
    <row r="250" s="3" customFormat="1" ht="18" customHeight="1"/>
    <row r="251" s="3" customFormat="1" ht="18" customHeight="1"/>
    <row r="252" s="3" customFormat="1" ht="18" customHeight="1"/>
    <row r="253" s="3" customFormat="1" ht="18" customHeight="1"/>
    <row r="254" s="3" customFormat="1" ht="18" customHeight="1"/>
    <row r="255" s="3" customFormat="1" ht="18" customHeight="1"/>
    <row r="256" s="3" customFormat="1" ht="18" customHeight="1"/>
    <row r="257" s="3" customFormat="1" ht="18" customHeight="1"/>
    <row r="258" s="3" customFormat="1" ht="18" customHeight="1"/>
    <row r="259" s="3" customFormat="1" ht="18" customHeight="1"/>
    <row r="260" s="3" customFormat="1" ht="18" customHeight="1"/>
    <row r="261" s="3" customFormat="1" ht="18" customHeight="1"/>
    <row r="262" s="3" customFormat="1" ht="18" customHeight="1"/>
    <row r="263" s="3" customFormat="1" ht="18" customHeight="1"/>
    <row r="264" s="3" customFormat="1" ht="18" customHeight="1"/>
    <row r="265" s="3" customFormat="1" ht="18" customHeight="1"/>
    <row r="266" s="3" customFormat="1" ht="18" customHeight="1"/>
    <row r="267" s="3" customFormat="1" ht="18" customHeight="1"/>
    <row r="268" s="3" customFormat="1" ht="18" customHeight="1"/>
    <row r="269" s="3" customFormat="1" ht="18" customHeight="1"/>
    <row r="270" s="3" customFormat="1" ht="18" customHeight="1"/>
    <row r="271" s="3" customFormat="1" ht="18" customHeight="1"/>
    <row r="272" s="3" customFormat="1" ht="18" customHeight="1"/>
    <row r="273" s="3" customFormat="1" ht="18" customHeight="1"/>
    <row r="274" s="3" customFormat="1" ht="18" customHeight="1"/>
    <row r="275" s="3" customFormat="1" ht="18" customHeight="1"/>
    <row r="276" s="3" customFormat="1" ht="18" customHeight="1"/>
    <row r="277" s="3" customFormat="1" ht="18" customHeight="1"/>
    <row r="278" s="3" customFormat="1" ht="18" customHeight="1"/>
    <row r="279" s="3" customFormat="1" ht="18" customHeight="1"/>
    <row r="280" s="3" customFormat="1" ht="18" customHeight="1"/>
    <row r="281" s="3" customFormat="1" ht="18" customHeight="1"/>
    <row r="282" s="3" customFormat="1" ht="18" customHeight="1"/>
    <row r="283" s="3" customFormat="1" ht="18" customHeight="1"/>
    <row r="284" s="3" customFormat="1" ht="18" customHeight="1"/>
    <row r="285" s="3" customFormat="1" ht="18" customHeight="1"/>
    <row r="286" s="3" customFormat="1" ht="18" customHeight="1"/>
    <row r="287" s="3" customFormat="1" ht="18" customHeight="1"/>
    <row r="288" s="3" customFormat="1" ht="18" customHeight="1"/>
    <row r="289" s="3" customFormat="1" ht="18" customHeight="1"/>
    <row r="290" s="3" customFormat="1" ht="18" customHeight="1"/>
    <row r="291" s="3" customFormat="1" ht="18" customHeight="1"/>
    <row r="292" s="3" customFormat="1" ht="18" customHeight="1"/>
    <row r="293" s="3" customFormat="1" ht="18" customHeight="1"/>
    <row r="294" s="3" customFormat="1" ht="18" customHeight="1"/>
    <row r="295" s="3" customFormat="1" ht="18" customHeight="1"/>
    <row r="296" s="3" customFormat="1" ht="18" customHeight="1"/>
    <row r="297" s="3" customFormat="1" ht="18" customHeight="1"/>
    <row r="298" s="3" customFormat="1" ht="18" customHeight="1"/>
    <row r="299" s="3" customFormat="1" ht="18" customHeight="1"/>
    <row r="300" s="3" customFormat="1" ht="18" customHeight="1"/>
    <row r="301" s="3" customFormat="1" ht="18" customHeight="1"/>
    <row r="302" s="3" customFormat="1" ht="18" customHeight="1"/>
    <row r="303" s="3" customFormat="1" ht="18" customHeight="1"/>
    <row r="304" s="3" customFormat="1" ht="18" customHeight="1"/>
    <row r="305" s="3" customFormat="1" ht="18" customHeight="1"/>
    <row r="306" s="3" customFormat="1" ht="18" customHeight="1"/>
    <row r="307" s="3" customFormat="1" ht="18" customHeight="1"/>
    <row r="308" s="3" customFormat="1" ht="18" customHeight="1"/>
    <row r="309" s="3" customFormat="1" ht="18" customHeight="1"/>
    <row r="310" s="3" customFormat="1" ht="18" customHeight="1"/>
    <row r="311" s="3" customFormat="1" ht="18" customHeight="1"/>
    <row r="312" s="3" customFormat="1" ht="18" customHeight="1"/>
    <row r="313" s="3" customFormat="1" ht="18" customHeight="1"/>
    <row r="314" s="3" customFormat="1" ht="18" customHeight="1"/>
    <row r="315" s="3" customFormat="1" ht="18" customHeight="1"/>
    <row r="316" s="3" customFormat="1" ht="18" customHeight="1"/>
    <row r="317" s="3" customFormat="1" ht="18" customHeight="1"/>
    <row r="318" s="3" customFormat="1" ht="18" customHeight="1"/>
    <row r="319" s="3" customFormat="1" ht="18" customHeight="1"/>
    <row r="320" s="3" customFormat="1" ht="18" customHeight="1"/>
    <row r="321" s="3" customFormat="1" ht="18" customHeight="1"/>
    <row r="322" s="3" customFormat="1" ht="18" customHeight="1"/>
    <row r="323" s="3" customFormat="1" ht="18" customHeight="1"/>
    <row r="324" s="3" customFormat="1" ht="18" customHeight="1"/>
    <row r="325" s="3" customFormat="1" ht="18" customHeight="1"/>
    <row r="326" s="3" customFormat="1" ht="18" customHeight="1"/>
    <row r="327" s="3" customFormat="1" ht="18" customHeight="1"/>
    <row r="328" s="3" customFormat="1" ht="18" customHeight="1"/>
    <row r="329" s="3" customFormat="1" ht="18" customHeight="1"/>
    <row r="330" s="3" customFormat="1" ht="18" customHeight="1"/>
    <row r="331" s="3" customFormat="1" ht="18" customHeight="1"/>
    <row r="332" s="3" customFormat="1" ht="18" customHeight="1"/>
    <row r="333" s="3" customFormat="1" ht="18" customHeight="1"/>
    <row r="334" s="3" customFormat="1" ht="18" customHeight="1"/>
    <row r="335" s="3" customFormat="1" ht="18" customHeight="1"/>
    <row r="336" s="3" customFormat="1" ht="18" customHeight="1"/>
    <row r="337" s="3" customFormat="1" ht="18" customHeight="1"/>
    <row r="338" s="3" customFormat="1" ht="18" customHeight="1"/>
    <row r="339" s="3" customFormat="1" ht="18" customHeight="1"/>
    <row r="340" s="3" customFormat="1" ht="18" customHeight="1"/>
    <row r="341" s="3" customFormat="1" ht="18" customHeight="1"/>
    <row r="342" s="3" customFormat="1" ht="18" customHeight="1"/>
    <row r="343" s="3" customFormat="1" ht="18" customHeight="1"/>
    <row r="344" s="3" customFormat="1" ht="18" customHeight="1"/>
    <row r="345" s="3" customFormat="1" ht="18" customHeight="1"/>
    <row r="346" s="3" customFormat="1" ht="18" customHeight="1"/>
    <row r="347" s="3" customFormat="1" ht="18" customHeight="1"/>
    <row r="348" s="3" customFormat="1" ht="18" customHeight="1"/>
    <row r="349" s="3" customFormat="1" ht="18" customHeight="1"/>
    <row r="350" s="3" customFormat="1" ht="18" customHeight="1"/>
    <row r="351" s="3" customFormat="1" ht="18" customHeight="1"/>
    <row r="352" s="3" customFormat="1" ht="18" customHeight="1"/>
    <row r="353" s="3" customFormat="1" ht="18" customHeight="1"/>
    <row r="354" s="3" customFormat="1" ht="18" customHeight="1"/>
    <row r="355" s="3" customFormat="1" ht="18" customHeight="1"/>
    <row r="356" s="3" customFormat="1" ht="18" customHeight="1"/>
    <row r="357" s="3" customFormat="1" ht="18" customHeight="1"/>
    <row r="358" s="3" customFormat="1" ht="18" customHeight="1"/>
    <row r="359" s="3" customFormat="1" ht="18" customHeight="1"/>
    <row r="360" s="3" customFormat="1" ht="18" customHeight="1"/>
    <row r="361" s="3" customFormat="1" ht="18" customHeight="1"/>
    <row r="362" s="3" customFormat="1" ht="18" customHeight="1"/>
    <row r="363" s="3" customFormat="1" ht="18" customHeight="1"/>
    <row r="364" s="3" customFormat="1" ht="18" customHeight="1"/>
    <row r="365" s="3" customFormat="1" ht="18" customHeight="1"/>
    <row r="366" s="3" customFormat="1" ht="18" customHeight="1"/>
    <row r="367" s="3" customFormat="1" ht="18" customHeight="1"/>
    <row r="368" s="3" customFormat="1" ht="18" customHeight="1"/>
    <row r="369" s="3" customFormat="1" ht="18" customHeight="1"/>
    <row r="370" s="3" customFormat="1" ht="18" customHeight="1"/>
    <row r="371" s="3" customFormat="1" ht="18" customHeight="1"/>
    <row r="372" s="3" customFormat="1" ht="18" customHeight="1"/>
    <row r="373" s="3" customFormat="1" ht="18" customHeight="1"/>
    <row r="374" s="3" customFormat="1" ht="18" customHeight="1"/>
    <row r="375" s="3" customFormat="1" ht="18" customHeight="1"/>
    <row r="376" s="3" customFormat="1" ht="18" customHeight="1"/>
    <row r="377" s="3" customFormat="1" ht="18" customHeight="1"/>
    <row r="378" s="3" customFormat="1" ht="18" customHeight="1"/>
    <row r="379" s="3" customFormat="1" ht="18" customHeight="1"/>
    <row r="380" s="3" customFormat="1" ht="18" customHeight="1"/>
    <row r="381" s="3" customFormat="1" ht="18" customHeight="1"/>
    <row r="382" s="3" customFormat="1" ht="18" customHeight="1"/>
    <row r="383" s="3" customFormat="1" ht="18" customHeight="1"/>
    <row r="384" s="3" customFormat="1" ht="18" customHeight="1"/>
    <row r="385" s="3" customFormat="1" ht="18" customHeight="1"/>
    <row r="386" s="3" customFormat="1" ht="18" customHeight="1"/>
    <row r="387" s="3" customFormat="1" ht="18" customHeight="1"/>
    <row r="388" s="3" customFormat="1" ht="18" customHeight="1"/>
    <row r="389" s="3" customFormat="1" ht="18" customHeight="1"/>
    <row r="390" s="3" customFormat="1" ht="18" customHeight="1"/>
    <row r="391" s="3" customFormat="1" ht="18" customHeight="1"/>
    <row r="392" s="3" customFormat="1" ht="18" customHeight="1"/>
    <row r="393" s="3" customFormat="1" ht="18" customHeight="1"/>
    <row r="394" s="3" customFormat="1" ht="18" customHeight="1"/>
    <row r="395" s="3" customFormat="1" ht="18" customHeight="1"/>
    <row r="396" s="3" customFormat="1" ht="18" customHeight="1"/>
    <row r="397" s="3" customFormat="1" ht="18" customHeight="1"/>
    <row r="398" s="3" customFormat="1" ht="18" customHeight="1"/>
    <row r="399" s="3" customFormat="1" ht="18" customHeight="1"/>
    <row r="400" s="3" customFormat="1" ht="18" customHeight="1"/>
    <row r="401" s="3" customFormat="1" ht="18" customHeight="1"/>
    <row r="402" s="3" customFormat="1" ht="18" customHeight="1"/>
    <row r="403" s="3" customFormat="1" ht="18" customHeight="1"/>
    <row r="404" s="3" customFormat="1" ht="18" customHeight="1"/>
    <row r="405" s="3" customFormat="1" ht="18" customHeight="1"/>
    <row r="406" s="3" customFormat="1" ht="18" customHeight="1"/>
    <row r="407" s="3" customFormat="1" ht="18" customHeight="1"/>
    <row r="408" s="3" customFormat="1" ht="18" customHeight="1"/>
    <row r="409" s="3" customFormat="1" ht="18" customHeight="1"/>
    <row r="410" s="3" customFormat="1" ht="18" customHeight="1"/>
    <row r="411" s="3" customFormat="1" ht="18" customHeight="1"/>
    <row r="412" s="3" customFormat="1" ht="18" customHeight="1"/>
    <row r="413" s="3" customFormat="1" ht="18" customHeight="1"/>
    <row r="414" s="3" customFormat="1" ht="18" customHeight="1"/>
    <row r="415" s="3" customFormat="1" ht="18" customHeight="1"/>
    <row r="416" s="3" customFormat="1" ht="18" customHeight="1"/>
    <row r="417" s="3" customFormat="1" ht="18" customHeight="1"/>
    <row r="418" s="3" customFormat="1" ht="18" customHeight="1"/>
    <row r="419" s="3" customFormat="1" ht="18" customHeight="1"/>
    <row r="420" s="3" customFormat="1" ht="18" customHeight="1"/>
    <row r="421" s="3" customFormat="1" ht="18" customHeight="1"/>
    <row r="422" s="3" customFormat="1" ht="18" customHeight="1"/>
    <row r="423" s="3" customFormat="1" ht="18" customHeight="1"/>
    <row r="424" s="3" customFormat="1" ht="18" customHeight="1"/>
    <row r="425" s="3" customFormat="1" ht="18" customHeight="1"/>
    <row r="426" s="3" customFormat="1" ht="18" customHeight="1"/>
    <row r="427" s="3" customFormat="1" ht="18" customHeight="1"/>
    <row r="428" s="3" customFormat="1" ht="18" customHeight="1"/>
    <row r="429" s="3" customFormat="1" ht="18" customHeight="1"/>
    <row r="430" s="3" customFormat="1" ht="18" customHeight="1"/>
    <row r="431" s="3" customFormat="1" ht="18" customHeight="1"/>
    <row r="432" s="3" customFormat="1" ht="18" customHeight="1"/>
    <row r="433" s="3" customFormat="1" ht="18" customHeight="1"/>
    <row r="434" s="3" customFormat="1" ht="18" customHeight="1"/>
    <row r="435" s="3" customFormat="1" ht="18" customHeight="1"/>
    <row r="436" s="3" customFormat="1" ht="18" customHeight="1"/>
    <row r="437" s="3" customFormat="1" ht="18" customHeight="1"/>
    <row r="438" s="3" customFormat="1" ht="18" customHeight="1"/>
    <row r="439" s="3" customFormat="1" ht="18" customHeight="1"/>
    <row r="440" s="3" customFormat="1" ht="18" customHeight="1"/>
    <row r="441" s="3" customFormat="1" ht="18" customHeight="1"/>
    <row r="442" s="3" customFormat="1" ht="18" customHeight="1"/>
    <row r="443" s="3" customFormat="1" ht="18" customHeight="1"/>
    <row r="444" s="3" customFormat="1" ht="18" customHeight="1"/>
    <row r="445" s="3" customFormat="1" ht="18" customHeight="1"/>
    <row r="446" s="3" customFormat="1" ht="18" customHeight="1"/>
    <row r="447" s="3" customFormat="1" ht="18" customHeight="1"/>
    <row r="448" s="3" customFormat="1" ht="18" customHeight="1"/>
    <row r="449" s="3" customFormat="1" ht="18" customHeight="1"/>
    <row r="450" s="3" customFormat="1" ht="18" customHeight="1"/>
    <row r="451" s="3" customFormat="1" ht="18" customHeight="1"/>
    <row r="452" s="3" customFormat="1" ht="18" customHeight="1"/>
    <row r="453" s="3" customFormat="1" ht="18" customHeight="1"/>
    <row r="454" s="3" customFormat="1" ht="18" customHeight="1"/>
    <row r="455" s="3" customFormat="1" ht="18" customHeight="1"/>
    <row r="456" s="3" customFormat="1" ht="18" customHeight="1"/>
    <row r="457" s="3" customFormat="1" ht="18" customHeight="1"/>
    <row r="458" s="3" customFormat="1" ht="18" customHeight="1"/>
    <row r="459" s="3" customFormat="1" ht="18" customHeight="1"/>
    <row r="460" s="3" customFormat="1" ht="18" customHeight="1"/>
    <row r="461" s="3" customFormat="1" ht="18" customHeight="1"/>
    <row r="462" s="3" customFormat="1" ht="18" customHeight="1"/>
    <row r="463" s="3" customFormat="1" ht="18" customHeight="1"/>
    <row r="464" s="3" customFormat="1" ht="18" customHeight="1"/>
    <row r="465" s="3" customFormat="1" ht="18" customHeight="1"/>
    <row r="466" s="3" customFormat="1" ht="18" customHeight="1"/>
    <row r="467" s="3" customFormat="1" ht="18" customHeight="1"/>
    <row r="468" s="3" customFormat="1" ht="18" customHeight="1"/>
    <row r="469" s="3" customFormat="1" ht="18" customHeight="1"/>
    <row r="470" s="3" customFormat="1" ht="18" customHeight="1"/>
    <row r="471" s="3" customFormat="1" ht="18" customHeight="1"/>
    <row r="472" s="3" customFormat="1" ht="18" customHeight="1"/>
    <row r="473" s="3" customFormat="1" ht="18" customHeight="1"/>
    <row r="474" s="3" customFormat="1" ht="18" customHeight="1"/>
    <row r="475" s="3" customFormat="1" ht="18" customHeight="1"/>
    <row r="476" s="3" customFormat="1" ht="18" customHeight="1"/>
    <row r="477" s="3" customFormat="1" ht="18" customHeight="1"/>
    <row r="478" s="3" customFormat="1" ht="18" customHeight="1"/>
    <row r="479" s="3" customFormat="1" ht="18" customHeight="1"/>
    <row r="480" s="3" customFormat="1" ht="18" customHeight="1"/>
    <row r="481" s="3" customFormat="1" ht="18" customHeight="1"/>
    <row r="482" s="3" customFormat="1" ht="18" customHeight="1"/>
    <row r="483" s="3" customFormat="1" ht="18" customHeight="1"/>
    <row r="484" s="3" customFormat="1" ht="18" customHeight="1"/>
    <row r="485" s="3" customFormat="1" ht="18" customHeight="1"/>
    <row r="486" s="3" customFormat="1" ht="18" customHeight="1"/>
    <row r="487" s="3" customFormat="1" ht="18" customHeight="1"/>
    <row r="488" s="3" customFormat="1" ht="18" customHeight="1"/>
    <row r="489" s="3" customFormat="1" ht="18" customHeight="1"/>
    <row r="490" s="3" customFormat="1" ht="18" customHeight="1"/>
    <row r="491" s="3" customFormat="1" ht="18" customHeight="1"/>
    <row r="492" s="3" customFormat="1" ht="18" customHeight="1"/>
    <row r="493" s="3" customFormat="1" ht="18" customHeight="1"/>
    <row r="494" s="3" customFormat="1" ht="18" customHeight="1"/>
    <row r="495" s="3" customFormat="1" ht="18" customHeight="1"/>
    <row r="496" s="3" customFormat="1" ht="18" customHeight="1"/>
    <row r="497" s="3" customFormat="1" ht="18" customHeight="1"/>
    <row r="498" s="3" customFormat="1" ht="18" customHeight="1"/>
    <row r="499" s="3" customFormat="1" ht="18" customHeight="1"/>
    <row r="500" s="3" customFormat="1" ht="18" customHeight="1"/>
    <row r="501" s="3" customFormat="1" ht="18" customHeight="1"/>
    <row r="502" s="3" customFormat="1" ht="18" customHeight="1"/>
    <row r="503" s="3" customFormat="1" ht="18" customHeight="1"/>
    <row r="504" s="3" customFormat="1" ht="18" customHeight="1"/>
    <row r="505" s="3" customFormat="1" ht="18" customHeight="1"/>
    <row r="506" s="3" customFormat="1" ht="18" customHeight="1"/>
    <row r="507" s="3" customFormat="1" ht="18" customHeight="1"/>
    <row r="508" s="3" customFormat="1" ht="18" customHeight="1"/>
    <row r="509" s="3" customFormat="1" ht="18" customHeight="1"/>
    <row r="510" s="3" customFormat="1" ht="18" customHeight="1"/>
    <row r="511" s="3" customFormat="1" ht="18" customHeight="1"/>
    <row r="512" s="3" customFormat="1" ht="18" customHeight="1"/>
    <row r="513" s="3" customFormat="1" ht="18" customHeight="1"/>
    <row r="514" s="3" customFormat="1" ht="18" customHeight="1"/>
    <row r="515" s="3" customFormat="1" ht="18" customHeight="1"/>
    <row r="516" s="3" customFormat="1" ht="18" customHeight="1"/>
    <row r="517" s="3" customFormat="1" ht="18" customHeight="1"/>
    <row r="518" s="3" customFormat="1" ht="18" customHeight="1"/>
    <row r="519" s="3" customFormat="1" ht="18" customHeight="1"/>
    <row r="520" s="3" customFormat="1" ht="18" customHeight="1"/>
    <row r="521" s="3" customFormat="1" ht="18" customHeight="1"/>
    <row r="522" s="3" customFormat="1" ht="18" customHeight="1"/>
    <row r="523" s="3" customFormat="1" ht="18" customHeight="1"/>
    <row r="524" s="3" customFormat="1" ht="18" customHeight="1"/>
    <row r="525" s="3" customFormat="1" ht="18" customHeight="1"/>
    <row r="526" s="3" customFormat="1" ht="18" customHeight="1"/>
    <row r="527" s="3" customFormat="1" ht="18" customHeight="1"/>
    <row r="528" s="3" customFormat="1" ht="18" customHeight="1"/>
    <row r="529" s="3" customFormat="1" ht="18" customHeight="1"/>
    <row r="530" s="3" customFormat="1" ht="18" customHeight="1"/>
    <row r="531" s="3" customFormat="1" ht="18" customHeight="1"/>
    <row r="532" s="3" customFormat="1" ht="18" customHeight="1"/>
    <row r="533" s="3" customFormat="1" ht="18" customHeight="1"/>
    <row r="534" s="3" customFormat="1" ht="18" customHeight="1"/>
    <row r="535" s="3" customFormat="1" ht="18" customHeight="1"/>
    <row r="536" s="3" customFormat="1" ht="18" customHeight="1"/>
    <row r="537" s="3" customFormat="1" ht="18" customHeight="1"/>
    <row r="538" s="3" customFormat="1" ht="18" customHeight="1"/>
    <row r="539" s="3" customFormat="1" ht="18" customHeight="1"/>
    <row r="540" s="3" customFormat="1" ht="18" customHeight="1"/>
    <row r="541" s="3" customFormat="1" ht="18" customHeight="1"/>
    <row r="542" s="3" customFormat="1" ht="18" customHeight="1"/>
    <row r="543" s="3" customFormat="1" ht="18" customHeight="1"/>
    <row r="544" s="3" customFormat="1" ht="18" customHeight="1"/>
    <row r="545" s="3" customFormat="1" ht="18" customHeight="1"/>
    <row r="546" s="3" customFormat="1" ht="18" customHeight="1"/>
    <row r="547" s="3" customFormat="1" ht="18" customHeight="1"/>
    <row r="548" s="3" customFormat="1" ht="18" customHeight="1"/>
    <row r="549" s="3" customFormat="1" ht="18" customHeight="1"/>
    <row r="550" s="3" customFormat="1" ht="18" customHeight="1"/>
    <row r="551" s="3" customFormat="1" ht="18" customHeight="1"/>
    <row r="552" s="3" customFormat="1" ht="18" customHeight="1"/>
    <row r="553" s="3" customFormat="1" ht="18" customHeight="1"/>
    <row r="554" s="3" customFormat="1" ht="18" customHeight="1"/>
    <row r="555" s="3" customFormat="1" ht="18" customHeight="1"/>
    <row r="556" s="3" customFormat="1" ht="18" customHeight="1"/>
    <row r="557" s="3" customFormat="1" ht="18" customHeight="1"/>
    <row r="558" s="3" customFormat="1" ht="18" customHeight="1"/>
    <row r="559" s="3" customFormat="1" ht="18" customHeight="1"/>
    <row r="560" s="3" customFormat="1" ht="18" customHeight="1"/>
    <row r="561" s="3" customFormat="1" ht="18" customHeight="1"/>
    <row r="562" s="3" customFormat="1" ht="18" customHeight="1"/>
    <row r="563" s="3" customFormat="1" ht="18" customHeight="1"/>
    <row r="564" s="3" customFormat="1" ht="18" customHeight="1"/>
    <row r="565" s="3" customFormat="1" ht="18" customHeight="1"/>
    <row r="566" s="3" customFormat="1" ht="18" customHeight="1"/>
    <row r="567" s="3" customFormat="1" ht="18" customHeight="1"/>
    <row r="568" s="3" customFormat="1" ht="18" customHeight="1"/>
    <row r="569" s="3" customFormat="1" ht="18" customHeight="1"/>
    <row r="570" s="3" customFormat="1" ht="18" customHeight="1"/>
    <row r="571" s="3" customFormat="1" ht="18" customHeight="1"/>
    <row r="572" s="3" customFormat="1" ht="18" customHeight="1"/>
    <row r="573" s="3" customFormat="1" ht="18" customHeight="1"/>
    <row r="574" s="3" customFormat="1" ht="18" customHeight="1"/>
    <row r="575" s="3" customFormat="1" ht="18" customHeight="1"/>
    <row r="576" s="3" customFormat="1" ht="18" customHeight="1"/>
    <row r="577" s="3" customFormat="1" ht="18" customHeight="1"/>
    <row r="578" s="3" customFormat="1" ht="18" customHeight="1"/>
    <row r="579" s="3" customFormat="1" ht="18" customHeight="1"/>
    <row r="580" s="3" customFormat="1" ht="18" customHeight="1"/>
    <row r="581" s="3" customFormat="1" ht="18" customHeight="1"/>
    <row r="582" s="3" customFormat="1" ht="18" customHeight="1"/>
    <row r="583" s="3" customFormat="1" ht="18" customHeight="1"/>
    <row r="584" s="3" customFormat="1" ht="18" customHeight="1"/>
    <row r="585" s="3" customFormat="1" ht="18" customHeight="1"/>
    <row r="586" s="3" customFormat="1" ht="18" customHeight="1"/>
  </sheetData>
  <mergeCells count="1">
    <mergeCell ref="A1:P1"/>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502D0-1D0E-452B-9AC0-555D67D1C777}">
  <dimension ref="A1:AD61"/>
  <sheetViews>
    <sheetView topLeftCell="E1" zoomScaleNormal="100" workbookViewId="0">
      <selection activeCell="T21" sqref="T21"/>
    </sheetView>
  </sheetViews>
  <sheetFormatPr defaultRowHeight="14.45"/>
  <cols>
    <col min="1" max="1" width="27.7109375" customWidth="1"/>
    <col min="2" max="18" width="16.140625" customWidth="1"/>
    <col min="19" max="19" width="14" bestFit="1" customWidth="1"/>
    <col min="20" max="20" width="11.42578125" customWidth="1"/>
    <col min="21" max="21" width="11.7109375" customWidth="1"/>
    <col min="22" max="22" width="13.5703125" customWidth="1"/>
    <col min="23" max="23" width="9.85546875" customWidth="1"/>
    <col min="24" max="24" width="11.7109375" customWidth="1"/>
    <col min="25" max="25" width="10.42578125" customWidth="1"/>
    <col min="26" max="26" width="12.28515625" customWidth="1"/>
    <col min="27" max="27" width="10" customWidth="1"/>
    <col min="28" max="28" width="11.85546875" customWidth="1"/>
    <col min="29" max="29" width="11.7109375" customWidth="1"/>
    <col min="30" max="30" width="13.5703125" customWidth="1"/>
    <col min="31" max="31" width="16.7109375" customWidth="1"/>
    <col min="32" max="32" width="16.140625" customWidth="1"/>
    <col min="33" max="33" width="15.42578125" customWidth="1"/>
    <col min="34" max="34" width="11.85546875" customWidth="1"/>
    <col min="35" max="35" width="16.85546875" customWidth="1"/>
  </cols>
  <sheetData>
    <row r="1" spans="1:30" ht="49.35" customHeight="1">
      <c r="A1" s="162" t="s">
        <v>868</v>
      </c>
      <c r="B1" s="163"/>
      <c r="C1" s="163"/>
      <c r="D1" s="163"/>
      <c r="E1" s="163"/>
      <c r="F1" s="163"/>
      <c r="G1" s="163"/>
      <c r="H1" s="163"/>
      <c r="I1" s="163"/>
      <c r="J1" s="163"/>
      <c r="K1" s="163"/>
      <c r="L1" s="163"/>
      <c r="M1" s="163"/>
      <c r="N1" s="163"/>
      <c r="O1" s="163"/>
      <c r="P1" s="163"/>
      <c r="Q1" s="163"/>
      <c r="R1" s="164"/>
    </row>
    <row r="2" spans="1:30" ht="30" customHeight="1">
      <c r="A2" s="156" t="s">
        <v>869</v>
      </c>
      <c r="B2" s="157"/>
      <c r="C2" s="157"/>
      <c r="D2" s="157"/>
      <c r="E2" s="157"/>
      <c r="F2" s="157"/>
      <c r="G2" s="157"/>
      <c r="H2" s="157"/>
      <c r="I2" s="157"/>
      <c r="J2" s="157"/>
      <c r="K2" s="157"/>
      <c r="L2" s="157"/>
      <c r="M2" s="157"/>
      <c r="N2" s="157"/>
      <c r="O2" s="157"/>
      <c r="P2" s="157"/>
      <c r="Q2" s="157"/>
      <c r="R2" s="158"/>
    </row>
    <row r="3" spans="1:30" s="2" customFormat="1" ht="23.65" customHeight="1">
      <c r="A3" s="6" t="s">
        <v>88</v>
      </c>
      <c r="B3" s="1" t="s">
        <v>870</v>
      </c>
      <c r="C3" s="1" t="s">
        <v>23</v>
      </c>
      <c r="D3" s="1" t="s">
        <v>24</v>
      </c>
      <c r="E3" s="1" t="s">
        <v>25</v>
      </c>
      <c r="F3" s="1" t="s">
        <v>26</v>
      </c>
      <c r="G3" s="1" t="s">
        <v>27</v>
      </c>
      <c r="H3" s="1" t="s">
        <v>28</v>
      </c>
      <c r="I3" s="1" t="s">
        <v>29</v>
      </c>
      <c r="J3" s="1" t="s">
        <v>30</v>
      </c>
      <c r="K3" s="1" t="s">
        <v>31</v>
      </c>
      <c r="L3" s="1" t="s">
        <v>32</v>
      </c>
      <c r="M3" s="1" t="s">
        <v>16</v>
      </c>
      <c r="N3" s="1" t="s">
        <v>33</v>
      </c>
      <c r="O3" s="1" t="s">
        <v>34</v>
      </c>
      <c r="P3" s="1" t="s">
        <v>35</v>
      </c>
      <c r="Q3" s="1" t="s">
        <v>871</v>
      </c>
      <c r="R3" s="7" t="s">
        <v>872</v>
      </c>
      <c r="AD3" s="4"/>
    </row>
    <row r="4" spans="1:30" s="3" customFormat="1" ht="19.350000000000001" customHeight="1" thickBot="1">
      <c r="A4" s="8" t="s">
        <v>15</v>
      </c>
      <c r="B4" s="5">
        <f>BaseValues[[#This Row],[TOTAL]]/16</f>
        <v>73.91</v>
      </c>
      <c r="C4" s="5" cm="1">
        <f t="array" ref="C4">_xlfn.LET(_xlpm.BWV,_xlfn.XLOOKUP(BaseValues[[#This Row],[WEAPON]],WeaponData[WEAPON],WeaponData[IMPACT],0),IF(ModValues[VALENCE]="IMPACT",_xlpm.BWV+BaseValues[[#This Row],[VALEN]],_xlpm.BWV))</f>
        <v>0</v>
      </c>
      <c r="D4" s="5" cm="1">
        <f t="array" ref="D4">_xlfn.LET(_xlpm.BWV,_xlfn.XLOOKUP(BaseValues[[#This Row],[WEAPON]],WeaponData[WEAPON],WeaponData[PUNC],0),IF(ModValues[VALENCE]="PUNC",_xlpm.BWV+BaseValues[[#This Row],[VALEN]],_xlpm.BWV))</f>
        <v>0</v>
      </c>
      <c r="E4" s="5" cm="1">
        <f t="array" ref="E4">_xlfn.LET(_xlpm.BWV,_xlfn.XLOOKUP(BaseValues[[#This Row],[WEAPON]],WeaponData[WEAPON],WeaponData[SLASH],0),IF(ModValues[VALENCE]="SLASH",_xlpm.BWV+BaseValues[[#This Row],[VALEN]],_xlpm.BWV))</f>
        <v>0</v>
      </c>
      <c r="F4" s="5" cm="1">
        <f t="array" ref="F4">_xlfn.LET(_xlpm.BWV,_xlfn.XLOOKUP(BaseValues[[#This Row],[WEAPON]],WeaponData[WEAPON],WeaponData[HEAT],0),IF(ModValues[VALENCE]="HEAT",_xlpm.BWV+BaseValues[[#This Row],[VALEN]],_xlpm.BWV))</f>
        <v>0</v>
      </c>
      <c r="G4" s="5" cm="1">
        <f t="array" ref="G4">_xlfn.LET(_xlpm.BWV,_xlfn.XLOOKUP(BaseValues[[#This Row],[WEAPON]],WeaponData[WEAPON],WeaponData[COLD],0),IF(ModValues[VALENCE]="COLD",_xlpm.BWV+BaseValues[[#This Row],[VALEN]],_xlpm.BWV))</f>
        <v>0</v>
      </c>
      <c r="H4" s="5" cm="1">
        <f t="array" ref="H4">_xlfn.LET(_xlpm.BWV,_xlfn.XLOOKUP(BaseValues[[#This Row],[WEAPON]],WeaponData[WEAPON],WeaponData[ELEC],0),IF(ModValues[VALENCE]="ELEC",_xlpm.BWV+BaseValues[[#This Row],[VALEN]],_xlpm.BWV))</f>
        <v>0</v>
      </c>
      <c r="I4" s="5" cm="1">
        <f t="array" ref="I4">_xlfn.LET(_xlpm.BWV,_xlfn.XLOOKUP(BaseValues[[#This Row],[WEAPON]],WeaponData[WEAPON],WeaponData[TOXIN],0),IF(ModValues[VALENCE]="TOXIN",_xlpm.BWV+BaseValues[[#This Row],[VALEN]],_xlpm.BWV))</f>
        <v>0</v>
      </c>
      <c r="J4" s="5" cm="1">
        <f t="array" ref="J4">_xlfn.LET(_xlpm.BWV,_xlfn.XLOOKUP(BaseValues[[#This Row],[WEAPON]],WeaponData[WEAPON],WeaponData[BLAST],0),IF(ModValues[VALENCE]="BLAST",_xlpm.BWV+BaseValues[[#This Row],[VALEN]],_xlpm.BWV))</f>
        <v>0</v>
      </c>
      <c r="K4" s="5" cm="1">
        <f t="array" ref="K4">_xlfn.LET(_xlpm.BWV,_xlfn.XLOOKUP(BaseValues[[#This Row],[WEAPON]],WeaponData[WEAPON],WeaponData[RAD],0),IF(ModValues[VALENCE]="RAD",_xlpm.BWV+BaseValues[[#This Row],[VALEN]],_xlpm.BWV))</f>
        <v>760</v>
      </c>
      <c r="L4" s="5" cm="1">
        <f t="array" ref="L4">_xlfn.LET(_xlpm.BWV,_xlfn.XLOOKUP(BaseValues[[#This Row],[WEAPON]],WeaponData[WEAPON],WeaponData[GAS],0),IF(ModValues[VALENCE]="GAS",_xlpm.BWV+BaseValues[[#This Row],[VALEN]],_xlpm.BWV))</f>
        <v>0</v>
      </c>
      <c r="M4" s="5" cm="1">
        <f t="array" ref="M4">_xlfn.LET(_xlpm.BWV,_xlfn.XLOOKUP(BaseValues[[#This Row],[WEAPON]],WeaponData[WEAPON],WeaponData[MAG],0),IF(ModValues[VALENCE]="MAG",_xlpm.BWV+BaseValues[[#This Row],[VALEN]],_xlpm.BWV))</f>
        <v>422.56000000000006</v>
      </c>
      <c r="N4" s="5" cm="1">
        <f t="array" ref="N4">_xlfn.LET(_xlpm.BWV,_xlfn.XLOOKUP(BaseValues[[#This Row],[WEAPON]],WeaponData[WEAPON],WeaponData[VIRAL],0),IF(ModValues[VALENCE]="VIRAL",_xlpm.BWV+BaseValues[[#This Row],[VALEN]],_xlpm.BWV))</f>
        <v>0</v>
      </c>
      <c r="O4" s="5" cm="1">
        <f t="array" ref="O4">_xlfn.LET(_xlpm.BWV,_xlfn.XLOOKUP(BaseValues[[#This Row],[WEAPON]],WeaponData[WEAPON],WeaponData[CORR],0),IF(ModValues[VALENCE]="CORR",_xlpm.BWV+BaseValues[[#This Row],[VALEN]],_xlpm.BWV))</f>
        <v>0</v>
      </c>
      <c r="P4" s="5" cm="1">
        <f t="array" ref="P4">_xlfn.LET(_xlpm.BWV,_xlfn.XLOOKUP(BaseValues[[#This Row],[WEAPON]],WeaponData[WEAPON],WeaponData[VOID],0),IF(ModValues[VALENCE]="VOID",_xlpm.BWV+BaseValues[[#This Row],[VALEN]],_xlpm.BWV))</f>
        <v>0</v>
      </c>
      <c r="Q4" s="5">
        <f>SUM(BaseValues[[#This Row],[IMPACT]:[VOID]])</f>
        <v>1182.56</v>
      </c>
      <c r="R4" s="9" cm="1">
        <f t="array" ref="R4">_xlfn.XLOOKUP(BaseValues[[#This Row],[WEAPON]],WeaponData[WEAPON],WeaponData[DMG],0)*ModValues[%]</f>
        <v>422.56000000000006</v>
      </c>
    </row>
    <row r="5" spans="1:30" ht="10.9" customHeight="1" thickBot="1">
      <c r="A5" s="15"/>
      <c r="B5" s="16"/>
      <c r="C5" s="16"/>
      <c r="D5" s="16"/>
      <c r="E5" s="16"/>
      <c r="F5" s="16"/>
      <c r="G5" s="16"/>
      <c r="H5" s="16"/>
      <c r="I5" s="16"/>
      <c r="J5" s="16"/>
      <c r="K5" s="16"/>
      <c r="L5" s="16"/>
      <c r="M5" s="16"/>
      <c r="N5" s="16"/>
      <c r="O5" s="16"/>
      <c r="P5" s="16"/>
      <c r="Q5" s="16"/>
      <c r="R5" s="17"/>
    </row>
    <row r="6" spans="1:30" ht="30" customHeight="1">
      <c r="A6" s="168" t="s">
        <v>873</v>
      </c>
      <c r="B6" s="169"/>
      <c r="C6" s="169"/>
      <c r="D6" s="169"/>
      <c r="E6" s="169"/>
      <c r="F6" s="169"/>
      <c r="G6" s="169"/>
      <c r="H6" s="169"/>
      <c r="I6" s="169"/>
      <c r="J6" s="169"/>
      <c r="K6" s="169"/>
      <c r="L6" s="169"/>
      <c r="M6" s="169"/>
      <c r="N6" s="169"/>
      <c r="O6" s="169"/>
      <c r="P6" s="169"/>
      <c r="Q6" s="169"/>
      <c r="R6" s="170"/>
    </row>
    <row r="7" spans="1:30" ht="23.65" customHeight="1">
      <c r="A7" s="6" t="s">
        <v>874</v>
      </c>
      <c r="B7" s="1" t="s">
        <v>875</v>
      </c>
      <c r="C7" s="1" t="s">
        <v>23</v>
      </c>
      <c r="D7" s="1" t="s">
        <v>24</v>
      </c>
      <c r="E7" s="1" t="s">
        <v>25</v>
      </c>
      <c r="F7" s="1" t="s">
        <v>26</v>
      </c>
      <c r="G7" s="1" t="s">
        <v>27</v>
      </c>
      <c r="H7" s="1" t="s">
        <v>28</v>
      </c>
      <c r="I7" s="1" t="s">
        <v>29</v>
      </c>
      <c r="J7" s="1" t="s">
        <v>30</v>
      </c>
      <c r="K7" s="1" t="s">
        <v>31</v>
      </c>
      <c r="L7" s="1" t="s">
        <v>32</v>
      </c>
      <c r="M7" s="1" t="s">
        <v>16</v>
      </c>
      <c r="N7" s="1" t="s">
        <v>33</v>
      </c>
      <c r="O7" s="1" t="s">
        <v>34</v>
      </c>
      <c r="P7" s="1" t="s">
        <v>35</v>
      </c>
      <c r="Q7" s="1" t="s">
        <v>36</v>
      </c>
      <c r="R7" s="7" t="s">
        <v>37</v>
      </c>
    </row>
    <row r="8" spans="1:30" ht="19.350000000000001" customHeight="1" thickBot="1">
      <c r="A8" s="8" t="s">
        <v>16</v>
      </c>
      <c r="B8" s="5">
        <v>0.55600000000000005</v>
      </c>
      <c r="C8" s="5">
        <v>0</v>
      </c>
      <c r="D8" s="5">
        <v>0</v>
      </c>
      <c r="E8" s="5">
        <v>1.2</v>
      </c>
      <c r="F8" s="5">
        <v>0</v>
      </c>
      <c r="G8" s="5">
        <v>0</v>
      </c>
      <c r="H8" s="5">
        <v>0</v>
      </c>
      <c r="I8" s="5">
        <v>0</v>
      </c>
      <c r="J8" s="5">
        <v>0</v>
      </c>
      <c r="K8" s="5">
        <v>0</v>
      </c>
      <c r="L8" s="5">
        <v>0</v>
      </c>
      <c r="M8" s="5">
        <f>1.65+1.65</f>
        <v>3.3</v>
      </c>
      <c r="N8" s="5">
        <v>0</v>
      </c>
      <c r="O8" s="5">
        <v>0</v>
      </c>
      <c r="P8" s="5">
        <v>0</v>
      </c>
      <c r="Q8" s="5">
        <f>1.65</f>
        <v>1.65</v>
      </c>
      <c r="R8" s="9">
        <v>1.3</v>
      </c>
    </row>
    <row r="9" spans="1:30" ht="10.9" customHeight="1" thickBot="1">
      <c r="A9" s="165"/>
      <c r="B9" s="166"/>
      <c r="C9" s="166"/>
      <c r="D9" s="166"/>
      <c r="E9" s="166"/>
      <c r="F9" s="166"/>
      <c r="G9" s="166"/>
      <c r="H9" s="166"/>
      <c r="I9" s="166"/>
      <c r="J9" s="166"/>
      <c r="K9" s="166"/>
      <c r="L9" s="166"/>
      <c r="M9" s="166"/>
      <c r="N9" s="166"/>
      <c r="O9" s="166"/>
      <c r="P9" s="166"/>
      <c r="Q9" s="166"/>
      <c r="R9" s="167"/>
    </row>
    <row r="10" spans="1:30" ht="30" customHeight="1">
      <c r="A10" s="168" t="s">
        <v>876</v>
      </c>
      <c r="B10" s="169"/>
      <c r="C10" s="169"/>
      <c r="D10" s="169"/>
      <c r="E10" s="169"/>
      <c r="F10" s="169"/>
      <c r="G10" s="169"/>
      <c r="H10" s="169"/>
      <c r="I10" s="169"/>
      <c r="J10" s="169"/>
      <c r="K10" s="169"/>
      <c r="L10" s="169"/>
      <c r="M10" s="169"/>
      <c r="N10" s="169"/>
      <c r="O10" s="169"/>
      <c r="P10" s="169"/>
      <c r="Q10" s="169"/>
      <c r="R10" s="170"/>
    </row>
    <row r="11" spans="1:30" ht="23.65" customHeight="1">
      <c r="A11" s="6" t="s">
        <v>857</v>
      </c>
      <c r="B11" s="1" t="s">
        <v>870</v>
      </c>
      <c r="C11" s="1" t="s">
        <v>23</v>
      </c>
      <c r="D11" s="1" t="s">
        <v>24</v>
      </c>
      <c r="E11" s="1" t="s">
        <v>25</v>
      </c>
      <c r="F11" s="1" t="s">
        <v>26</v>
      </c>
      <c r="G11" s="1" t="s">
        <v>27</v>
      </c>
      <c r="H11" s="1" t="s">
        <v>28</v>
      </c>
      <c r="I11" s="1" t="s">
        <v>29</v>
      </c>
      <c r="J11" s="1" t="s">
        <v>30</v>
      </c>
      <c r="K11" s="1" t="s">
        <v>31</v>
      </c>
      <c r="L11" s="1" t="s">
        <v>32</v>
      </c>
      <c r="M11" s="1" t="s">
        <v>16</v>
      </c>
      <c r="N11" s="1" t="s">
        <v>33</v>
      </c>
      <c r="O11" s="1" t="s">
        <v>34</v>
      </c>
      <c r="P11" s="1" t="s">
        <v>35</v>
      </c>
      <c r="Q11" s="1" t="s">
        <v>36</v>
      </c>
      <c r="R11" s="7" t="s">
        <v>877</v>
      </c>
    </row>
    <row r="12" spans="1:30" ht="19.350000000000001" customHeight="1">
      <c r="A12" s="8" t="s">
        <v>17</v>
      </c>
      <c r="B12" s="5" cm="1">
        <f t="array" ref="B12">BaseValues[QUANTA]</f>
        <v>73.91</v>
      </c>
      <c r="C12" s="5" cm="1">
        <f t="array" ref="C12">_xlfn.XLOOKUP(FactionInfo[[#This Row],[FACTION]],FactionData[[FACTION]:[FACTION]],FactionData[IMPACT],0)</f>
        <v>1.5</v>
      </c>
      <c r="D12" s="5" cm="1">
        <f t="array" ref="D12">_xlfn.XLOOKUP(FactionInfo[[#This Row],[FACTION]],FactionData[[FACTION]:[FACTION]],FactionData[PUNC],0)</f>
        <v>1</v>
      </c>
      <c r="E12" s="5" cm="1">
        <f t="array" ref="E12">_xlfn.XLOOKUP(FactionInfo[[#This Row],[FACTION]],FactionData[[FACTION]:[FACTION]],FactionData[SLASH],0)</f>
        <v>1</v>
      </c>
      <c r="F12" s="5" cm="1">
        <f t="array" ref="F12">_xlfn.XLOOKUP(FactionInfo[[#This Row],[FACTION]],FactionData[[FACTION]:[FACTION]],FactionData[HEAT],0)</f>
        <v>1</v>
      </c>
      <c r="G12" s="5" cm="1">
        <f t="array" ref="G12">_xlfn.XLOOKUP(FactionInfo[[#This Row],[FACTION]],FactionData[[FACTION]:[FACTION]],FactionData[COLD],0)</f>
        <v>1</v>
      </c>
      <c r="H12" s="5" cm="1">
        <f t="array" ref="H12">_xlfn.XLOOKUP(FactionInfo[[#This Row],[FACTION]],FactionData[[FACTION]:[FACTION]],FactionData[ELEC],0)</f>
        <v>1</v>
      </c>
      <c r="I12" s="5" cm="1">
        <f t="array" ref="I12">_xlfn.XLOOKUP(FactionInfo[[#This Row],[FACTION]],FactionData[[FACTION]:[FACTION]],FactionData[TOXIN],0)</f>
        <v>1</v>
      </c>
      <c r="J12" s="5" cm="1">
        <f t="array" ref="J12">_xlfn.XLOOKUP(FactionInfo[[#This Row],[FACTION]],FactionData[[FACTION]:[FACTION]],FactionData[BLAST],0)</f>
        <v>1</v>
      </c>
      <c r="K12" s="5" cm="1">
        <f t="array" ref="K12">_xlfn.XLOOKUP(FactionInfo[[#This Row],[FACTION]],FactionData[[FACTION]:[FACTION]],FactionData[RAD],0)</f>
        <v>1</v>
      </c>
      <c r="L12" s="5" cm="1">
        <f t="array" ref="L12">_xlfn.XLOOKUP(FactionInfo[[#This Row],[FACTION]],FactionData[[FACTION]:[FACTION]],FactionData[GAS],0)</f>
        <v>1</v>
      </c>
      <c r="M12" s="5" cm="1">
        <f t="array" ref="M12">_xlfn.XLOOKUP(FactionInfo[[#This Row],[FACTION]],FactionData[[FACTION]:[FACTION]],FactionData[MAG],0)</f>
        <v>1</v>
      </c>
      <c r="N12" s="5" cm="1">
        <f t="array" ref="N12">_xlfn.XLOOKUP(FactionInfo[[#This Row],[FACTION]],FactionData[[FACTION]:[FACTION]],FactionData[VIRAL],0)</f>
        <v>1</v>
      </c>
      <c r="O12" s="5" cm="1">
        <f t="array" ref="O12">_xlfn.XLOOKUP(FactionInfo[[#This Row],[FACTION]],FactionData[[FACTION]:[FACTION]],FactionData[CORR],0)</f>
        <v>1.5</v>
      </c>
      <c r="P12" s="5" cm="1">
        <f t="array" ref="P12">_xlfn.XLOOKUP(FactionInfo[[#This Row],[FACTION]],FactionData[[FACTION]:[FACTION]],FactionData[VOID],0)</f>
        <v>1</v>
      </c>
      <c r="Q12" s="5" cm="1">
        <f t="array" ref="Q12">_xlfn.XLOOKUP(FactionInfo[[#This Row],[FACTION]],FactionData[[FACTION]:[FACTION]],FactionData[TRUE],0)</f>
        <v>1</v>
      </c>
      <c r="R12" s="9" t="s">
        <v>877</v>
      </c>
    </row>
    <row r="13" spans="1:30" ht="10.9" customHeight="1" thickBot="1">
      <c r="A13" s="159"/>
      <c r="B13" s="160"/>
      <c r="C13" s="160"/>
      <c r="D13" s="160"/>
      <c r="E13" s="160"/>
      <c r="F13" s="160"/>
      <c r="G13" s="160"/>
      <c r="H13" s="160"/>
      <c r="I13" s="160"/>
      <c r="J13" s="160"/>
      <c r="K13" s="160"/>
      <c r="L13" s="160"/>
      <c r="M13" s="160"/>
      <c r="N13" s="160"/>
      <c r="O13" s="160"/>
      <c r="P13" s="160"/>
      <c r="Q13" s="160"/>
      <c r="R13" s="161"/>
    </row>
    <row r="14" spans="1:30" ht="30" customHeight="1">
      <c r="A14" s="168" t="s">
        <v>878</v>
      </c>
      <c r="B14" s="169"/>
      <c r="C14" s="169"/>
      <c r="D14" s="169"/>
      <c r="E14" s="169"/>
      <c r="F14" s="169"/>
      <c r="G14" s="169"/>
      <c r="H14" s="169"/>
      <c r="I14" s="169"/>
      <c r="J14" s="169"/>
      <c r="K14" s="169"/>
      <c r="L14" s="169"/>
      <c r="M14" s="169"/>
      <c r="N14" s="169"/>
      <c r="O14" s="169"/>
      <c r="P14" s="169"/>
      <c r="Q14" s="169"/>
      <c r="R14" s="170"/>
    </row>
    <row r="15" spans="1:30" ht="23.65" customHeight="1">
      <c r="A15" s="6" t="s">
        <v>879</v>
      </c>
      <c r="B15" s="1" t="s">
        <v>870</v>
      </c>
      <c r="C15" s="1" t="s">
        <v>23</v>
      </c>
      <c r="D15" s="1" t="s">
        <v>24</v>
      </c>
      <c r="E15" s="1" t="s">
        <v>25</v>
      </c>
      <c r="F15" s="1" t="s">
        <v>26</v>
      </c>
      <c r="G15" s="1" t="s">
        <v>27</v>
      </c>
      <c r="H15" s="1" t="s">
        <v>28</v>
      </c>
      <c r="I15" s="1" t="s">
        <v>29</v>
      </c>
      <c r="J15" s="1" t="s">
        <v>30</v>
      </c>
      <c r="K15" s="1" t="s">
        <v>31</v>
      </c>
      <c r="L15" s="1" t="s">
        <v>32</v>
      </c>
      <c r="M15" s="1" t="s">
        <v>16</v>
      </c>
      <c r="N15" s="1" t="s">
        <v>33</v>
      </c>
      <c r="O15" s="1" t="s">
        <v>34</v>
      </c>
      <c r="P15" s="1" t="s">
        <v>35</v>
      </c>
      <c r="Q15" s="1" t="s">
        <v>36</v>
      </c>
      <c r="R15" s="7" t="s">
        <v>877</v>
      </c>
    </row>
    <row r="16" spans="1:30" ht="19.350000000000001" customHeight="1" thickBot="1">
      <c r="A16" s="20">
        <v>2700</v>
      </c>
      <c r="B16" s="5" cm="1">
        <f t="array" ref="B16">BaseValues[QUANTA]</f>
        <v>73.91</v>
      </c>
      <c r="C16" s="5" cm="1">
        <f t="array" ref="C16">0.9*SQRT(ArmorMOD[[ARMOR]:[ARMOR]]/2700)</f>
        <v>0.9</v>
      </c>
      <c r="D16" s="5" cm="1">
        <f t="array" ref="D16">0.9*SQRT(ArmorMOD[[ARMOR]:[ARMOR]]/2700)</f>
        <v>0.9</v>
      </c>
      <c r="E16" s="5" cm="1">
        <f t="array" ref="E16">0.9*SQRT(ArmorMOD[[ARMOR]:[ARMOR]]/2700)</f>
        <v>0.9</v>
      </c>
      <c r="F16" s="5" cm="1">
        <f t="array" ref="F16">0.9*SQRT(ArmorMOD[[ARMOR]:[ARMOR]]/2700)</f>
        <v>0.9</v>
      </c>
      <c r="G16" s="5" cm="1">
        <f t="array" ref="G16">0.9*SQRT(ArmorMOD[[ARMOR]:[ARMOR]]/2700)</f>
        <v>0.9</v>
      </c>
      <c r="H16" s="5" cm="1">
        <f t="array" ref="H16">0.9*SQRT(ArmorMOD[[ARMOR]:[ARMOR]]/2700)</f>
        <v>0.9</v>
      </c>
      <c r="I16" s="5" cm="1">
        <f t="array" ref="I16">0.9*SQRT(ArmorMOD[[ARMOR]:[ARMOR]]/2700)</f>
        <v>0.9</v>
      </c>
      <c r="J16" s="5" cm="1">
        <f t="array" ref="J16">0.9*SQRT(ArmorMOD[[ARMOR]:[ARMOR]]/2700)</f>
        <v>0.9</v>
      </c>
      <c r="K16" s="5" cm="1">
        <f t="array" ref="K16">0.9*SQRT(ArmorMOD[[ARMOR]:[ARMOR]]/2700)</f>
        <v>0.9</v>
      </c>
      <c r="L16" s="5" cm="1">
        <f t="array" ref="L16">0.9*SQRT(ArmorMOD[[ARMOR]:[ARMOR]]/2700)</f>
        <v>0.9</v>
      </c>
      <c r="M16" s="5" cm="1">
        <f t="array" ref="M16">0.9*SQRT(ArmorMOD[[ARMOR]:[ARMOR]]/2700)</f>
        <v>0.9</v>
      </c>
      <c r="N16" s="5" cm="1">
        <f t="array" ref="N16">0.9*SQRT(ArmorMOD[[ARMOR]:[ARMOR]]/2700)</f>
        <v>0.9</v>
      </c>
      <c r="O16" s="5" cm="1">
        <f t="array" ref="O16">0.9*SQRT(ArmorMOD[[ARMOR]:[ARMOR]]/2700)</f>
        <v>0.9</v>
      </c>
      <c r="P16" s="5" cm="1">
        <f t="array" ref="P16">0.9*SQRT(ArmorMOD[[ARMOR]:[ARMOR]]/2700)</f>
        <v>0.9</v>
      </c>
      <c r="Q16" s="5" cm="1">
        <f t="array" ref="Q16">0.9*SQRT(ArmorMOD[[ARMOR]:[ARMOR]]/2700)</f>
        <v>0.9</v>
      </c>
      <c r="R16" s="9" t="s">
        <v>877</v>
      </c>
    </row>
    <row r="17" spans="1:18" ht="10.9" customHeight="1" thickBot="1">
      <c r="A17" s="165"/>
      <c r="B17" s="166"/>
      <c r="C17" s="166"/>
      <c r="D17" s="166"/>
      <c r="E17" s="166"/>
      <c r="F17" s="166"/>
      <c r="G17" s="166"/>
      <c r="H17" s="166"/>
      <c r="I17" s="166"/>
      <c r="J17" s="166"/>
      <c r="K17" s="166"/>
      <c r="L17" s="166"/>
      <c r="M17" s="166"/>
      <c r="N17" s="166"/>
      <c r="O17" s="166"/>
      <c r="P17" s="166"/>
      <c r="Q17" s="166"/>
      <c r="R17" s="167"/>
    </row>
    <row r="18" spans="1:18" ht="30" customHeight="1">
      <c r="A18" s="168" t="s">
        <v>880</v>
      </c>
      <c r="B18" s="169"/>
      <c r="C18" s="169"/>
      <c r="D18" s="169"/>
      <c r="E18" s="169"/>
      <c r="F18" s="169"/>
      <c r="G18" s="169"/>
      <c r="H18" s="169"/>
      <c r="I18" s="169"/>
      <c r="J18" s="169"/>
      <c r="K18" s="169"/>
      <c r="L18" s="169"/>
      <c r="M18" s="169"/>
      <c r="N18" s="169"/>
      <c r="O18" s="169"/>
      <c r="P18" s="169"/>
      <c r="Q18" s="169"/>
      <c r="R18" s="170"/>
    </row>
    <row r="19" spans="1:18" ht="23.65" customHeight="1">
      <c r="A19" s="6" t="s">
        <v>88</v>
      </c>
      <c r="B19" s="1" t="s">
        <v>870</v>
      </c>
      <c r="C19" s="1" t="s">
        <v>23</v>
      </c>
      <c r="D19" s="1" t="s">
        <v>24</v>
      </c>
      <c r="E19" s="1" t="s">
        <v>25</v>
      </c>
      <c r="F19" s="1" t="s">
        <v>26</v>
      </c>
      <c r="G19" s="1" t="s">
        <v>27</v>
      </c>
      <c r="H19" s="1" t="s">
        <v>28</v>
      </c>
      <c r="I19" s="1" t="s">
        <v>29</v>
      </c>
      <c r="J19" s="1" t="s">
        <v>30</v>
      </c>
      <c r="K19" s="1" t="s">
        <v>31</v>
      </c>
      <c r="L19" s="1" t="s">
        <v>32</v>
      </c>
      <c r="M19" s="1" t="s">
        <v>16</v>
      </c>
      <c r="N19" s="1" t="s">
        <v>33</v>
      </c>
      <c r="O19" s="1" t="s">
        <v>34</v>
      </c>
      <c r="P19" s="1" t="s">
        <v>35</v>
      </c>
      <c r="Q19" s="1" t="s">
        <v>58</v>
      </c>
      <c r="R19" s="7" t="s">
        <v>37</v>
      </c>
    </row>
    <row r="20" spans="1:18" ht="19.350000000000001" customHeight="1" thickBot="1">
      <c r="A20" s="8" t="str" cm="1">
        <f t="array" ref="A20">BaseValues[WEAPON]</f>
        <v>Tenet Arca Plasmor</v>
      </c>
      <c r="B20" s="5" cm="1">
        <f t="array" ref="B20">BaseValues[QUANTA]</f>
        <v>73.91</v>
      </c>
      <c r="C20" s="11" cm="1">
        <f t="array" ref="C20">_xlfn.LET(_xlpm.VBB,ROUND((BaseValues[IMPACT]*(1+ModValues[IMPACT])/BaseValues[[QUANTA]:[QUANTA]]),4)*BaseValues[[QUANTA]:[QUANTA]],_xlpm.VBB+(_xlpm.VBB*ModValues[[TRUE]:[TRUE]]))</f>
        <v>0</v>
      </c>
      <c r="D20" s="11" cm="1">
        <f t="array" ref="D20">_xlfn.LET(_xlpm.VBB,ROUND((BaseValues[PUNC]*(1+ModValues[PUNC])/BaseValues[[QUANTA]:[QUANTA]]),4)*BaseValues[[QUANTA]:[QUANTA]],_xlpm.VBB+(_xlpm.VBB*ModValues[[TRUE]:[TRUE]]))</f>
        <v>0</v>
      </c>
      <c r="E20" s="11" cm="1">
        <f t="array" ref="E20">_xlfn.LET(_xlpm.VBB,ROUND((BaseValues[SLASH]*(1+ModValues[SLASH])/BaseValues[[QUANTA]:[QUANTA]]),4)*BaseValues[[QUANTA]:[QUANTA]],_xlpm.VBB+(_xlpm.VBB*ModValues[[TRUE]:[TRUE]]))</f>
        <v>0</v>
      </c>
      <c r="F20" s="11" cm="1">
        <f t="array" ref="F20">_xlfn.LET(_xlpm.VBB,ROUND(((BaseValues[HEAT]+BaseValues[[TOTAL]:[TOTAL]]*ModValues[HEAT])/BaseValues[[QUANTA]:[QUANTA]]),4)*BaseValues[[QUANTA]:[QUANTA]],_xlpm.VBB+(_xlpm.VBB*ModValues[[TRUE]:[TRUE]]))</f>
        <v>0</v>
      </c>
      <c r="G20" s="11" cm="1">
        <f t="array" ref="G20">_xlfn.LET(_xlpm.VBB,ROUND(((BaseValues[COLD]+BaseValues[[TOTAL]:[TOTAL]]*ModValues[COLD])/BaseValues[[QUANTA]:[QUANTA]]),4)*BaseValues[[QUANTA]:[QUANTA]],_xlpm.VBB+(_xlpm.VBB*ModValues[[TRUE]:[TRUE]]))</f>
        <v>0</v>
      </c>
      <c r="H20" s="11" cm="1">
        <f t="array" ref="H20">_xlfn.LET(_xlpm.VBB,ROUND(((BaseValues[ELEC]+BaseValues[[TOTAL]:[TOTAL]]*ModValues[ELEC])/BaseValues[[QUANTA]:[QUANTA]]),4)*BaseValues[[QUANTA]:[QUANTA]],_xlpm.VBB+(_xlpm.VBB*ModValues[[TRUE]:[TRUE]]))</f>
        <v>0</v>
      </c>
      <c r="I20" s="11" cm="1">
        <f t="array" ref="I20">_xlfn.LET(_xlpm.VBB,ROUND(((BaseValues[TOXIN]+BaseValues[[TOTAL]:[TOTAL]]*ModValues[TOXIN])/BaseValues[[QUANTA]:[QUANTA]]),4)*BaseValues[[QUANTA]:[QUANTA]],_xlpm.VBB+(_xlpm.VBB*ModValues[[TRUE]:[TRUE]]))</f>
        <v>0</v>
      </c>
      <c r="J20" s="11" cm="1">
        <f t="array" ref="J20">_xlfn.LET(_xlpm.VBB,ROUND(((BaseValues[BLAST]+BaseValues[[TOTAL]:[TOTAL]]*ModValues[BLAST])/BaseValues[[QUANTA]:[QUANTA]]),4)*BaseValues[[QUANTA]:[QUANTA]],_xlpm.VBB+(_xlpm.VBB*ModValues[[TRUE]:[TRUE]]))</f>
        <v>0</v>
      </c>
      <c r="K20" s="11" cm="1">
        <f t="array" ref="K20">_xlfn.LET(_xlpm.VBB,ROUND(((BaseValues[RAD]+BaseValues[[TOTAL]:[TOTAL]]*ModValues[RAD])/BaseValues[[QUANTA]:[QUANTA]]),4)*BaseValues[[QUANTA]:[QUANTA]],_xlpm.VBB+(_xlpm.VBB*ModValues[[TRUE]:[TRUE]]))</f>
        <v>2014.0046321999996</v>
      </c>
      <c r="L20" s="11" cm="1">
        <f t="array" ref="L20">_xlfn.LET(_xlpm.VBB,ROUND(((BaseValues[GAS]+BaseValues[[TOTAL]:[TOTAL]]*ModValues[GAS])/BaseValues[[QUANTA]:[QUANTA]]),4)*BaseValues[[QUANTA]:[QUANTA]],_xlpm.VBB+(_xlpm.VBB*ModValues[[TRUE]:[TRUE]]))</f>
        <v>0</v>
      </c>
      <c r="M20" s="11" cm="1">
        <f t="array" ref="M20">_xlfn.LET(_xlpm.VBB,ROUND(((BaseValues[MAG]+BaseValues[[TOTAL]:[TOTAL]]*ModValues[MAG])/BaseValues[[QUANTA]:[QUANTA]]),4)*BaseValues[[QUANTA]:[QUANTA]],_xlpm.VBB+(_xlpm.VBB*ModValues[[TRUE]:[TRUE]]))</f>
        <v>11461.266567800001</v>
      </c>
      <c r="N20" s="11" cm="1">
        <f t="array" ref="N20">_xlfn.LET(_xlpm.VBB,ROUND(((BaseValues[VIRAL]+BaseValues[[TOTAL]:[TOTAL]]*ModValues[VIRAL])/BaseValues[[QUANTA]:[QUANTA]]),4)*BaseValues[[QUANTA]:[QUANTA]],_xlpm.VBB+(_xlpm.VBB*ModValues[[TRUE]:[TRUE]]))</f>
        <v>0</v>
      </c>
      <c r="O20" s="11" cm="1">
        <f t="array" ref="O20">_xlfn.LET(_xlpm.VBB,ROUND(((BaseValues[CORR]+BaseValues[[TOTAL]:[TOTAL]]*ModValues[CORR])/BaseValues[[QUANTA]:[QUANTA]]),4)*BaseValues[[QUANTA]:[QUANTA]],_xlpm.VBB+(_xlpm.VBB*ModValues[[TRUE]:[TRUE]]))</f>
        <v>0</v>
      </c>
      <c r="P20" s="11" cm="1">
        <f t="array" ref="P20">_xlfn.LET(_xlpm.VBB,ROUND(((BaseValues[VOID]+BaseValues[[TOTAL]:[TOTAL]]*ModValues[VOID])/BaseValues[[QUANTA]:[QUANTA]]),4)*BaseValues[[QUANTA]:[QUANTA]],_xlpm.VBB+(_xlpm.VBB*ModValues[[TRUE]:[TRUE]]))</f>
        <v>0</v>
      </c>
      <c r="Q20" s="5">
        <f>ROUND(SUM(HudValues[[#This Row],[IMPACT]:[VOID]]),1)</f>
        <v>13475.3</v>
      </c>
      <c r="R20" s="9" cm="1">
        <f t="array" ref="R20">HudValues[[#This Row],[DMG]]*ModValues[BANE]</f>
        <v>17517.89</v>
      </c>
    </row>
    <row r="21" spans="1:18" ht="10.9" customHeight="1" thickBot="1">
      <c r="A21" s="165"/>
      <c r="B21" s="166"/>
      <c r="C21" s="166"/>
      <c r="D21" s="166"/>
      <c r="E21" s="166"/>
      <c r="F21" s="166"/>
      <c r="G21" s="166"/>
      <c r="H21" s="166"/>
      <c r="I21" s="166"/>
      <c r="J21" s="166"/>
      <c r="K21" s="166"/>
      <c r="L21" s="166"/>
      <c r="M21" s="166"/>
      <c r="N21" s="166"/>
      <c r="O21" s="166"/>
      <c r="P21" s="166"/>
      <c r="Q21" s="166"/>
      <c r="R21" s="167"/>
    </row>
    <row r="22" spans="1:18" ht="30" customHeight="1">
      <c r="A22" s="156" t="s">
        <v>881</v>
      </c>
      <c r="B22" s="157"/>
      <c r="C22" s="157"/>
      <c r="D22" s="157"/>
      <c r="E22" s="157"/>
      <c r="F22" s="157"/>
      <c r="G22" s="157"/>
      <c r="H22" s="157"/>
      <c r="I22" s="157"/>
      <c r="J22" s="157"/>
      <c r="K22" s="157"/>
      <c r="L22" s="157"/>
      <c r="M22" s="157"/>
      <c r="N22" s="157"/>
      <c r="O22" s="157"/>
      <c r="P22" s="157"/>
      <c r="Q22" s="157"/>
      <c r="R22" s="158"/>
    </row>
    <row r="23" spans="1:18" ht="23.65" customHeight="1">
      <c r="A23" s="6" t="s">
        <v>88</v>
      </c>
      <c r="B23" s="1" t="s">
        <v>870</v>
      </c>
      <c r="C23" s="1" t="s">
        <v>23</v>
      </c>
      <c r="D23" s="1" t="s">
        <v>24</v>
      </c>
      <c r="E23" s="1" t="s">
        <v>25</v>
      </c>
      <c r="F23" s="1" t="s">
        <v>26</v>
      </c>
      <c r="G23" s="1" t="s">
        <v>27</v>
      </c>
      <c r="H23" s="1" t="s">
        <v>28</v>
      </c>
      <c r="I23" s="1" t="s">
        <v>29</v>
      </c>
      <c r="J23" s="1" t="s">
        <v>30</v>
      </c>
      <c r="K23" s="1" t="s">
        <v>31</v>
      </c>
      <c r="L23" s="1" t="s">
        <v>32</v>
      </c>
      <c r="M23" s="1" t="s">
        <v>16</v>
      </c>
      <c r="N23" s="1" t="s">
        <v>33</v>
      </c>
      <c r="O23" s="1" t="s">
        <v>34</v>
      </c>
      <c r="P23" s="1" t="s">
        <v>35</v>
      </c>
      <c r="Q23" s="1" t="s">
        <v>58</v>
      </c>
      <c r="R23" s="7" t="s">
        <v>37</v>
      </c>
    </row>
    <row r="24" spans="1:18" ht="19.350000000000001" customHeight="1">
      <c r="A24" s="8" t="str" cm="1">
        <f t="array" ref="A24">BaseValues[WEAPON]</f>
        <v>Tenet Arca Plasmor</v>
      </c>
      <c r="B24" s="5" cm="1">
        <f t="array" ref="B24">BaseValues[QUANTA]</f>
        <v>73.91</v>
      </c>
      <c r="C24" s="5" cm="1">
        <f t="array" ref="C24">ROUND(ROUND(BaseValues[IMPACT]*(1+ModValues[IMPACT])/BaseValues[[QUANTA]:[QUANTA]],0)*BaseValues[[QUANTA]:[QUANTA]],3)*FactionInfo[IMPACT]</f>
        <v>0</v>
      </c>
      <c r="D24" s="5" cm="1">
        <f t="array" ref="D24">ROUND(ROUND(BaseValues[PUNC]*(1+ModValues[PUNC])/BaseValues[[QUANTA]:[QUANTA]],0)*BaseValues[[QUANTA]:[QUANTA]],3)*FactionInfo[PUNC]</f>
        <v>0</v>
      </c>
      <c r="E24" s="5" cm="1">
        <f t="array" ref="E24">ROUND(ROUND(BaseValues[SLASH]*(1+ModValues[SLASH])/BaseValues[[QUANTA]:[QUANTA]],0)*BaseValues[[QUANTA]:[QUANTA]],3)*FactionInfo[SLASH]</f>
        <v>0</v>
      </c>
      <c r="F24" s="5" cm="1">
        <f t="array" ref="F24">ROUND(ROUND((BaseValues[HEAT]+BaseValues[[TOTAL]:[TOTAL]]*ModValues[HEAT])/BaseValues[[QUANTA]:[QUANTA]],0)*BaseValues[[QUANTA]:[QUANTA]],3)*FactionInfo[HEAT]</f>
        <v>0</v>
      </c>
      <c r="G24" s="5" cm="1">
        <f t="array" ref="G24">ROUND(ROUND((BaseValues[COLD]+BaseValues[[TOTAL]:[TOTAL]]*ModValues[COLD])/BaseValues[[QUANTA]:[QUANTA]],0)*BaseValues[[QUANTA]:[QUANTA]],3)*FactionInfo[COLD]</f>
        <v>0</v>
      </c>
      <c r="H24" s="5" cm="1">
        <f t="array" ref="H24">ROUND(ROUND((BaseValues[ELEC]+BaseValues[[TOTAL]:[TOTAL]]*ModValues[ELEC])/BaseValues[[QUANTA]:[QUANTA]],0)*BaseValues[[QUANTA]:[QUANTA]],3)*FactionInfo[ELEC]</f>
        <v>0</v>
      </c>
      <c r="I24" s="5" cm="1">
        <f t="array" ref="I24">ROUND(ROUND((BaseValues[TOXIN]+BaseValues[[TOTAL]:[TOTAL]]*ModValues[TOXIN])/BaseValues[[QUANTA]:[QUANTA]],0)*BaseValues[[QUANTA]:[QUANTA]],3)*FactionInfo[TOXIN]</f>
        <v>0</v>
      </c>
      <c r="J24" s="5" cm="1">
        <f t="array" ref="J24">ROUND(ROUND((BaseValues[BLAST]+BaseValues[[TOTAL]:[TOTAL]]*ModValues[BLAST])/BaseValues[[QUANTA]:[QUANTA]],0)*BaseValues[[QUANTA]:[QUANTA]],3)*FactionInfo[BLAST]</f>
        <v>0</v>
      </c>
      <c r="K24" s="5" cm="1">
        <f t="array" ref="K24">ROUND(ROUND((BaseValues[RAD]+BaseValues[[TOTAL]:[TOTAL]]*ModValues[RAD])/BaseValues[[QUANTA]:[QUANTA]],0)*BaseValues[[QUANTA]:[QUANTA]],3)*FactionInfo[RAD]</f>
        <v>739.1</v>
      </c>
      <c r="L24" s="5" cm="1">
        <f t="array" ref="L24">ROUND(ROUND((BaseValues[GAS]+BaseValues[[TOTAL]:[TOTAL]]*ModValues[GAS])/BaseValues[[QUANTA]:[QUANTA]],0)*BaseValues[[QUANTA]:[QUANTA]],3)*FactionInfo[GAS]</f>
        <v>0</v>
      </c>
      <c r="M24" s="5" cm="1">
        <f t="array" ref="M24">ROUND(ROUND((BaseValues[MAG]+BaseValues[[TOTAL]:[TOTAL]]*ModValues[MAG])/BaseValues[[QUANTA]:[QUANTA]],0)*BaseValues[[QUANTA]:[QUANTA]],3)*FactionInfo[MAG]</f>
        <v>4360.6899999999996</v>
      </c>
      <c r="N24" s="5" cm="1">
        <f t="array" ref="N24">ROUND(ROUND((BaseValues[VIRAL]+BaseValues[[TOTAL]:[TOTAL]]*ModValues[VIRAL])/BaseValues[[QUANTA]:[QUANTA]],0)*BaseValues[[QUANTA]:[QUANTA]],3)*FactionInfo[VIRAL]</f>
        <v>0</v>
      </c>
      <c r="O24" s="5" cm="1">
        <f t="array" ref="O24">ROUND(ROUND((BaseValues[CORR]+BaseValues[[TOTAL]:[TOTAL]]*ModValues[CORR])/BaseValues[[QUANTA]:[QUANTA]],0)*BaseValues[[QUANTA]:[QUANTA]],3)*FactionInfo[CORR]</f>
        <v>0</v>
      </c>
      <c r="P24" s="5" cm="1">
        <f t="array" ref="P24">ROUND(ROUND((BaseValues[VOID]+BaseValues[[TOTAL]:[TOTAL]]*ModValues[VOID])/BaseValues[[QUANTA]:[QUANTA]],0)*BaseValues[[QUANTA]:[QUANTA]],3)*FactionInfo[VOID]</f>
        <v>0</v>
      </c>
      <c r="Q24" s="5" cm="1">
        <f t="array" ref="Q24">ROUND(SUM(GameValues[[#This Row],[IMPACT]:[VOID]])+SUM(GameValues[[#This Row],[IMPACT]:[VOID]])*ModValues[TRUE],0)</f>
        <v>13514</v>
      </c>
      <c r="R24" s="9" cm="1">
        <f t="array" ref="R24">ROUND((SUM(GameValues[[#This Row],[IMPACT]:[VOID]])+SUM(GameValues[[#This Row],[IMPACT]:[VOID]])*ModValues[TRUE])*ModValues[BANE],0)</f>
        <v>17569</v>
      </c>
    </row>
    <row r="25" spans="1:18" ht="10.9" customHeight="1" thickBot="1">
      <c r="A25" s="159"/>
      <c r="B25" s="160"/>
      <c r="C25" s="160"/>
      <c r="D25" s="160"/>
      <c r="E25" s="160"/>
      <c r="F25" s="160"/>
      <c r="G25" s="160"/>
      <c r="H25" s="160"/>
      <c r="I25" s="160"/>
      <c r="J25" s="160"/>
      <c r="K25" s="160"/>
      <c r="L25" s="160"/>
      <c r="M25" s="160"/>
      <c r="N25" s="160"/>
      <c r="O25" s="160"/>
      <c r="P25" s="160"/>
      <c r="Q25" s="160"/>
      <c r="R25" s="161"/>
    </row>
    <row r="26" spans="1:18" ht="30" customHeight="1">
      <c r="A26" s="156" t="s">
        <v>882</v>
      </c>
      <c r="B26" s="157"/>
      <c r="C26" s="157"/>
      <c r="D26" s="157"/>
      <c r="E26" s="157"/>
      <c r="F26" s="157"/>
      <c r="G26" s="157"/>
      <c r="H26" s="157"/>
      <c r="I26" s="157"/>
      <c r="J26" s="157"/>
      <c r="K26" s="157"/>
      <c r="L26" s="157"/>
      <c r="M26" s="157"/>
      <c r="N26" s="157"/>
      <c r="O26" s="157"/>
      <c r="P26" s="157"/>
      <c r="Q26" s="157"/>
      <c r="R26" s="158"/>
    </row>
    <row r="27" spans="1:18" ht="23.65" customHeight="1">
      <c r="A27" s="6" t="s">
        <v>88</v>
      </c>
      <c r="B27" s="1" t="s">
        <v>870</v>
      </c>
      <c r="C27" s="1" t="s">
        <v>23</v>
      </c>
      <c r="D27" s="1" t="s">
        <v>24</v>
      </c>
      <c r="E27" s="1" t="s">
        <v>25</v>
      </c>
      <c r="F27" s="1" t="s">
        <v>26</v>
      </c>
      <c r="G27" s="1" t="s">
        <v>27</v>
      </c>
      <c r="H27" s="1" t="s">
        <v>28</v>
      </c>
      <c r="I27" s="1" t="s">
        <v>29</v>
      </c>
      <c r="J27" s="1" t="s">
        <v>30</v>
      </c>
      <c r="K27" s="1" t="s">
        <v>31</v>
      </c>
      <c r="L27" s="1" t="s">
        <v>32</v>
      </c>
      <c r="M27" s="1" t="s">
        <v>16</v>
      </c>
      <c r="N27" s="1" t="s">
        <v>33</v>
      </c>
      <c r="O27" s="1" t="s">
        <v>34</v>
      </c>
      <c r="P27" s="1" t="s">
        <v>35</v>
      </c>
      <c r="Q27" s="1" t="s">
        <v>58</v>
      </c>
      <c r="R27" s="7" t="s">
        <v>37</v>
      </c>
    </row>
    <row r="28" spans="1:18" ht="19.350000000000001" customHeight="1">
      <c r="A28" s="8" t="str" cm="1">
        <f t="array" ref="A28">BaseValues[WEAPON]</f>
        <v>Tenet Arca Plasmor</v>
      </c>
      <c r="B28" s="5" cm="1">
        <f t="array" ref="B28">BaseValues[QUANTA]</f>
        <v>73.91</v>
      </c>
      <c r="C28" s="5" cm="1">
        <f t="array" ref="C28">ROUND(ROUND(BaseValues[IMPACT]*(1+ModValues[IMPACT])/BaseValues[[QUANTA]:[QUANTA]],0)*BaseValues[[QUANTA]:[QUANTA]],3)*((1-ArmorMOD[IMPACT])*(FactionInfo[IMPACT]))</f>
        <v>0</v>
      </c>
      <c r="D28" s="5" cm="1">
        <f t="array" ref="D28">ROUND(ROUND(BaseValues[PUNC]*(1+ModValues[PUNC])/BaseValues[[QUANTA]:[QUANTA]],0)*BaseValues[[QUANTA]:[QUANTA]],3)*((1-ArmorMOD[PUNC])*(FactionInfo[PUNC]))</f>
        <v>0</v>
      </c>
      <c r="E28" s="5" cm="1">
        <f t="array" ref="E28">ROUND(ROUND(BaseValues[SLASH]*(1+ModValues[SLASH])/BaseValues[[QUANTA]:[QUANTA]],0)*BaseValues[[QUANTA]:[QUANTA]],3)*((1-ArmorMOD[SLASH])*(FactionInfo[SLASH]))</f>
        <v>0</v>
      </c>
      <c r="F28" s="5" cm="1">
        <f t="array" ref="F28">ROUND(ROUND((BaseValues[HEAT]+BaseValues[[TOTAL]:[TOTAL]]*ModValues[HEAT])/BaseValues[[QUANTA]:[QUANTA]],0)*BaseValues[[QUANTA]:[QUANTA]],3)*((1-ArmorMOD[HEAT])*(FactionInfo[HEAT]))</f>
        <v>0</v>
      </c>
      <c r="G28" s="5" cm="1">
        <f t="array" ref="G28">ROUND(ROUND((BaseValues[COLD]+BaseValues[[TOTAL]:[TOTAL]]*ModValues[COLD])/BaseValues[[QUANTA]:[QUANTA]],0)*BaseValues[[QUANTA]:[QUANTA]],3)*((1-ArmorMOD[COLD])*(FactionInfo[COLD]))</f>
        <v>0</v>
      </c>
      <c r="H28" s="5" cm="1">
        <f t="array" ref="H28">ROUND(ROUND((BaseValues[ELEC]+BaseValues[[TOTAL]:[TOTAL]]*ModValues[ELEC])/BaseValues[[QUANTA]:[QUANTA]],0)*BaseValues[[QUANTA]:[QUANTA]],3)*((1-ArmorMOD[ELEC])*(FactionInfo[ELEC]))</f>
        <v>0</v>
      </c>
      <c r="I28" s="5" cm="1">
        <f t="array" ref="I28">ROUND(ROUND((BaseValues[TOXIN]+BaseValues[[TOTAL]:[TOTAL]]*ModValues[TOXIN])/BaseValues[[QUANTA]:[QUANTA]],0)*BaseValues[[QUANTA]:[QUANTA]],3)*((1-ArmorMOD[TOXIN])*(FactionInfo[TOXIN]))</f>
        <v>0</v>
      </c>
      <c r="J28" s="5" cm="1">
        <f t="array" ref="J28">ROUND(ROUND((BaseValues[BLAST]+BaseValues[[TOTAL]:[TOTAL]]*ModValues[BLAST])/BaseValues[[QUANTA]:[QUANTA]],0)*BaseValues[[QUANTA]:[QUANTA]],3)*((1-ArmorMOD[BLAST])*(FactionInfo[BLAST]))</f>
        <v>0</v>
      </c>
      <c r="K28" s="5" cm="1">
        <f t="array" ref="K28">ROUND(ROUND((BaseValues[RAD]+BaseValues[[TOTAL]:[TOTAL]]*ModValues[RAD])/BaseValues[[QUANTA]:[QUANTA]],0)*BaseValues[[QUANTA]:[QUANTA]],3)*((1-ArmorMOD[RAD])*(FactionInfo[RAD]))</f>
        <v>73.909999999999982</v>
      </c>
      <c r="L28" s="5" cm="1">
        <f t="array" ref="L28">ROUND(ROUND((BaseValues[GAS]+BaseValues[[TOTAL]:[TOTAL]]*ModValues[GAS])/BaseValues[[QUANTA]:[QUANTA]],0)*BaseValues[[QUANTA]:[QUANTA]],3)*((1-ArmorMOD[GAS])*(FactionInfo[GAS]))</f>
        <v>0</v>
      </c>
      <c r="M28" s="5" cm="1">
        <f t="array" ref="M28">ROUND(ROUND((BaseValues[MAG]+BaseValues[[TOTAL]:[TOTAL]]*ModValues[MAG])/BaseValues[[QUANTA]:[QUANTA]],0)*BaseValues[[QUANTA]:[QUANTA]],3)*((1-ArmorMOD[MAG])*(FactionInfo[MAG]))</f>
        <v>436.06899999999985</v>
      </c>
      <c r="N28" s="5" cm="1">
        <f t="array" ref="N28">ROUND(ROUND((BaseValues[VIRAL]+BaseValues[[TOTAL]:[TOTAL]]*ModValues[VIRAL])/BaseValues[[QUANTA]:[QUANTA]],0)*BaseValues[[QUANTA]:[QUANTA]],3)*((1-ArmorMOD[VIRAL])*(FactionInfo[VIRAL]))</f>
        <v>0</v>
      </c>
      <c r="O28" s="5" cm="1">
        <f t="array" ref="O28">ROUND(ROUND((BaseValues[CORR]+BaseValues[[TOTAL]:[TOTAL]]*ModValues[CORR])/BaseValues[[QUANTA]:[QUANTA]],0)*BaseValues[[QUANTA]:[QUANTA]],3)*((1-ArmorMOD[CORR])*(FactionInfo[CORR]))</f>
        <v>0</v>
      </c>
      <c r="P28" s="5" cm="1">
        <f t="array" ref="P28">ROUND(ROUND((BaseValues[VOID]+BaseValues[[TOTAL]:[TOTAL]]*ModValues[VOID])/BaseValues[[QUANTA]:[QUANTA]],0)*BaseValues[[QUANTA]:[QUANTA]],3)*((1-ArmorMOD[VOID])*(FactionInfo[VOID]))</f>
        <v>0</v>
      </c>
      <c r="Q28" s="5" cm="1">
        <f t="array" ref="Q28">ROUND(SUM(FinalDMG[[#This Row],[IMPACT]:[VOID]])+SUM(FinalDMG[[#This Row],[IMPACT]:[VOID]])*ModValues[TRUE],0)</f>
        <v>1351</v>
      </c>
      <c r="R28" s="9" cm="1">
        <f t="array" ref="R28">ROUND((SUM(FinalDMG[[#This Row],[IMPACT]:[VOID]])+SUM(FinalDMG[[#This Row],[IMPACT]:[VOID]])*ModValues[TRUE])*ModValues[BANE],0)</f>
        <v>1757</v>
      </c>
    </row>
    <row r="29" spans="1:18" ht="10.9" customHeight="1" thickBot="1">
      <c r="A29" s="159"/>
      <c r="B29" s="160"/>
      <c r="C29" s="160"/>
      <c r="D29" s="160"/>
      <c r="E29" s="160"/>
      <c r="F29" s="160"/>
      <c r="G29" s="160"/>
      <c r="H29" s="160"/>
      <c r="I29" s="160"/>
      <c r="J29" s="160"/>
      <c r="K29" s="160"/>
      <c r="L29" s="160"/>
      <c r="M29" s="160"/>
      <c r="N29" s="160"/>
      <c r="O29" s="160"/>
      <c r="P29" s="160"/>
      <c r="Q29" s="160"/>
      <c r="R29" s="161"/>
    </row>
    <row r="33" spans="1:10">
      <c r="A33" s="12"/>
      <c r="B33" s="12"/>
      <c r="C33" s="12"/>
      <c r="D33" s="12"/>
      <c r="E33" s="12"/>
      <c r="F33" s="12"/>
      <c r="G33" s="12"/>
      <c r="H33" s="12"/>
      <c r="I33" s="12"/>
      <c r="J33" s="12"/>
    </row>
    <row r="34" spans="1:10">
      <c r="A34" s="14"/>
      <c r="B34" s="14"/>
      <c r="C34" s="14"/>
      <c r="D34" s="14"/>
      <c r="E34" s="14"/>
      <c r="F34" s="14"/>
      <c r="G34" s="14"/>
      <c r="H34" s="18"/>
      <c r="I34" s="18"/>
      <c r="J34" s="18"/>
    </row>
    <row r="35" spans="1:10">
      <c r="A35" s="14"/>
      <c r="B35" s="14"/>
      <c r="C35" s="14"/>
      <c r="D35" s="14"/>
      <c r="E35" s="14"/>
      <c r="F35" s="14"/>
      <c r="G35" s="14"/>
      <c r="H35" s="18"/>
      <c r="I35" s="18"/>
      <c r="J35" s="18"/>
    </row>
    <row r="36" spans="1:10">
      <c r="A36" s="14"/>
      <c r="B36" s="14"/>
      <c r="C36" s="14"/>
      <c r="D36" s="14"/>
      <c r="E36" s="14"/>
      <c r="F36" s="14"/>
      <c r="G36" s="14"/>
      <c r="H36" s="18"/>
      <c r="I36" s="18"/>
      <c r="J36" s="18"/>
    </row>
    <row r="37" spans="1:10">
      <c r="A37" s="14"/>
      <c r="B37" s="14"/>
      <c r="C37" s="14"/>
      <c r="D37" s="14"/>
      <c r="E37" s="14"/>
      <c r="F37" s="14"/>
      <c r="G37" s="14"/>
      <c r="H37" s="18"/>
      <c r="I37" s="18"/>
      <c r="J37" s="18"/>
    </row>
    <row r="39" spans="1:10">
      <c r="C39" s="12"/>
      <c r="D39" s="12"/>
      <c r="E39" s="12"/>
      <c r="F39" s="12"/>
      <c r="G39" s="12"/>
      <c r="H39" s="12"/>
      <c r="I39" s="12"/>
      <c r="J39" s="12"/>
    </row>
    <row r="40" spans="1:10">
      <c r="H40" s="13"/>
      <c r="I40" s="13"/>
      <c r="J40" s="13"/>
    </row>
    <row r="41" spans="1:10">
      <c r="H41" s="13"/>
      <c r="I41" s="13"/>
      <c r="J41" s="13"/>
    </row>
    <row r="42" spans="1:10">
      <c r="H42" s="13"/>
      <c r="I42" s="13"/>
      <c r="J42" s="13"/>
    </row>
    <row r="43" spans="1:10">
      <c r="H43" s="13"/>
      <c r="I43" s="13"/>
      <c r="J43" s="13"/>
    </row>
    <row r="44" spans="1:10">
      <c r="H44" s="13"/>
      <c r="I44" s="13"/>
      <c r="J44" s="13"/>
    </row>
    <row r="45" spans="1:10">
      <c r="H45" s="13"/>
      <c r="I45" s="13"/>
      <c r="J45" s="13"/>
    </row>
    <row r="46" spans="1:10">
      <c r="H46" s="13"/>
      <c r="I46" s="13"/>
      <c r="J46" s="13"/>
    </row>
    <row r="47" spans="1:10">
      <c r="H47" s="13"/>
      <c r="I47" s="13"/>
      <c r="J47" s="13"/>
    </row>
    <row r="48" spans="1:10">
      <c r="H48" s="13"/>
      <c r="I48" s="13"/>
      <c r="J48" s="13"/>
    </row>
    <row r="49" spans="8:10">
      <c r="H49" s="13"/>
      <c r="I49" s="13"/>
      <c r="J49" s="13"/>
    </row>
    <row r="50" spans="8:10">
      <c r="H50" s="13"/>
      <c r="I50" s="13"/>
      <c r="J50" s="13"/>
    </row>
    <row r="51" spans="8:10">
      <c r="H51" s="13"/>
      <c r="I51" s="13"/>
      <c r="J51" s="13"/>
    </row>
    <row r="52" spans="8:10">
      <c r="H52" s="13"/>
      <c r="I52" s="13"/>
      <c r="J52" s="13"/>
    </row>
    <row r="53" spans="8:10">
      <c r="H53" s="13"/>
      <c r="I53" s="13"/>
      <c r="J53" s="13"/>
    </row>
    <row r="54" spans="8:10">
      <c r="H54" s="13"/>
      <c r="I54" s="13"/>
      <c r="J54" s="13"/>
    </row>
    <row r="55" spans="8:10">
      <c r="H55" s="13"/>
      <c r="I55" s="13"/>
      <c r="J55" s="13"/>
    </row>
    <row r="56" spans="8:10">
      <c r="H56" s="13"/>
      <c r="I56" s="13"/>
      <c r="J56" s="13"/>
    </row>
    <row r="57" spans="8:10">
      <c r="H57" s="13"/>
      <c r="I57" s="13"/>
      <c r="J57" s="13"/>
    </row>
    <row r="58" spans="8:10">
      <c r="H58" s="13"/>
      <c r="I58" s="13"/>
      <c r="J58" s="13"/>
    </row>
    <row r="59" spans="8:10">
      <c r="H59" s="13"/>
      <c r="I59" s="13"/>
      <c r="J59" s="13"/>
    </row>
    <row r="61" spans="8:10">
      <c r="H61" s="19"/>
      <c r="I61" s="19"/>
      <c r="J61" s="19"/>
    </row>
  </sheetData>
  <mergeCells count="14">
    <mergeCell ref="A22:R22"/>
    <mergeCell ref="A25:R25"/>
    <mergeCell ref="A26:R26"/>
    <mergeCell ref="A29:R29"/>
    <mergeCell ref="A1:R1"/>
    <mergeCell ref="A9:R9"/>
    <mergeCell ref="A17:R17"/>
    <mergeCell ref="A6:R6"/>
    <mergeCell ref="A2:R2"/>
    <mergeCell ref="A21:R21"/>
    <mergeCell ref="A10:R10"/>
    <mergeCell ref="A13:R13"/>
    <mergeCell ref="A14:R14"/>
    <mergeCell ref="A18:R18"/>
  </mergeCells>
  <pageMargins left="0.7" right="0.7" top="0.75" bottom="0.75" header="0.3" footer="0.3"/>
  <pageSetup orientation="portrait" r:id="rId1"/>
  <tableParts count="7">
    <tablePart r:id="rId2"/>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Corey Eacret</dc:creator>
  <cp:keywords/>
  <dc:description/>
  <cp:lastModifiedBy>Corey Eacret</cp:lastModifiedBy>
  <cp:revision/>
  <dcterms:created xsi:type="dcterms:W3CDTF">2024-07-31T01:02:05Z</dcterms:created>
  <dcterms:modified xsi:type="dcterms:W3CDTF">2025-12-23T08:53:47Z</dcterms:modified>
  <cp:category/>
  <cp:contentStatus/>
</cp:coreProperties>
</file>