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Release_Notes" sheetId="1" state="visible" r:id="rId1"/>
    <sheet xmlns:r="http://schemas.openxmlformats.org/officeDocument/2006/relationships" name="CANON" sheetId="2" state="visible" r:id="rId2"/>
    <sheet xmlns:r="http://schemas.openxmlformats.org/officeDocument/2006/relationships" name="Sanity_Checklist" sheetId="3" state="visible" r:id="rId3"/>
    <sheet xmlns:r="http://schemas.openxmlformats.org/officeDocument/2006/relationships" name="Config" sheetId="4" state="visible" r:id="rId4"/>
    <sheet xmlns:r="http://schemas.openxmlformats.org/officeDocument/2006/relationships" name="Parameters" sheetId="5" state="visible" r:id="rId5"/>
    <sheet xmlns:r="http://schemas.openxmlformats.org/officeDocument/2006/relationships" name="PLSS_Local_Scope" sheetId="6" state="visible" r:id="rId6"/>
    <sheet xmlns:r="http://schemas.openxmlformats.org/officeDocument/2006/relationships" name="Rights_Coverage" sheetId="7" state="visible" r:id="rId7"/>
    <sheet xmlns:r="http://schemas.openxmlformats.org/officeDocument/2006/relationships" name="Rights_Coverage_View" sheetId="8" state="visible" r:id="rId8"/>
    <sheet xmlns:r="http://schemas.openxmlformats.org/officeDocument/2006/relationships" name="C_cat" sheetId="9" state="visible" r:id="rId9"/>
    <sheet xmlns:r="http://schemas.openxmlformats.org/officeDocument/2006/relationships" name="WTSL_Categories" sheetId="10" state="visible" r:id="rId10"/>
    <sheet xmlns:r="http://schemas.openxmlformats.org/officeDocument/2006/relationships" name="Impact_Input" sheetId="11" state="visible" r:id="rId11"/>
    <sheet xmlns:r="http://schemas.openxmlformats.org/officeDocument/2006/relationships" name="Scenario_Impacts" sheetId="12" state="visible" r:id="rId12"/>
    <sheet xmlns:r="http://schemas.openxmlformats.org/officeDocument/2006/relationships" name="I_prop" sheetId="13" state="visible" r:id="rId13"/>
    <sheet xmlns:r="http://schemas.openxmlformats.org/officeDocument/2006/relationships" name="NCRC" sheetId="14" state="visible" r:id="rId14"/>
    <sheet xmlns:r="http://schemas.openxmlformats.org/officeDocument/2006/relationships" name="TRC" sheetId="15" state="visible" r:id="rId15"/>
    <sheet xmlns:r="http://schemas.openxmlformats.org/officeDocument/2006/relationships" name="Containment" sheetId="16" state="visible" r:id="rId16"/>
    <sheet xmlns:r="http://schemas.openxmlformats.org/officeDocument/2006/relationships" name="RLS" sheetId="17" state="visible" r:id="rId17"/>
    <sheet xmlns:r="http://schemas.openxmlformats.org/officeDocument/2006/relationships" name="UCI_HOI" sheetId="18" state="visible" r:id="rId18"/>
    <sheet xmlns:r="http://schemas.openxmlformats.org/officeDocument/2006/relationships" name="Dashboard" sheetId="19" state="visible" r:id="rId19"/>
    <sheet xmlns:r="http://schemas.openxmlformats.org/officeDocument/2006/relationships" name="Audit_Flags" sheetId="20" state="visible" r:id="rId20"/>
    <sheet xmlns:r="http://schemas.openxmlformats.org/officeDocument/2006/relationships" name="PCC" sheetId="21" state="visible" r:id="rId21"/>
    <sheet xmlns:r="http://schemas.openxmlformats.org/officeDocument/2006/relationships" name="Sensitivity_Analysis" sheetId="22" state="visible" r:id="rId22"/>
    <sheet xmlns:r="http://schemas.openxmlformats.org/officeDocument/2006/relationships" name="Subgroup_Analysis" sheetId="23" state="visible" r:id="rId23"/>
    <sheet xmlns:r="http://schemas.openxmlformats.org/officeDocument/2006/relationships" name="Subgroup_Overrides" sheetId="24" state="visible" r:id="rId24"/>
    <sheet xmlns:r="http://schemas.openxmlformats.org/officeDocument/2006/relationships" name="SGP_Input" sheetId="25" state="visible" r:id="rId25"/>
    <sheet xmlns:r="http://schemas.openxmlformats.org/officeDocument/2006/relationships" name="SGP_Integration" sheetId="26" state="visible" r:id="rId26"/>
    <sheet xmlns:r="http://schemas.openxmlformats.org/officeDocument/2006/relationships" name="User_Guide" sheetId="27" state="visible" r:id="rId27"/>
    <sheet xmlns:r="http://schemas.openxmlformats.org/officeDocument/2006/relationships" name="Version_Control" sheetId="28" state="visible" r:id="rId28"/>
  </sheets>
  <definedNames>
    <definedName name="AUDIT_REVIEW_COUNT" hidden="0" function="0" vbProcedure="0">Audit_Flags!$B$23</definedName>
    <definedName name="CANON_CLAIMABLE_RUN" hidden="0" function="0" vbProcedure="0">CANON!$B$81</definedName>
    <definedName name="CANON_INVALID_FLAGS_COUNT" hidden="0" function="0" vbProcedure="0">CANON!$B$80</definedName>
    <definedName name="CANON_PLACEHOLDER_COUNT" hidden="0" function="0" vbProcedure="0">CANON!$B$117</definedName>
    <definedName name="CANON_PUBLISH_READY" hidden="0" function="0" vbProcedure="0">CANON!$B$83</definedName>
    <definedName name="CANON_SCHEMA_FAIL_COUNT" hidden="0" function="0" vbProcedure="0">CANON!$B$116</definedName>
    <definedName name="SIGMA_EST" hidden="0" function="0" vbProcedure="0">Config!$B$20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5">
    <numFmt numFmtId="164" formatCode="mm/dd/yy"/>
    <numFmt numFmtId="165" formatCode="0.000"/>
    <numFmt numFmtId="166" formatCode="0.000000"/>
    <numFmt numFmtId="167" formatCode="0.0000"/>
    <numFmt numFmtId="168" formatCode="0.00000"/>
  </numFmts>
  <fonts count="22">
    <font>
      <name val="Arial"/>
      <family val="2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family val="2"/>
      <sz val="10"/>
    </font>
    <font>
      <name val="Calibri"/>
      <family val="2"/>
      <color theme="1"/>
      <sz val="11"/>
    </font>
    <font>
      <name val="Calibri"/>
      <b val="1"/>
      <color theme="1"/>
      <sz val="14"/>
    </font>
    <font>
      <name val="Calibri"/>
      <b val="1"/>
      <color theme="1"/>
      <sz val="11"/>
    </font>
    <font>
      <name val="Cambria"/>
      <b val="1"/>
      <color theme="1"/>
      <sz val="14"/>
    </font>
    <font>
      <name val="Cambria"/>
      <b val="1"/>
      <color theme="1"/>
      <sz val="11"/>
    </font>
    <font>
      <name val="Arial"/>
      <b val="1"/>
      <color theme="1"/>
      <sz val="12"/>
    </font>
    <font>
      <name val="Arial"/>
      <color theme="1"/>
      <sz val="10"/>
    </font>
    <font>
      <name val="Arial"/>
      <i val="1"/>
      <color theme="1"/>
      <sz val="10"/>
    </font>
    <font>
      <name val="Cambria"/>
      <b val="1"/>
      <color theme="1"/>
      <sz val="12"/>
    </font>
    <font>
      <name val="Calibri"/>
      <b val="1"/>
      <sz val="11"/>
    </font>
    <font>
      <name val="Calibri"/>
      <b val="1"/>
      <color rgb="FFFFFFFF"/>
      <sz val="14"/>
    </font>
    <font>
      <name val="Arial"/>
      <b val="1"/>
      <color theme="1"/>
      <sz val="10"/>
    </font>
    <font>
      <name val="Arial"/>
      <b val="1"/>
      <color theme="1"/>
      <sz val="11"/>
    </font>
    <font>
      <name val="Arial"/>
      <b val="1"/>
      <i val="1"/>
      <color theme="1"/>
      <sz val="10"/>
    </font>
    <font>
      <name val="Arial"/>
      <b val="1"/>
      <sz val="12"/>
    </font>
    <font>
      <name val="Arial"/>
      <family val="2"/>
      <color theme="1"/>
      <sz val="10"/>
    </font>
  </fonts>
  <fills count="20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FFC6EFCE"/>
      </patternFill>
    </fill>
    <fill>
      <patternFill patternType="solid">
        <fgColor rgb="FFE8F0FE"/>
      </patternFill>
    </fill>
    <fill>
      <patternFill patternType="solid">
        <fgColor rgb="FFE2EFDA"/>
      </patternFill>
    </fill>
    <fill>
      <patternFill patternType="solid">
        <fgColor rgb="FF1F4E79"/>
      </patternFill>
    </fill>
    <fill>
      <patternFill patternType="solid">
        <fgColor rgb="FFD9D9D9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B4C7E7"/>
      </patternFill>
    </fill>
    <fill>
      <patternFill patternType="solid">
        <fgColor rgb="FF2E75B6"/>
      </patternFill>
    </fill>
    <fill>
      <patternFill patternType="solid">
        <fgColor rgb="FFFCE4D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2CC"/>
      </patternFill>
    </fill>
    <fill>
      <patternFill patternType="solid">
        <fgColor rgb="FFFFCCCC"/>
      </patternFill>
    </fill>
    <fill>
      <patternFill patternType="solid">
        <fgColor rgb="FFFFE6CC"/>
      </patternFill>
    </fill>
    <fill>
      <patternFill patternType="solid">
        <fgColor rgb="FFFFFFCC"/>
      </patternFill>
    </fill>
    <fill>
      <patternFill patternType="solid">
        <fgColor rgb="FFDDDDDD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7">
    <xf numFmtId="0" fontId="5" fillId="0" borderId="0" applyAlignment="1">
      <alignment horizontal="general" vertical="bottom"/>
    </xf>
    <xf numFmtId="43" fontId="4" fillId="0" borderId="0"/>
    <xf numFmtId="41" fontId="4" fillId="0" borderId="0"/>
    <xf numFmtId="44" fontId="4" fillId="0" borderId="0"/>
    <xf numFmtId="42" fontId="4" fillId="0" borderId="0"/>
    <xf numFmtId="9" fontId="4" fillId="0" borderId="0"/>
    <xf numFmtId="0" fontId="6" fillId="0" borderId="0" applyAlignment="1">
      <alignment horizontal="general" vertical="bottom"/>
    </xf>
  </cellStyleXfs>
  <cellXfs count="188">
    <xf numFmtId="0" fontId="0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left" vertical="bottom"/>
    </xf>
    <xf numFmtId="0" fontId="6" fillId="0" borderId="0" applyAlignment="1" pivotButton="0" quotePrefix="0" xfId="0">
      <alignment horizontal="left" vertical="bottom" wrapText="1"/>
    </xf>
    <xf numFmtId="164" fontId="6" fillId="0" borderId="0" applyAlignment="1" pivotButton="0" quotePrefix="0" xfId="0">
      <alignment horizontal="general" vertical="top" wrapText="1"/>
    </xf>
    <xf numFmtId="0" fontId="5" fillId="0" borderId="0" applyAlignment="1" pivotButton="0" quotePrefix="0" xfId="24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5" fillId="0" borderId="0" applyAlignment="1" pivotButton="0" quotePrefix="0" xfId="24">
      <alignment horizontal="left" vertical="top" wrapText="1"/>
    </xf>
    <xf numFmtId="0" fontId="6" fillId="3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center" wrapText="1"/>
    </xf>
    <xf numFmtId="0" fontId="5" fillId="0" borderId="0" applyAlignment="1" pivotButton="0" quotePrefix="0" xfId="24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0" fillId="6" borderId="0" applyAlignment="1" pivotButton="0" quotePrefix="0" xfId="0">
      <alignment horizontal="general" vertical="top" wrapText="1"/>
    </xf>
    <xf numFmtId="0" fontId="6" fillId="5" borderId="0" applyAlignment="1" pivotButton="0" quotePrefix="0" xfId="0">
      <alignment horizontal="general" vertical="top" wrapText="1"/>
    </xf>
    <xf numFmtId="0" fontId="10" fillId="0" borderId="0" applyAlignment="1" pivotButton="0" quotePrefix="0" xfId="0">
      <alignment horizontal="general" vertical="top" wrapText="1"/>
    </xf>
    <xf numFmtId="0" fontId="6" fillId="7" borderId="0" applyAlignment="1" pivotButton="0" quotePrefix="0" xfId="0">
      <alignment horizontal="general" vertical="top" wrapText="1"/>
    </xf>
    <xf numFmtId="0" fontId="10" fillId="6" borderId="0" applyAlignment="1" pivotButton="0" quotePrefix="0" xfId="0">
      <alignment horizontal="general" vertical="bottom"/>
    </xf>
    <xf numFmtId="0" fontId="6" fillId="7" borderId="0" applyAlignment="1" pivotButton="0" quotePrefix="0" xfId="0">
      <alignment horizontal="general" vertical="bottom"/>
    </xf>
    <xf numFmtId="166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center" wrapText="1"/>
    </xf>
    <xf numFmtId="0" fontId="6" fillId="0" borderId="1" applyAlignment="1" pivotButton="0" quotePrefix="0" xfId="0">
      <alignment horizontal="general" vertical="center" wrapText="1"/>
    </xf>
    <xf numFmtId="0" fontId="5" fillId="0" borderId="0" applyAlignment="1" pivotButton="0" quotePrefix="0" xfId="24">
      <alignment horizontal="general" vertical="top" wrapText="1"/>
    </xf>
    <xf numFmtId="0" fontId="7" fillId="8" borderId="0" applyAlignment="1" pivotButton="0" quotePrefix="0" xfId="0">
      <alignment horizontal="general" vertical="bottom"/>
    </xf>
    <xf numFmtId="0" fontId="8" fillId="9" borderId="0" applyAlignment="1" pivotButton="0" quotePrefix="0" xfId="0">
      <alignment horizontal="general" vertical="bottom"/>
    </xf>
    <xf numFmtId="0" fontId="8" fillId="10" borderId="1" applyAlignment="1" pivotButton="0" quotePrefix="0" xfId="0">
      <alignment horizontal="general" vertical="center" wrapText="1"/>
    </xf>
    <xf numFmtId="0" fontId="15" fillId="10" borderId="1" applyAlignment="1" pivotButton="0" quotePrefix="0" xfId="0">
      <alignment horizontal="general" vertical="center" wrapText="1"/>
    </xf>
    <xf numFmtId="0" fontId="8" fillId="9" borderId="1" applyAlignment="1" pivotButton="0" quotePrefix="0" xfId="0">
      <alignment horizontal="general" vertical="center" wrapText="1"/>
    </xf>
    <xf numFmtId="0" fontId="16" fillId="8" borderId="0" applyAlignment="1" pivotButton="0" quotePrefix="0" xfId="0">
      <alignment horizontal="left" vertical="center"/>
    </xf>
    <xf numFmtId="0" fontId="15" fillId="9" borderId="1" applyAlignment="1" pivotButton="0" quotePrefix="0" xfId="0">
      <alignment horizontal="general" vertical="top" wrapText="1"/>
    </xf>
    <xf numFmtId="0" fontId="6" fillId="0" borderId="1" applyAlignment="1" pivotButton="0" quotePrefix="0" xfId="0">
      <alignment horizontal="general" vertical="top" wrapText="1"/>
    </xf>
    <xf numFmtId="0" fontId="10" fillId="11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center" wrapText="1"/>
    </xf>
    <xf numFmtId="0" fontId="6" fillId="0" borderId="0" applyAlignment="1" pivotButton="0" quotePrefix="0" xfId="0">
      <alignment horizontal="general" vertical="bottom" wrapText="1"/>
    </xf>
    <xf numFmtId="167" fontId="6" fillId="5" borderId="0" applyAlignment="1" pivotButton="0" quotePrefix="0" xfId="0">
      <alignment horizontal="general" vertical="bottom"/>
    </xf>
    <xf numFmtId="165" fontId="6" fillId="3" borderId="0" applyAlignment="1" pivotButton="0" quotePrefix="0" xfId="0">
      <alignment horizontal="general" vertical="bottom"/>
    </xf>
    <xf numFmtId="165" fontId="6" fillId="12" borderId="0" applyAlignment="1" pivotButton="0" quotePrefix="0" xfId="0">
      <alignment horizontal="general" vertical="bottom"/>
    </xf>
    <xf numFmtId="0" fontId="8" fillId="6" borderId="0" applyAlignment="1" pivotButton="0" quotePrefix="0" xfId="0">
      <alignment horizontal="general" vertical="bottom"/>
    </xf>
    <xf numFmtId="0" fontId="5" fillId="0" borderId="0" applyAlignment="1" pivotButton="0" quotePrefix="0" xfId="24">
      <alignment horizontal="general" vertical="bottom"/>
    </xf>
    <xf numFmtId="0" fontId="6" fillId="3" borderId="0" applyAlignment="1" pivotButton="0" quotePrefix="0" xfId="0">
      <alignment horizontal="general" vertical="center" wrapText="1"/>
    </xf>
    <xf numFmtId="0" fontId="6" fillId="0" borderId="0" applyAlignment="1" pivotButton="0" quotePrefix="0" xfId="0">
      <alignment horizontal="general" vertical="center" wrapText="1"/>
    </xf>
    <xf numFmtId="0" fontId="6" fillId="13" borderId="0" applyAlignment="1" pivotButton="0" quotePrefix="0" xfId="0">
      <alignment horizontal="general" vertical="bottom"/>
    </xf>
    <xf numFmtId="0" fontId="6" fillId="14" borderId="0" applyAlignment="1" pivotButton="0" quotePrefix="0" xfId="0">
      <alignment horizontal="general" vertical="bottom"/>
    </xf>
    <xf numFmtId="0" fontId="10" fillId="14" borderId="0" applyAlignment="1" pivotButton="0" quotePrefix="0" xfId="0">
      <alignment horizontal="general" vertical="bottom"/>
    </xf>
    <xf numFmtId="0" fontId="8" fillId="14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top" wrapText="1"/>
    </xf>
    <xf numFmtId="0" fontId="10" fillId="15" borderId="0" applyAlignment="1" pivotButton="0" quotePrefix="0" xfId="0">
      <alignment horizontal="general" vertical="top" wrapText="1"/>
    </xf>
    <xf numFmtId="0" fontId="6" fillId="15" borderId="0" applyAlignment="1" pivotButton="0" quotePrefix="0" xfId="0">
      <alignment horizontal="general" vertical="top" wrapText="1"/>
    </xf>
    <xf numFmtId="0" fontId="6" fillId="14" borderId="0" applyAlignment="1" pivotButton="0" quotePrefix="0" xfId="0">
      <alignment horizontal="general" vertical="top" wrapText="1"/>
    </xf>
    <xf numFmtId="165" fontId="10" fillId="0" borderId="0" applyAlignment="1" pivotButton="0" quotePrefix="0" xfId="0">
      <alignment horizontal="general" vertical="bottom"/>
    </xf>
    <xf numFmtId="0" fontId="10" fillId="13" borderId="0" applyAlignment="1" pivotButton="0" quotePrefix="0" xfId="0">
      <alignment horizontal="general" vertical="top" wrapText="1"/>
    </xf>
    <xf numFmtId="0" fontId="10" fillId="14" borderId="0" applyAlignment="1" pivotButton="0" quotePrefix="0" xfId="0">
      <alignment horizontal="general" vertical="top" wrapText="1"/>
    </xf>
    <xf numFmtId="165" fontId="6" fillId="0" borderId="0" applyAlignment="1" pivotButton="0" quotePrefix="0" xfId="0">
      <alignment horizontal="general" vertical="top" wrapText="1"/>
    </xf>
    <xf numFmtId="0" fontId="6" fillId="13" borderId="0" applyAlignment="1" pivotButton="0" quotePrefix="0" xfId="0">
      <alignment horizontal="general" vertical="top" wrapText="1"/>
    </xf>
    <xf numFmtId="0" fontId="9" fillId="5" borderId="0" applyAlignment="1" pivotButton="0" quotePrefix="0" xfId="0">
      <alignment horizontal="general" vertical="top" wrapText="1"/>
    </xf>
    <xf numFmtId="0" fontId="8" fillId="16" borderId="0" applyAlignment="1" pivotButton="0" quotePrefix="0" xfId="0">
      <alignment horizontal="general" vertical="top" wrapText="1"/>
    </xf>
    <xf numFmtId="0" fontId="6" fillId="16" borderId="0" applyAlignment="1" pivotButton="0" quotePrefix="0" xfId="0">
      <alignment horizontal="general" vertical="top" wrapText="1"/>
    </xf>
    <xf numFmtId="0" fontId="6" fillId="17" borderId="0" applyAlignment="1" pivotButton="0" quotePrefix="0" xfId="0">
      <alignment horizontal="general" vertical="top" wrapText="1"/>
    </xf>
    <xf numFmtId="0" fontId="6" fillId="18" borderId="0" applyAlignment="1" pivotButton="0" quotePrefix="0" xfId="0">
      <alignment horizontal="general" vertical="top" wrapText="1"/>
    </xf>
    <xf numFmtId="0" fontId="6" fillId="2" borderId="0" applyAlignment="1" pivotButton="0" quotePrefix="0" xfId="0">
      <alignment horizontal="general" vertical="top" wrapText="1"/>
    </xf>
    <xf numFmtId="0" fontId="12" fillId="4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0" fontId="8" fillId="19" borderId="2" applyAlignment="1" pivotButton="0" quotePrefix="0" xfId="0">
      <alignment horizontal="general" vertical="top" wrapText="1"/>
    </xf>
    <xf numFmtId="0" fontId="6" fillId="0" borderId="2" applyAlignment="1" pivotButton="0" quotePrefix="0" xfId="0">
      <alignment horizontal="general" vertical="top" wrapText="1"/>
    </xf>
    <xf numFmtId="0" fontId="6" fillId="3" borderId="0" applyAlignment="1" pivotButton="0" quotePrefix="0" xfId="0">
      <alignment horizontal="general" vertical="top" wrapText="1"/>
    </xf>
    <xf numFmtId="0" fontId="11" fillId="4" borderId="0" applyAlignment="1" pivotButton="0" quotePrefix="0" xfId="0">
      <alignment horizontal="general" vertical="top" wrapText="1"/>
    </xf>
    <xf numFmtId="0" fontId="13" fillId="4" borderId="0" applyAlignment="1" pivotButton="0" quotePrefix="0" xfId="0">
      <alignment horizontal="general" vertical="top" wrapText="1"/>
    </xf>
    <xf numFmtId="0" fontId="17" fillId="4" borderId="0" applyAlignment="1" pivotButton="0" quotePrefix="0" xfId="0">
      <alignment horizontal="general" vertical="top" wrapText="1"/>
    </xf>
    <xf numFmtId="0" fontId="18" fillId="4" borderId="0" applyAlignment="1" pivotButton="0" quotePrefix="0" xfId="0">
      <alignment horizontal="general" vertical="top" wrapText="1"/>
    </xf>
    <xf numFmtId="0" fontId="19" fillId="4" borderId="0" applyAlignment="1" pivotButton="0" quotePrefix="0" xfId="0">
      <alignment horizontal="general" vertical="top" wrapText="1"/>
    </xf>
    <xf numFmtId="0" fontId="20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general" vertical="top" wrapText="1"/>
    </xf>
    <xf numFmtId="0" fontId="20" fillId="4" borderId="0" applyAlignment="1" pivotButton="0" quotePrefix="0" xfId="0">
      <alignment horizontal="left" vertical="center"/>
    </xf>
    <xf numFmtId="0" fontId="8" fillId="6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center" wrapText="1"/>
    </xf>
    <xf numFmtId="0" fontId="10" fillId="1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top" wrapText="1"/>
    </xf>
    <xf numFmtId="0" fontId="17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general" vertical="top" wrapText="1"/>
    </xf>
    <xf numFmtId="0" fontId="10" fillId="3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7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left" vertical="bottom"/>
    </xf>
    <xf numFmtId="0" fontId="6" fillId="0" borderId="0" applyAlignment="1" pivotButton="0" quotePrefix="0" xfId="0">
      <alignment horizontal="left" vertical="bottom" wrapText="1"/>
    </xf>
    <xf numFmtId="164" fontId="6" fillId="0" borderId="0" applyAlignment="1" pivotButton="0" quotePrefix="0" xfId="0">
      <alignment horizontal="general" vertical="top" wrapText="1"/>
    </xf>
    <xf numFmtId="0" fontId="5" fillId="0" borderId="0" applyAlignment="1" pivotButton="0" quotePrefix="0" xfId="24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5" fillId="0" borderId="0" applyAlignment="1" pivotButton="0" quotePrefix="0" xfId="24">
      <alignment horizontal="left" vertical="top" wrapText="1"/>
    </xf>
    <xf numFmtId="0" fontId="6" fillId="3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center" wrapText="1"/>
    </xf>
    <xf numFmtId="0" fontId="10" fillId="5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0" fillId="6" borderId="0" applyAlignment="1" pivotButton="0" quotePrefix="0" xfId="0">
      <alignment horizontal="general" vertical="top" wrapText="1"/>
    </xf>
    <xf numFmtId="0" fontId="6" fillId="5" borderId="0" applyAlignment="1" pivotButton="0" quotePrefix="0" xfId="0">
      <alignment horizontal="general" vertical="top" wrapText="1"/>
    </xf>
    <xf numFmtId="0" fontId="10" fillId="0" borderId="0" applyAlignment="1" pivotButton="0" quotePrefix="0" xfId="0">
      <alignment horizontal="general" vertical="top" wrapText="1"/>
    </xf>
    <xf numFmtId="0" fontId="6" fillId="7" borderId="0" applyAlignment="1" pivotButton="0" quotePrefix="0" xfId="0">
      <alignment horizontal="general" vertical="top" wrapText="1"/>
    </xf>
    <xf numFmtId="0" fontId="10" fillId="6" borderId="0" applyAlignment="1" pivotButton="0" quotePrefix="0" xfId="0">
      <alignment horizontal="general" vertical="bottom"/>
    </xf>
    <xf numFmtId="0" fontId="6" fillId="7" borderId="0" applyAlignment="1" pivotButton="0" quotePrefix="0" xfId="0">
      <alignment horizontal="general" vertical="bottom"/>
    </xf>
    <xf numFmtId="166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center" wrapText="1"/>
    </xf>
    <xf numFmtId="0" fontId="6" fillId="0" borderId="1" applyAlignment="1" pivotButton="0" quotePrefix="0" xfId="0">
      <alignment horizontal="general" vertical="center" wrapText="1"/>
    </xf>
    <xf numFmtId="0" fontId="5" fillId="0" borderId="0" applyAlignment="1" pivotButton="0" quotePrefix="0" xfId="24">
      <alignment horizontal="general" vertical="top" wrapText="1"/>
    </xf>
    <xf numFmtId="0" fontId="7" fillId="8" borderId="0" applyAlignment="1" pivotButton="0" quotePrefix="0" xfId="0">
      <alignment horizontal="general" vertical="bottom"/>
    </xf>
    <xf numFmtId="0" fontId="8" fillId="9" borderId="0" applyAlignment="1" pivotButton="0" quotePrefix="0" xfId="0">
      <alignment horizontal="general" vertical="bottom"/>
    </xf>
    <xf numFmtId="0" fontId="8" fillId="10" borderId="1" applyAlignment="1" pivotButton="0" quotePrefix="0" xfId="0">
      <alignment horizontal="general" vertical="center" wrapText="1"/>
    </xf>
    <xf numFmtId="0" fontId="15" fillId="10" borderId="1" applyAlignment="1" pivotButton="0" quotePrefix="0" xfId="0">
      <alignment horizontal="general" vertical="center" wrapText="1"/>
    </xf>
    <xf numFmtId="0" fontId="8" fillId="9" borderId="1" applyAlignment="1" pivotButton="0" quotePrefix="0" xfId="0">
      <alignment horizontal="general" vertical="center" wrapText="1"/>
    </xf>
    <xf numFmtId="0" fontId="0" fillId="0" borderId="5" pivotButton="0" quotePrefix="0" xfId="0"/>
    <xf numFmtId="0" fontId="0" fillId="0" borderId="6" pivotButton="0" quotePrefix="0" xfId="0"/>
    <xf numFmtId="0" fontId="16" fillId="8" borderId="0" applyAlignment="1" pivotButton="0" quotePrefix="0" xfId="0">
      <alignment horizontal="left" vertical="center"/>
    </xf>
    <xf numFmtId="0" fontId="15" fillId="9" borderId="1" applyAlignment="1" pivotButton="0" quotePrefix="0" xfId="0">
      <alignment horizontal="general" vertical="top" wrapText="1"/>
    </xf>
    <xf numFmtId="0" fontId="6" fillId="0" borderId="1" applyAlignment="1" pivotButton="0" quotePrefix="0" xfId="0">
      <alignment horizontal="general" vertical="top" wrapText="1"/>
    </xf>
    <xf numFmtId="0" fontId="10" fillId="11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center" wrapText="1"/>
    </xf>
    <xf numFmtId="0" fontId="6" fillId="0" borderId="0" applyAlignment="1" pivotButton="0" quotePrefix="0" xfId="0">
      <alignment horizontal="general" vertical="bottom" wrapText="1"/>
    </xf>
    <xf numFmtId="167" fontId="6" fillId="5" borderId="0" applyAlignment="1" pivotButton="0" quotePrefix="0" xfId="0">
      <alignment horizontal="general" vertical="bottom"/>
    </xf>
    <xf numFmtId="165" fontId="6" fillId="3" borderId="0" applyAlignment="1" pivotButton="0" quotePrefix="0" xfId="0">
      <alignment horizontal="general" vertical="bottom"/>
    </xf>
    <xf numFmtId="165" fontId="6" fillId="12" borderId="0" applyAlignment="1" pivotButton="0" quotePrefix="0" xfId="0">
      <alignment horizontal="general" vertical="bottom"/>
    </xf>
    <xf numFmtId="0" fontId="8" fillId="6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center" wrapText="1"/>
    </xf>
    <xf numFmtId="0" fontId="6" fillId="13" borderId="0" applyAlignment="1" pivotButton="0" quotePrefix="0" xfId="0">
      <alignment horizontal="general" vertical="bottom"/>
    </xf>
    <xf numFmtId="0" fontId="6" fillId="14" borderId="0" applyAlignment="1" pivotButton="0" quotePrefix="0" xfId="0">
      <alignment horizontal="general" vertical="bottom"/>
    </xf>
    <xf numFmtId="0" fontId="10" fillId="14" borderId="0" applyAlignment="1" pivotButton="0" quotePrefix="0" xfId="0">
      <alignment horizontal="general" vertical="bottom"/>
    </xf>
    <xf numFmtId="0" fontId="8" fillId="14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top" wrapText="1"/>
    </xf>
    <xf numFmtId="0" fontId="10" fillId="15" borderId="0" applyAlignment="1" pivotButton="0" quotePrefix="0" xfId="0">
      <alignment horizontal="general" vertical="top" wrapText="1"/>
    </xf>
    <xf numFmtId="0" fontId="6" fillId="15" borderId="0" applyAlignment="1" pivotButton="0" quotePrefix="0" xfId="0">
      <alignment horizontal="general" vertical="top" wrapText="1"/>
    </xf>
    <xf numFmtId="0" fontId="6" fillId="14" borderId="0" applyAlignment="1" pivotButton="0" quotePrefix="0" xfId="0">
      <alignment horizontal="general" vertical="top" wrapText="1"/>
    </xf>
    <xf numFmtId="165" fontId="10" fillId="0" borderId="0" applyAlignment="1" pivotButton="0" quotePrefix="0" xfId="0">
      <alignment horizontal="general" vertical="bottom"/>
    </xf>
    <xf numFmtId="0" fontId="10" fillId="13" borderId="0" applyAlignment="1" pivotButton="0" quotePrefix="0" xfId="0">
      <alignment horizontal="general" vertical="top" wrapText="1"/>
    </xf>
    <xf numFmtId="0" fontId="10" fillId="14" borderId="0" applyAlignment="1" pivotButton="0" quotePrefix="0" xfId="0">
      <alignment horizontal="general" vertical="top" wrapText="1"/>
    </xf>
    <xf numFmtId="165" fontId="6" fillId="0" borderId="0" applyAlignment="1" pivotButton="0" quotePrefix="0" xfId="0">
      <alignment horizontal="general" vertical="top" wrapText="1"/>
    </xf>
    <xf numFmtId="0" fontId="6" fillId="13" borderId="0" applyAlignment="1" pivotButton="0" quotePrefix="0" xfId="0">
      <alignment horizontal="general" vertical="top" wrapText="1"/>
    </xf>
    <xf numFmtId="0" fontId="9" fillId="5" borderId="0" applyAlignment="1" pivotButton="0" quotePrefix="0" xfId="0">
      <alignment horizontal="general" vertical="top" wrapText="1"/>
    </xf>
    <xf numFmtId="0" fontId="8" fillId="16" borderId="0" applyAlignment="1" pivotButton="0" quotePrefix="0" xfId="0">
      <alignment horizontal="general" vertical="top" wrapText="1"/>
    </xf>
    <xf numFmtId="0" fontId="6" fillId="16" borderId="0" applyAlignment="1" pivotButton="0" quotePrefix="0" xfId="0">
      <alignment horizontal="general" vertical="top" wrapText="1"/>
    </xf>
    <xf numFmtId="0" fontId="6" fillId="17" borderId="0" applyAlignment="1" pivotButton="0" quotePrefix="0" xfId="0">
      <alignment horizontal="general" vertical="top" wrapText="1"/>
    </xf>
    <xf numFmtId="0" fontId="6" fillId="18" borderId="0" applyAlignment="1" pivotButton="0" quotePrefix="0" xfId="0">
      <alignment horizontal="general" vertical="top" wrapText="1"/>
    </xf>
    <xf numFmtId="0" fontId="6" fillId="2" borderId="0" applyAlignment="1" pivotButton="0" quotePrefix="0" xfId="0">
      <alignment horizontal="general" vertical="top" wrapText="1"/>
    </xf>
    <xf numFmtId="0" fontId="12" fillId="4" borderId="0" applyAlignment="1" pivotButton="0" quotePrefix="0" xfId="0">
      <alignment horizontal="general" vertical="top" wrapText="1"/>
    </xf>
    <xf numFmtId="0" fontId="8" fillId="19" borderId="2" applyAlignment="1" pivotButton="0" quotePrefix="0" xfId="0">
      <alignment horizontal="general" vertical="top" wrapText="1"/>
    </xf>
    <xf numFmtId="0" fontId="6" fillId="0" borderId="2" applyAlignment="1" pivotButton="0" quotePrefix="0" xfId="0">
      <alignment horizontal="general" vertical="top" wrapText="1"/>
    </xf>
    <xf numFmtId="0" fontId="6" fillId="3" borderId="0" applyAlignment="1" pivotButton="0" quotePrefix="0" xfId="0">
      <alignment horizontal="general" vertical="top" wrapText="1"/>
    </xf>
    <xf numFmtId="0" fontId="11" fillId="4" borderId="0" applyAlignment="1" pivotButton="0" quotePrefix="0" xfId="0">
      <alignment horizontal="general" vertical="top" wrapText="1"/>
    </xf>
    <xf numFmtId="0" fontId="13" fillId="4" borderId="0" applyAlignment="1" pivotButton="0" quotePrefix="0" xfId="0">
      <alignment horizontal="general" vertical="top" wrapText="1"/>
    </xf>
    <xf numFmtId="0" fontId="17" fillId="4" borderId="0" applyAlignment="1" pivotButton="0" quotePrefix="0" xfId="0">
      <alignment horizontal="general" vertical="top" wrapText="1"/>
    </xf>
    <xf numFmtId="0" fontId="18" fillId="4" borderId="0" applyAlignment="1" pivotButton="0" quotePrefix="0" xfId="0">
      <alignment horizontal="general" vertical="top" wrapText="1"/>
    </xf>
    <xf numFmtId="0" fontId="19" fillId="4" borderId="0" applyAlignment="1" pivotButton="0" quotePrefix="0" xfId="0">
      <alignment horizontal="general" vertical="top" wrapText="1"/>
    </xf>
    <xf numFmtId="0" fontId="20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center" wrapText="1"/>
    </xf>
    <xf numFmtId="0" fontId="10" fillId="1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top" wrapText="1"/>
    </xf>
    <xf numFmtId="0" fontId="17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general" vertical="top" wrapText="1"/>
    </xf>
    <xf numFmtId="0" fontId="10" fillId="3" borderId="0" applyAlignment="1" pivotButton="0" quotePrefix="0" xfId="0">
      <alignment horizontal="general" vertical="top" wrapText="1"/>
    </xf>
  </cellXfs>
  <cellStyles count="7">
    <cellStyle name="Normal" xfId="0"/>
    <cellStyle name="Comma" xfId="1"/>
    <cellStyle name="Comma [0]" xfId="2"/>
    <cellStyle name="Currency" xfId="3"/>
    <cellStyle name="Currency [0]" xfId="4"/>
    <cellStyle name="Percent" xfId="5"/>
    <cellStyle name="Normal 2" xfId="6"/>
  </cellStyles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E2EFDA"/>
      <rgbColor rgb="FF993366"/>
      <rgbColor rgb="FFFFFFCC"/>
      <rgbColor rgb="FFD9EAF7"/>
      <rgbColor rgb="FF660066"/>
      <rgbColor rgb="FFFF8080"/>
      <rgbColor rgb="FF0066CC"/>
      <rgbColor rgb="FFD9D9D9"/>
      <rgbColor rgb="FF000080"/>
      <rgbColor rgb="FFFF00FF"/>
      <rgbColor rgb="FFFFE6CC"/>
      <rgbColor rgb="FF00FFFF"/>
      <rgbColor rgb="FF800080"/>
      <rgbColor rgb="FF800000"/>
      <rgbColor rgb="FF008080"/>
      <rgbColor rgb="FF0000FF"/>
      <rgbColor rgb="FF00CCFF"/>
      <rgbColor rgb="FFDDEBF7"/>
      <rgbColor rgb="FFC6EFCE"/>
      <rgbColor rgb="FFFFEB9C"/>
      <rgbColor rgb="FFDDDDDD"/>
      <rgbColor rgb="FFFFC7CE"/>
      <rgbColor rgb="FFFCE4D6"/>
      <rgbColor rgb="FFFFCCCC"/>
      <rgbColor rgb="FF2E75B6"/>
      <rgbColor rgb="FF33CCCC"/>
      <rgbColor rgb="FF99CC00"/>
      <rgbColor rgb="FFE8F0FE"/>
      <rgbColor rgb="FFFF9900"/>
      <rgbColor rgb="FFFF6600"/>
      <rgbColor rgb="FF666699"/>
      <rgbColor rgb="FF999999"/>
      <rgbColor rgb="FF1F4E78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styles" Target="styles.xml" Id="rId29"/><Relationship Type="http://schemas.openxmlformats.org/officeDocument/2006/relationships/theme" Target="theme/theme1.xml" Id="rId30"/></Relationships>
</file>

<file path=xl/comments/comment1.xml><?xml version="1.0" encoding="utf-8"?>
<comments xmlns="http://schemas.openxmlformats.org/spreadsheetml/2006/main">
  <authors>
    <author>OpenAI</author>
  </authors>
  <commentList>
    <comment ref="B81" authorId="0" shapeId="0">
      <text>
        <t>Deterministic claimability gate for the selected option. INVALID_FLAGS_COUNT is computed from Audit_Flags INVALID-severity tokens, including NORMATIVE_INPUT_PROVENANCE_MISSING where triggered.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showGridLines="1" workbookViewId="0">
      <selection activeCell="A1" sqref="A1"/>
    </sheetView>
  </sheetViews>
  <sheetFormatPr baseColWidth="8" defaultColWidth="8.66796875" defaultRowHeight="14.25"/>
  <cols>
    <col width="18" customWidth="1" style="96" min="1" max="2"/>
    <col width="90" customWidth="1" style="96" min="3" max="4"/>
  </cols>
  <sheetData>
    <row r="1" ht="18" customHeight="1" s="97">
      <c r="A1" s="98" t="inlineStr">
        <is>
          <t>RELEASE NOTES + KNOWN REVIEW FLAGS (AUTO-PULLED)</t>
        </is>
      </c>
    </row>
    <row r="2" ht="13.5" customHeight="1" s="97"/>
    <row r="3" ht="13.5" customHeight="1" s="97">
      <c r="A3" s="99" t="inlineStr">
        <is>
          <t>Sheet version</t>
        </is>
      </c>
      <c r="B3" s="100">
        <f>CANON!B7</f>
        <v/>
      </c>
    </row>
    <row r="4" ht="13.5" customHeight="1" s="97">
      <c r="A4" s="99" t="inlineStr">
        <is>
          <t>Framework version</t>
        </is>
      </c>
      <c r="B4" s="100">
        <f>CANON!B5</f>
        <v/>
      </c>
    </row>
    <row r="5" ht="13.5" customHeight="1" s="97">
      <c r="A5" s="99" t="inlineStr">
        <is>
          <t>Tier</t>
        </is>
      </c>
      <c r="B5" s="100">
        <f>CANON!B89</f>
        <v/>
      </c>
    </row>
    <row r="6" ht="13.5" customHeight="1" s="97">
      <c r="A6" s="99" t="inlineStr">
        <is>
          <t>Workbook mode</t>
        </is>
      </c>
      <c r="B6" s="100">
        <f>CANON!B82</f>
        <v/>
      </c>
    </row>
    <row r="7" ht="13.5" customHeight="1" s="97">
      <c r="A7" s="99" t="inlineStr">
        <is>
          <t>Claimable run</t>
        </is>
      </c>
      <c r="B7" s="100">
        <f>CANON!B81</f>
        <v/>
      </c>
    </row>
    <row r="8" ht="13.5" customHeight="1" s="97">
      <c r="A8" s="99" t="inlineStr">
        <is>
          <t>Publish ready</t>
        </is>
      </c>
      <c r="B8" s="100">
        <f>CANON!B118</f>
        <v/>
      </c>
    </row>
    <row r="9" ht="13.5" customHeight="1" s="97">
      <c r="A9" s="101" t="n"/>
      <c r="B9" s="102" t="n"/>
    </row>
    <row r="10" ht="13.5" customHeight="1" s="97">
      <c r="A10" s="99" t="inlineStr">
        <is>
          <t>Active flags (auto)</t>
        </is>
      </c>
      <c r="B10" s="100">
        <f>Audit_Flags!J19</f>
        <v/>
      </c>
    </row>
    <row r="11" ht="13.5" customHeight="1" s="97">
      <c r="A11" s="99" t="inlineStr">
        <is>
          <t>Counts (INVALID / ESCALATE / REVIEW / TOTAL)</t>
        </is>
      </c>
      <c r="B11" s="100">
        <f>Audit_Flags!B21&amp;" / "&amp;Audit_Flags!B22&amp;" / "&amp;Audit_Flags!B23&amp;" / "&amp;Audit_Flags!B24</f>
        <v/>
      </c>
    </row>
    <row r="12" ht="13.5" customHeight="1" s="97"/>
    <row r="13" ht="28.5" customHeight="1" s="97">
      <c r="A13" s="100" t="inlineStr">
        <is>
          <t>Release positioning</t>
        </is>
      </c>
      <c r="B13" s="100" t="inlineStr">
        <is>
          <t>Tier-2 worked-run exemplar aligned to RippleLogic v9.6.4 and SGP v4.7.1. This workbook is a publishable worked-run companion when its computed release gates pass. It is not the repository-level validator/schema surface.</t>
        </is>
      </c>
    </row>
    <row r="14" ht="13.5" customHeight="1" s="97">
      <c r="A14" s="100" t="inlineStr">
        <is>
          <t>Current limitation (publication disclosure)</t>
        </is>
      </c>
      <c r="B14" s="100" t="inlineStr">
        <is>
          <t>This workbook remains a current worked-run exemplar companion, not a full repository-level conformance-complete validator/schema surface. PCC Section 18 now extends companion disclosure fields for decision-material normative inputs while remaining a worked-run audit illustration.</t>
        </is>
      </c>
    </row>
    <row r="15" ht="13.5" customHeight="1" s="97">
      <c r="A15" s="0" t="inlineStr">
        <is>
          <t>PCC Section 18 posture</t>
        </is>
      </c>
      <c r="B15" s="0" t="inlineStr">
        <is>
          <t>Extended companion disclosure surface; useful for publishable Tier-2 replay and audit illustration, but not a substitute for repository-level validator/schema assets.</t>
        </is>
      </c>
    </row>
    <row r="16" ht="13.5" customHeight="1" s="97"/>
    <row r="17" ht="13.5" customHeight="1" s="97">
      <c r="A17" s="100" t="inlineStr">
        <is>
          <t>Known REVIEW flags narrative (auto)</t>
        </is>
      </c>
      <c r="B17" s="100">
        <f>IF(Audit_Flags!B23=0,"None","See Audit_Flags list above; PCC includes the rationale for any active REVIEW flags.")</f>
        <v/>
      </c>
    </row>
    <row r="18" ht="13.5" customHeight="1" s="97"/>
    <row r="19" ht="13.5" customHeight="1" s="97">
      <c r="A19" s="100" t="inlineStr">
        <is>
          <t>Sensitivity status</t>
        </is>
      </c>
      <c r="B19" s="100">
        <f>Sensitivity_Analysis!B3</f>
        <v/>
      </c>
    </row>
    <row r="20" ht="13.5" customHeight="1" s="97">
      <c r="A20" s="100" t="inlineStr">
        <is>
          <t>Sensitivity verdict</t>
        </is>
      </c>
      <c r="B20" s="100">
        <f>Sensitivity_Analysis!B16</f>
        <v/>
      </c>
    </row>
    <row r="21" ht="13.5" customHeight="1" s="97"/>
    <row r="22" ht="13.5" customHeight="1" s="97">
      <c r="A22" s="100" t="inlineStr">
        <is>
          <t>Change log (edit this row for each release)</t>
        </is>
      </c>
    </row>
    <row r="23" ht="14.25" customHeight="1" s="97">
      <c r="A23" s="100" t="inlineStr">
        <is>
          <t>Date</t>
        </is>
      </c>
      <c r="B23" s="100" t="inlineStr">
        <is>
          <t>Change summary</t>
        </is>
      </c>
    </row>
    <row r="24" ht="14.25" customHeight="1" s="97">
      <c r="A24" s="103" t="inlineStr">
        <is>
          <t>2026-04-21</t>
        </is>
      </c>
      <c r="B24" s="100" t="inlineStr">
        <is>
          <t>v2.5 working-line hardening: corrected Biosphere UCI default/method disclosure, added Level 5 dashboard surface, made catastrophe-weight governance explicit, normalized rights ordering language, exposed floor tables/checks, and refreshed companion metadata for current release-line preparation.</t>
        </is>
      </c>
    </row>
    <row r="25" ht="216.3999938964844" customHeight="1" s="97">
      <c r="A25" s="103">
        <f>TODAY()</f>
        <v/>
      </c>
      <c r="B25" s="100" t="inlineStr">
        <is>
          <t>Final freeze synchronization update: repaired claimability/publication summary surfaces, extended active-flag summaries to the full v2.5 flag set, fixed PCC e_k materiality detection, and synchronized visible e_k bounds to the canon-governed interval.</t>
        </is>
      </c>
    </row>
    <row r="26" ht="14.25" customHeight="1" s="97">
      <c r="A26" s="104" t="inlineStr">
        <is>
          <t>April 2026 final hardening</t>
        </is>
      </c>
      <c r="B26" s="104" t="inlineStr">
        <is>
          <t>Added claimability hardening, scenario prior normalization checks, normative-input provenance register/flag, sanity-check provenance block, and explicit base/welfare contribution surfaces for the human-only worked run.</t>
        </is>
      </c>
      <c r="C26" s="104" t="inlineStr">
        <is>
          <t>Release-readiness pass</t>
        </is>
      </c>
      <c r="D26" s="104" t="inlineStr">
        <is>
          <t>Supports ProofPack + hash manifest packaging.</t>
        </is>
      </c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MANDATORY TAIL RISK CATEGORIES (WTSL)</t>
        </is>
      </c>
    </row>
    <row r="2" ht="13.5" customHeight="1" s="97"/>
    <row r="3" ht="14.25" customHeight="1" s="97">
      <c r="A3" s="96" t="inlineStr">
        <is>
          <t>Reference: RippleLogic v9.6.4 Section 8.5</t>
        </is>
      </c>
    </row>
    <row r="4" ht="33.75" customHeight="1" s="97">
      <c r="A4" s="127" t="inlineStr">
        <is>
          <t>Mandatory tails apply by default.
WTSL-AIX mandatory only if AI Deployment = YES.</t>
        </is>
      </c>
      <c r="D4" s="127" t="inlineStr">
        <is>
          <t>Optional AIX may be included
voluntarily (precautionary).</t>
        </is>
      </c>
    </row>
    <row r="5" ht="13.5" customHeight="1" s="97"/>
    <row r="6" ht="14.25" customHeight="1" s="97">
      <c r="A6" s="106" t="inlineStr">
        <is>
          <t>Code</t>
        </is>
      </c>
      <c r="B6" s="106" t="inlineStr">
        <is>
          <t>Category</t>
        </is>
      </c>
      <c r="C6" s="106" t="inlineStr">
        <is>
          <t>Description</t>
        </is>
      </c>
      <c r="D6" s="106" t="inlineStr">
        <is>
          <t>p(cat)</t>
        </is>
      </c>
      <c r="E6" s="106" t="inlineStr">
        <is>
          <t>p_floor</t>
        </is>
      </c>
      <c r="F6" s="106" t="inlineStr">
        <is>
          <t>Status</t>
        </is>
      </c>
      <c r="G6" s="96" t="inlineStr">
        <is>
          <t>Required?</t>
        </is>
      </c>
    </row>
    <row r="7" ht="14.25" customHeight="1" s="97">
      <c r="A7" s="96" t="inlineStr">
        <is>
          <t>WTSL-PAN</t>
        </is>
      </c>
      <c r="B7" s="96" t="inlineStr">
        <is>
          <t>Pandemic</t>
        </is>
      </c>
      <c r="C7" s="96" t="inlineStr">
        <is>
          <t>Global health crisis</t>
        </is>
      </c>
      <c r="D7" s="96">
        <f>SUMIF(Scenario_Impacts!$B$11:$B$16,A7,Scenario_Impacts!$C$11:$C$16)</f>
        <v/>
      </c>
      <c r="E7" s="96" t="n">
        <v>0.02</v>
      </c>
      <c r="F7" s="111">
        <f>IF(G7="NO","OPTIONAL",IF(D7&gt;=E7,"✓ COVERED","✗ MISSING"))</f>
        <v/>
      </c>
      <c r="G7" s="96">
        <f>IF(A7="WTSL-AIX",IF(Config!$B$13="YES","YES","NO"),"YES")</f>
        <v/>
      </c>
    </row>
    <row r="8" ht="14.25" customHeight="1" s="97">
      <c r="A8" s="96" t="inlineStr">
        <is>
          <t>WTSL-CLI</t>
        </is>
      </c>
      <c r="B8" s="96" t="inlineStr">
        <is>
          <t>Climate</t>
        </is>
      </c>
      <c r="C8" s="96" t="inlineStr">
        <is>
          <t>Climate catastrophe</t>
        </is>
      </c>
      <c r="D8" s="96">
        <f>SUMIF(Scenario_Impacts!$B$11:$B$16,A8,Scenario_Impacts!$C$11:$C$16)</f>
        <v/>
      </c>
      <c r="E8" s="96" t="n">
        <v>0.02</v>
      </c>
      <c r="F8" s="111">
        <f>IF(G8="NO","OPTIONAL",IF(D8&gt;=E8,"✓ COVERED","✗ MISSING"))</f>
        <v/>
      </c>
      <c r="G8" s="96">
        <f>IF(A8="WTSL-AIX",IF(Config!$B$13="YES","YES","NO"),"YES")</f>
        <v/>
      </c>
    </row>
    <row r="9" ht="14.25" customHeight="1" s="97">
      <c r="A9" s="96" t="inlineStr">
        <is>
          <t>WTSL-FIN</t>
        </is>
      </c>
      <c r="B9" s="96" t="inlineStr">
        <is>
          <t>Financial</t>
        </is>
      </c>
      <c r="C9" s="96" t="inlineStr">
        <is>
          <t>Financial system collapse</t>
        </is>
      </c>
      <c r="D9" s="96">
        <f>SUMIF(Scenario_Impacts!$B$11:$B$16,A9,Scenario_Impacts!$C$11:$C$16)</f>
        <v/>
      </c>
      <c r="E9" s="96" t="n">
        <v>0.02</v>
      </c>
      <c r="F9" s="111">
        <f>IF(G9="NO","OPTIONAL",IF(D9&gt;=E9,"✓ COVERED","✗ MISSING"))</f>
        <v/>
      </c>
      <c r="G9" s="96">
        <f>IF(A9="WTSL-AIX",IF(Config!$B$13="YES","YES","NO"),"YES")</f>
        <v/>
      </c>
    </row>
    <row r="10" ht="14.25" customHeight="1" s="97">
      <c r="A10" s="96" t="inlineStr">
        <is>
          <t>WTSL-CON</t>
        </is>
      </c>
      <c r="B10" s="96" t="inlineStr">
        <is>
          <t>Conflict</t>
        </is>
      </c>
      <c r="C10" s="96" t="inlineStr">
        <is>
          <t>Major armed conflict</t>
        </is>
      </c>
      <c r="D10" s="96">
        <f>SUMIF(Scenario_Impacts!$B$11:$B$16,A10,Scenario_Impacts!$C$11:$C$16)</f>
        <v/>
      </c>
      <c r="E10" s="96" t="n">
        <v>0.02</v>
      </c>
      <c r="F10" s="111">
        <f>IF(G10="NO","OPTIONAL",IF(D10&gt;=E10,"✓ COVERED","✗ MISSING"))</f>
        <v/>
      </c>
      <c r="G10" s="96">
        <f>IF(A10="WTSL-AIX",IF(Config!$B$13="YES","YES","NO"),"YES")</f>
        <v/>
      </c>
    </row>
    <row r="11" ht="14.25" customHeight="1" s="97">
      <c r="A11" s="96" t="inlineStr">
        <is>
          <t>WTSL-INF</t>
        </is>
      </c>
      <c r="B11" s="96" t="inlineStr">
        <is>
          <t>Infrastructure</t>
        </is>
      </c>
      <c r="C11" s="96" t="inlineStr">
        <is>
          <t>Critical infrastructure failure</t>
        </is>
      </c>
      <c r="D11" s="96">
        <f>SUMIF(Scenario_Impacts!$B$11:$B$16,A11,Scenario_Impacts!$C$11:$C$16)</f>
        <v/>
      </c>
      <c r="E11" s="96" t="n">
        <v>0.02</v>
      </c>
      <c r="F11" s="111">
        <f>IF(G11="NO","OPTIONAL",IF(D11&gt;=E11,"✓ COVERED","✗ MISSING"))</f>
        <v/>
      </c>
      <c r="G11" s="96">
        <f>IF(A11="WTSL-AIX",IF(Config!$B$13="YES","YES","NO"),"YES")</f>
        <v/>
      </c>
    </row>
    <row r="12" ht="14.25" customHeight="1" s="97">
      <c r="A12" s="96" t="inlineStr">
        <is>
          <t>WTSL-AIX</t>
        </is>
      </c>
      <c r="B12" s="96" t="inlineStr">
        <is>
          <t>AI Risk</t>
        </is>
      </c>
      <c r="C12" s="96" t="inlineStr">
        <is>
          <t>AI misalignment event</t>
        </is>
      </c>
      <c r="D12" s="96">
        <f>SUMIF(Scenario_Impacts!$B$11:$B$16,A12,Scenario_Impacts!$C$11:$C$16)</f>
        <v/>
      </c>
      <c r="E12" s="96" t="n">
        <v>0.02</v>
      </c>
      <c r="F12" s="111">
        <f>IF(G12="NO","OPTIONAL",IF(D12&gt;=E12,"✓ COVERED","✗ MISSING"))</f>
        <v/>
      </c>
      <c r="G12" s="96">
        <f>IF(A12="WTSL-AIX",IF(Config!$B$13="YES","YES","NO"),"YES")</f>
        <v/>
      </c>
    </row>
    <row r="13" ht="13.5" customHeight="1" s="97"/>
    <row r="14" ht="13.5" customHeight="1" s="97"/>
    <row r="15" ht="14.25" customHeight="1" s="97">
      <c r="A15" s="106" t="inlineStr">
        <is>
          <t>COVERAGE CHECK</t>
        </is>
      </c>
    </row>
    <row r="16" ht="14.25" customHeight="1" s="97">
      <c r="A16" s="96" t="inlineStr">
        <is>
          <t>Mandatory Count:</t>
        </is>
      </c>
      <c r="B16" s="111">
        <f>CANON!B41</f>
        <v/>
      </c>
      <c r="C16" s="96" t="inlineStr">
        <is>
          <t>(5 if AI_DEPLOYMENT=NO, 6 if YES)</t>
        </is>
      </c>
    </row>
    <row r="17" ht="14.25" customHeight="1" s="97">
      <c r="A17" s="96" t="inlineStr">
        <is>
          <t>Covered Count:</t>
        </is>
      </c>
      <c r="B17" s="111">
        <f>SUMPRODUCT((G7:G12&lt;&gt;"NO")*(D7:D12&gt;=E7:E12))</f>
        <v/>
      </c>
    </row>
    <row r="18" ht="21.75" customHeight="1" s="97">
      <c r="A18" s="96" t="inlineStr">
        <is>
          <t>Tail p-sum:</t>
        </is>
      </c>
      <c r="B18" s="96">
        <f>SUM(D7:D12)</f>
        <v/>
      </c>
      <c r="C18" s="127" t="inlineStr">
        <is>
          <t>(incl. optional AIX if used)</t>
        </is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W20"/>
  <sheetViews>
    <sheetView showGridLines="1" workbookViewId="0">
      <selection activeCell="A1" sqref="A1"/>
    </sheetView>
  </sheetViews>
  <sheetFormatPr baseColWidth="8" defaultColWidth="8.66796875" defaultRowHeight="12.75"/>
  <cols>
    <col width="20" customWidth="1" style="104" min="15" max="15"/>
    <col width="34" customWidth="1" style="104" min="16" max="16"/>
    <col width="24" customWidth="1" style="104" min="17" max="17"/>
    <col width="18" customWidth="1" style="104" min="18" max="18"/>
    <col width="24" customWidth="1" style="104" min="19" max="19"/>
    <col width="40" customWidth="1" style="104" min="20" max="20"/>
    <col width="18" customWidth="1" style="104" min="21" max="22"/>
    <col width="42" customWidth="1" style="104" min="23" max="23"/>
  </cols>
  <sheetData>
    <row r="1" ht="14.25" customHeight="1" s="97">
      <c r="A1" s="124" t="inlineStr">
        <is>
          <t>IMPACT INSTANCE INPUT</t>
        </is>
      </c>
    </row>
    <row r="2" ht="13.5" customHeight="1" s="97"/>
    <row r="3" ht="14.25" customHeight="1" s="97">
      <c r="A3" s="96" t="inlineStr">
        <is>
          <t>Formula surface (current worked-run): Contrib_Base = μ × r × ℓ × c × e × 1 × τ(t); Contrib_Welfare = μ × r × ℓ × c × e × s × τ(t)</t>
        </is>
      </c>
      <c r="O3" s="142" t="inlineStr">
        <is>
          <t>Tier-2 disclosure surface added: ReachBasisType / Denominator / Estimator per logged impact instance.</t>
        </is>
      </c>
      <c r="R3" s="142" t="inlineStr">
        <is>
          <t>v9.x+1 hardening: explicit e_k governance + provenance fields for each logged impact instance.</t>
        </is>
      </c>
    </row>
    <row r="4" ht="14.25" customHeight="1" s="97">
      <c r="A4" s="96" t="inlineStr">
        <is>
          <t>Identity condition note. Because all logged instances in this exemplar use the Human Plateau Rule with s_k = 1.0, base-stream and welfare-stream contributions are numerically identical here. Generalized non-human runs require explicit downstream stream separation.</t>
        </is>
      </c>
    </row>
    <row r="5" ht="13.5" customHeight="1" s="97"/>
    <row r="6" ht="14.25" customHeight="1" s="97">
      <c r="A6" s="140" t="inlineStr">
        <is>
          <t>ID</t>
        </is>
      </c>
      <c r="B6" s="140" t="inlineStr">
        <is>
          <t>Opt</t>
        </is>
      </c>
      <c r="C6" s="140" t="inlineStr">
        <is>
          <t>Union Scope</t>
        </is>
      </c>
      <c r="D6" s="140" t="inlineStr">
        <is>
          <t>Dim</t>
        </is>
      </c>
      <c r="E6" s="140" t="inlineStr">
        <is>
          <t>Description</t>
        </is>
      </c>
      <c r="F6" s="140" t="inlineStr">
        <is>
          <t>μ</t>
        </is>
      </c>
      <c r="G6" s="140" t="inlineStr">
        <is>
          <t>r</t>
        </is>
      </c>
      <c r="H6" s="140" t="inlineStr">
        <is>
          <t>ℓ</t>
        </is>
      </c>
      <c r="I6" s="140" t="inlineStr">
        <is>
          <t>c</t>
        </is>
      </c>
      <c r="J6" s="140" t="inlineStr">
        <is>
          <t>t</t>
        </is>
      </c>
      <c r="K6" s="140" t="inlineStr">
        <is>
          <t>e</t>
        </is>
      </c>
      <c r="L6" s="140" t="inlineStr">
        <is>
          <t>s</t>
        </is>
      </c>
      <c r="M6" s="140" t="inlineStr">
        <is>
          <t>τ(t)</t>
        </is>
      </c>
      <c r="N6" s="140" t="inlineStr">
        <is>
          <t>Contrib</t>
        </is>
      </c>
      <c r="O6" s="140" t="inlineStr">
        <is>
          <t>ReachBasisType</t>
        </is>
      </c>
      <c r="P6" s="140" t="inlineStr">
        <is>
          <t>ReachBasisDenominator</t>
        </is>
      </c>
      <c r="Q6" s="140" t="inlineStr">
        <is>
          <t>ReachBasisEstimator</t>
        </is>
      </c>
      <c r="R6" s="140" t="inlineStr">
        <is>
          <t>e_k_ReasonCode</t>
        </is>
      </c>
      <c r="S6" s="140" t="inlineStr">
        <is>
          <t>e_k_DefaultCounterfactual</t>
        </is>
      </c>
      <c r="T6" s="140" t="inlineStr">
        <is>
          <t>Input_Provenance_Note</t>
        </is>
      </c>
      <c r="U6" s="104" t="inlineStr">
        <is>
          <t>Contrib_Base</t>
        </is>
      </c>
      <c r="V6" s="104" t="inlineStr">
        <is>
          <t>Contrib_Welfare</t>
        </is>
      </c>
      <c r="W6" s="104" t="inlineStr">
        <is>
          <t>Stream_Identity_Note</t>
        </is>
      </c>
    </row>
    <row r="7" ht="14.25" customHeight="1" s="97">
      <c r="A7" s="96" t="inlineStr">
        <is>
          <t>I01</t>
        </is>
      </c>
      <c r="B7" s="96" t="inlineStr">
        <is>
          <t>A</t>
        </is>
      </c>
      <c r="C7" s="96" t="inlineStr">
        <is>
          <t>U3</t>
        </is>
      </c>
      <c r="D7" s="96" t="inlineStr">
        <is>
          <t>D3</t>
        </is>
      </c>
      <c r="E7" s="96" t="inlineStr">
        <is>
          <t>Reduced in-person interaction</t>
        </is>
      </c>
      <c r="F7" s="96" t="n">
        <v>-0.3</v>
      </c>
      <c r="G7" s="96" t="n">
        <v>0.8</v>
      </c>
      <c r="H7" s="96" t="n">
        <v>0.7</v>
      </c>
      <c r="I7" s="96" t="n">
        <v>0.5</v>
      </c>
      <c r="J7" s="96" t="n">
        <v>5</v>
      </c>
      <c r="K7" s="96" t="n">
        <v>1</v>
      </c>
      <c r="L7" s="96" t="n">
        <v>1</v>
      </c>
      <c r="M7" s="107">
        <f>MIN(1, LN(1+MAX(J7, CANON!$B$27)) / LN(1+CANON!$B$25))</f>
        <v/>
      </c>
      <c r="N7" s="143">
        <f>F7*G7*H7*I7*K7*L7*M7</f>
        <v/>
      </c>
      <c r="O7" s="143" t="inlineStr">
        <is>
          <t>DECLARED_INSTANCE_SHARE</t>
        </is>
      </c>
      <c r="P7" s="143" t="inlineStr">
        <is>
          <t>Context-specific affected group or exposure denominator</t>
        </is>
      </c>
      <c r="Q7" s="143" t="inlineStr">
        <is>
          <t>Tier-2 analyst estimate</t>
        </is>
      </c>
      <c r="R7" s="143" t="inlineStr">
        <is>
          <t>DEFAULT_1.00</t>
        </is>
      </c>
      <c r="S7" s="143" t="n">
        <v>1</v>
      </c>
      <c r="T7" s="143" t="inlineStr">
        <is>
          <t>Worked-run analyst estimate; see PCC Section 17 for provenance and materiality rules.</t>
        </is>
      </c>
      <c r="U7" s="104">
        <f>F7*G7*H7*I7*K7*1*M7</f>
        <v/>
      </c>
      <c r="V7" s="104">
        <f>F7*G7*H7*I7*K7*L7*M7</f>
        <v/>
      </c>
      <c r="W7" s="104" t="inlineStr">
        <is>
          <t>Current human-only worked run: Base = Welfare because s_k = 1.0 for all logged instances.</t>
        </is>
      </c>
    </row>
    <row r="8" ht="14.25" customHeight="1" s="97">
      <c r="A8" s="96" t="inlineStr">
        <is>
          <t>I02</t>
        </is>
      </c>
      <c r="B8" s="96" t="inlineStr">
        <is>
          <t>A</t>
        </is>
      </c>
      <c r="C8" s="96" t="inlineStr">
        <is>
          <t>U3</t>
        </is>
      </c>
      <c r="D8" s="96" t="inlineStr">
        <is>
          <t>D3</t>
        </is>
      </c>
      <c r="E8" s="96" t="inlineStr">
        <is>
          <t>Increased online community</t>
        </is>
      </c>
      <c r="F8" s="96" t="n">
        <v>0.15</v>
      </c>
      <c r="G8" s="96" t="n">
        <v>0.6</v>
      </c>
      <c r="H8" s="96" t="n">
        <v>0.5</v>
      </c>
      <c r="I8" s="96" t="n">
        <v>0.3</v>
      </c>
      <c r="J8" s="96" t="n">
        <v>3</v>
      </c>
      <c r="K8" s="96" t="n">
        <v>1</v>
      </c>
      <c r="L8" s="96" t="n">
        <v>1</v>
      </c>
      <c r="M8" s="107">
        <f>MIN(1, LN(1+MAX(J8, CANON!$B$27)) / LN(1+CANON!$B$25))</f>
        <v/>
      </c>
      <c r="N8" s="143">
        <f>F8*G8*H8*I8*K8*L8*M8</f>
        <v/>
      </c>
      <c r="O8" s="143" t="inlineStr">
        <is>
          <t>DECLARED_INSTANCE_SHARE</t>
        </is>
      </c>
      <c r="P8" s="143" t="inlineStr">
        <is>
          <t>Context-specific affected group or exposure denominator</t>
        </is>
      </c>
      <c r="Q8" s="143" t="inlineStr">
        <is>
          <t>Tier-2 analyst estimate</t>
        </is>
      </c>
      <c r="R8" s="143" t="inlineStr">
        <is>
          <t>DEFAULT_1.00</t>
        </is>
      </c>
      <c r="S8" s="143" t="n">
        <v>1</v>
      </c>
      <c r="T8" s="143" t="inlineStr">
        <is>
          <t>Worked-run analyst estimate; see PCC Section 17 for provenance and materiality rules.</t>
        </is>
      </c>
      <c r="U8" s="104">
        <f>F8*G8*H8*I8*K8*1*M8</f>
        <v/>
      </c>
      <c r="V8" s="104">
        <f>F8*G8*H8*I8*K8*L8*M8</f>
        <v/>
      </c>
      <c r="W8" s="104" t="inlineStr">
        <is>
          <t>Current human-only worked run: Base = Welfare because s_k = 1.0 for all logged instances.</t>
        </is>
      </c>
    </row>
    <row r="9" ht="14.25" customHeight="1" s="97">
      <c r="A9" s="96" t="inlineStr">
        <is>
          <t>I03</t>
        </is>
      </c>
      <c r="B9" s="96" t="inlineStr">
        <is>
          <t>A</t>
        </is>
      </c>
      <c r="C9" s="96" t="inlineStr">
        <is>
          <t>U1</t>
        </is>
      </c>
      <c r="D9" s="96" t="inlineStr">
        <is>
          <t>D5</t>
        </is>
      </c>
      <c r="E9" s="96" t="inlineStr">
        <is>
          <t>Increased work flexibility</t>
        </is>
      </c>
      <c r="F9" s="96" t="n">
        <v>0.4</v>
      </c>
      <c r="G9" s="96" t="n">
        <v>0.9</v>
      </c>
      <c r="H9" s="96" t="n">
        <v>0.8</v>
      </c>
      <c r="I9" s="96" t="n">
        <v>0.6</v>
      </c>
      <c r="J9" s="96" t="n">
        <v>10</v>
      </c>
      <c r="K9" s="96" t="n">
        <v>1</v>
      </c>
      <c r="L9" s="96" t="n">
        <v>1</v>
      </c>
      <c r="M9" s="107">
        <f>MIN(1, LN(1+MAX(J9, CANON!$B$27)) / LN(1+CANON!$B$25))</f>
        <v/>
      </c>
      <c r="N9" s="143">
        <f>F9*G9*H9*I9*K9*L9*M9</f>
        <v/>
      </c>
      <c r="O9" s="143" t="inlineStr">
        <is>
          <t>DECLARED_INSTANCE_SHARE</t>
        </is>
      </c>
      <c r="P9" s="143" t="inlineStr">
        <is>
          <t>Context-specific affected group or exposure denominator</t>
        </is>
      </c>
      <c r="Q9" s="143" t="inlineStr">
        <is>
          <t>Tier-2 analyst estimate</t>
        </is>
      </c>
      <c r="R9" s="143" t="inlineStr">
        <is>
          <t>DEFAULT_1.00</t>
        </is>
      </c>
      <c r="S9" s="143" t="n">
        <v>1</v>
      </c>
      <c r="T9" s="143" t="inlineStr">
        <is>
          <t>Worked-run analyst estimate; see PCC Section 17 for provenance and materiality rules.</t>
        </is>
      </c>
      <c r="U9" s="104">
        <f>F9*G9*H9*I9*K9*1*M9</f>
        <v/>
      </c>
      <c r="V9" s="104">
        <f>F9*G9*H9*I9*K9*L9*M9</f>
        <v/>
      </c>
      <c r="W9" s="104" t="inlineStr">
        <is>
          <t>Current human-only worked run: Base = Welfare because s_k = 1.0 for all logged instances.</t>
        </is>
      </c>
    </row>
    <row r="10" ht="14.25" customHeight="1" s="97">
      <c r="A10" s="96" t="inlineStr">
        <is>
          <t>I04</t>
        </is>
      </c>
      <c r="B10" s="96" t="inlineStr">
        <is>
          <t>A</t>
        </is>
      </c>
      <c r="C10" s="96" t="inlineStr">
        <is>
          <t>U2</t>
        </is>
      </c>
      <c r="D10" s="96" t="inlineStr">
        <is>
          <t>D1</t>
        </is>
      </c>
      <c r="E10" s="96" t="inlineStr">
        <is>
          <t>Reduced commuting costs</t>
        </is>
      </c>
      <c r="F10" s="96" t="n">
        <v>0.25</v>
      </c>
      <c r="G10" s="96" t="n">
        <v>0.7</v>
      </c>
      <c r="H10" s="96" t="n">
        <v>0.6</v>
      </c>
      <c r="I10" s="96" t="n">
        <v>0.4</v>
      </c>
      <c r="J10" s="96" t="n">
        <v>5</v>
      </c>
      <c r="K10" s="96" t="n">
        <v>1</v>
      </c>
      <c r="L10" s="96" t="n">
        <v>1</v>
      </c>
      <c r="M10" s="107">
        <f>MIN(1, LN(1+MAX(J10, CANON!$B$27)) / LN(1+CANON!$B$25))</f>
        <v/>
      </c>
      <c r="N10" s="143">
        <f>F10*G10*H10*I10*K10*L10*M10</f>
        <v/>
      </c>
      <c r="O10" s="143" t="inlineStr">
        <is>
          <t>DECLARED_INSTANCE_SHARE</t>
        </is>
      </c>
      <c r="P10" s="143" t="inlineStr">
        <is>
          <t>Context-specific affected group or exposure denominator</t>
        </is>
      </c>
      <c r="Q10" s="143" t="inlineStr">
        <is>
          <t>Tier-2 analyst estimate</t>
        </is>
      </c>
      <c r="R10" s="143" t="inlineStr">
        <is>
          <t>DEFAULT_1.00</t>
        </is>
      </c>
      <c r="S10" s="143" t="n">
        <v>1</v>
      </c>
      <c r="T10" s="143" t="inlineStr">
        <is>
          <t>Worked-run analyst estimate; see PCC Section 17 for provenance and materiality rules.</t>
        </is>
      </c>
      <c r="U10" s="104">
        <f>F10*G10*H10*I10*K10*1*M10</f>
        <v/>
      </c>
      <c r="V10" s="104">
        <f>F10*G10*H10*I10*K10*L10*M10</f>
        <v/>
      </c>
      <c r="W10" s="104" t="inlineStr">
        <is>
          <t>Current human-only worked run: Base = Welfare because s_k = 1.0 for all logged instances.</t>
        </is>
      </c>
    </row>
    <row r="11" ht="14.25" customHeight="1" s="97">
      <c r="A11" s="96" t="inlineStr">
        <is>
          <t>I05</t>
        </is>
      </c>
      <c r="B11" s="96" t="inlineStr">
        <is>
          <t>A</t>
        </is>
      </c>
      <c r="C11" s="96" t="inlineStr">
        <is>
          <t>U1</t>
        </is>
      </c>
      <c r="D11" s="96" t="inlineStr">
        <is>
          <t>D6</t>
        </is>
      </c>
      <c r="E11" s="96" t="inlineStr">
        <is>
          <t>Better work-life balance</t>
        </is>
      </c>
      <c r="F11" s="96" t="n">
        <v>0.35</v>
      </c>
      <c r="G11" s="96" t="n">
        <v>0.8</v>
      </c>
      <c r="H11" s="96" t="n">
        <v>0.7</v>
      </c>
      <c r="I11" s="96" t="n">
        <v>0.5</v>
      </c>
      <c r="J11" s="96" t="n">
        <v>10</v>
      </c>
      <c r="K11" s="96" t="n">
        <v>1</v>
      </c>
      <c r="L11" s="96" t="n">
        <v>1</v>
      </c>
      <c r="M11" s="107">
        <f>MIN(1, LN(1+MAX(J11, CANON!$B$27)) / LN(1+CANON!$B$25))</f>
        <v/>
      </c>
      <c r="N11" s="143">
        <f>F11*G11*H11*I11*K11*L11*M11</f>
        <v/>
      </c>
      <c r="O11" s="143" t="inlineStr">
        <is>
          <t>DECLARED_INSTANCE_SHARE</t>
        </is>
      </c>
      <c r="P11" s="143" t="inlineStr">
        <is>
          <t>Context-specific affected group or exposure denominator</t>
        </is>
      </c>
      <c r="Q11" s="143" t="inlineStr">
        <is>
          <t>Tier-2 analyst estimate</t>
        </is>
      </c>
      <c r="R11" s="143" t="inlineStr">
        <is>
          <t>DEFAULT_1.00</t>
        </is>
      </c>
      <c r="S11" s="143" t="n">
        <v>1</v>
      </c>
      <c r="T11" s="143" t="inlineStr">
        <is>
          <t>Worked-run analyst estimate; see PCC Section 17 for provenance and materiality rules.</t>
        </is>
      </c>
      <c r="U11" s="104">
        <f>F11*G11*H11*I11*K11*1*M11</f>
        <v/>
      </c>
      <c r="V11" s="104">
        <f>F11*G11*H11*I11*K11*L11*M11</f>
        <v/>
      </c>
      <c r="W11" s="104" t="inlineStr">
        <is>
          <t>Current human-only worked run: Base = Welfare because s_k = 1.0 for all logged instances.</t>
        </is>
      </c>
    </row>
    <row r="12" ht="14.25" customHeight="1" s="97">
      <c r="A12" s="96" t="inlineStr">
        <is>
          <t>I06</t>
        </is>
      </c>
      <c r="B12" s="96" t="inlineStr">
        <is>
          <t>A</t>
        </is>
      </c>
      <c r="C12" s="96" t="inlineStr">
        <is>
          <t>U7</t>
        </is>
      </c>
      <c r="D12" s="96" t="inlineStr">
        <is>
          <t>D7</t>
        </is>
      </c>
      <c r="E12" s="96" t="inlineStr">
        <is>
          <t>Reduced carbon emissions</t>
        </is>
      </c>
      <c r="F12" s="96" t="n">
        <v>0.15</v>
      </c>
      <c r="G12" s="96" t="n">
        <v>0.5</v>
      </c>
      <c r="H12" s="96" t="n">
        <v>0.4</v>
      </c>
      <c r="I12" s="96" t="n">
        <v>0.3</v>
      </c>
      <c r="J12" s="96" t="n">
        <v>15</v>
      </c>
      <c r="K12" s="96" t="n">
        <v>1</v>
      </c>
      <c r="L12" s="96" t="n">
        <v>1</v>
      </c>
      <c r="M12" s="107">
        <f>MIN(1, LN(1+MAX(J12, CANON!$B$27)) / LN(1+CANON!$B$25))</f>
        <v/>
      </c>
      <c r="N12" s="143">
        <f>F12*G12*H12*I12*K12*L12*M12</f>
        <v/>
      </c>
      <c r="O12" s="143" t="inlineStr">
        <is>
          <t>DECLARED_INSTANCE_SHARE</t>
        </is>
      </c>
      <c r="P12" s="143" t="inlineStr">
        <is>
          <t>Context-specific affected group or exposure denominator</t>
        </is>
      </c>
      <c r="Q12" s="143" t="inlineStr">
        <is>
          <t>Tier-2 analyst estimate</t>
        </is>
      </c>
      <c r="R12" s="143" t="inlineStr">
        <is>
          <t>DEFAULT_1.00</t>
        </is>
      </c>
      <c r="S12" s="143" t="n">
        <v>1</v>
      </c>
      <c r="T12" s="143" t="inlineStr">
        <is>
          <t>Worked-run analyst estimate; see PCC Section 17 for provenance and materiality rules.</t>
        </is>
      </c>
      <c r="U12" s="104">
        <f>F12*G12*H12*I12*K12*1*M12</f>
        <v/>
      </c>
      <c r="V12" s="104">
        <f>F12*G12*H12*I12*K12*L12*M12</f>
        <v/>
      </c>
      <c r="W12" s="104" t="inlineStr">
        <is>
          <t>Current human-only worked run: Base = Welfare because s_k = 1.0 for all logged instances.</t>
        </is>
      </c>
    </row>
    <row r="13" ht="14.25" customHeight="1" s="97">
      <c r="A13" s="96" t="inlineStr">
        <is>
          <t>I07</t>
        </is>
      </c>
      <c r="B13" s="96" t="inlineStr">
        <is>
          <t>A</t>
        </is>
      </c>
      <c r="C13" s="96" t="inlineStr">
        <is>
          <t>U4</t>
        </is>
      </c>
      <c r="D13" s="96" t="inlineStr">
        <is>
          <t>D1</t>
        </is>
      </c>
      <c r="E13" s="96" t="inlineStr">
        <is>
          <t>Tech infrastructure costs</t>
        </is>
      </c>
      <c r="F13" s="96" t="n">
        <v>-0.2</v>
      </c>
      <c r="G13" s="96" t="n">
        <v>0.9</v>
      </c>
      <c r="H13" s="96" t="n">
        <v>0.8</v>
      </c>
      <c r="I13" s="96" t="n">
        <v>0.7</v>
      </c>
      <c r="J13" s="96" t="n">
        <v>3</v>
      </c>
      <c r="K13" s="96" t="n">
        <v>1</v>
      </c>
      <c r="L13" s="96" t="n">
        <v>1</v>
      </c>
      <c r="M13" s="107">
        <f>MIN(1, LN(1+MAX(J13, CANON!$B$27)) / LN(1+CANON!$B$25))</f>
        <v/>
      </c>
      <c r="N13" s="143">
        <f>F13*G13*H13*I13*K13*L13*M13</f>
        <v/>
      </c>
      <c r="O13" s="143" t="inlineStr">
        <is>
          <t>DECLARED_INSTANCE_SHARE</t>
        </is>
      </c>
      <c r="P13" s="143" t="inlineStr">
        <is>
          <t>Context-specific affected group or exposure denominator</t>
        </is>
      </c>
      <c r="Q13" s="143" t="inlineStr">
        <is>
          <t>Tier-2 analyst estimate</t>
        </is>
      </c>
      <c r="R13" s="143" t="inlineStr">
        <is>
          <t>DEFAULT_1.00</t>
        </is>
      </c>
      <c r="S13" s="143" t="n">
        <v>1</v>
      </c>
      <c r="T13" s="143" t="inlineStr">
        <is>
          <t>Worked-run analyst estimate; see PCC Section 17 for provenance and materiality rules.</t>
        </is>
      </c>
      <c r="U13" s="104">
        <f>F13*G13*H13*I13*K13*1*M13</f>
        <v/>
      </c>
      <c r="V13" s="104">
        <f>F13*G13*H13*I13*K13*L13*M13</f>
        <v/>
      </c>
      <c r="W13" s="104" t="inlineStr">
        <is>
          <t>Current human-only worked run: Base = Welfare because s_k = 1.0 for all logged instances.</t>
        </is>
      </c>
    </row>
    <row r="14" ht="14.25" customHeight="1" s="97">
      <c r="A14" s="96" t="inlineStr">
        <is>
          <t>I08</t>
        </is>
      </c>
      <c r="B14" s="96" t="inlineStr">
        <is>
          <t>A</t>
        </is>
      </c>
      <c r="C14" s="96" t="inlineStr">
        <is>
          <t>U3</t>
        </is>
      </c>
      <c r="D14" s="96" t="inlineStr">
        <is>
          <t>D1</t>
        </is>
      </c>
      <c r="E14" s="96" t="inlineStr">
        <is>
          <t>Reduced local business revenue</t>
        </is>
      </c>
      <c r="F14" s="96" t="n">
        <v>-0.15</v>
      </c>
      <c r="G14" s="96" t="n">
        <v>0.6</v>
      </c>
      <c r="H14" s="96" t="n">
        <v>0.5</v>
      </c>
      <c r="I14" s="96" t="n">
        <v>0.4</v>
      </c>
      <c r="J14" s="96" t="n">
        <v>5</v>
      </c>
      <c r="K14" s="96" t="n">
        <v>1</v>
      </c>
      <c r="L14" s="96" t="n">
        <v>1</v>
      </c>
      <c r="M14" s="107">
        <f>MIN(1, LN(1+MAX(J14, CANON!$B$27)) / LN(1+CANON!$B$25))</f>
        <v/>
      </c>
      <c r="N14" s="143">
        <f>F14*G14*H14*I14*K14*L14*M14</f>
        <v/>
      </c>
      <c r="O14" s="143" t="inlineStr">
        <is>
          <t>DECLARED_INSTANCE_SHARE</t>
        </is>
      </c>
      <c r="P14" s="143" t="inlineStr">
        <is>
          <t>Context-specific affected group or exposure denominator</t>
        </is>
      </c>
      <c r="Q14" s="143" t="inlineStr">
        <is>
          <t>Tier-2 analyst estimate</t>
        </is>
      </c>
      <c r="R14" s="143" t="inlineStr">
        <is>
          <t>DEFAULT_1.00</t>
        </is>
      </c>
      <c r="S14" s="143" t="n">
        <v>1</v>
      </c>
      <c r="T14" s="143" t="inlineStr">
        <is>
          <t>Worked-run analyst estimate; see PCC Section 17 for provenance and materiality rules.</t>
        </is>
      </c>
      <c r="U14" s="104">
        <f>F14*G14*H14*I14*K14*1*M14</f>
        <v/>
      </c>
      <c r="V14" s="104">
        <f>F14*G14*H14*I14*K14*L14*M14</f>
        <v/>
      </c>
      <c r="W14" s="104" t="inlineStr">
        <is>
          <t>Current human-only worked run: Base = Welfare because s_k = 1.0 for all logged instances.</t>
        </is>
      </c>
    </row>
    <row r="15" ht="14.25" customHeight="1" s="97">
      <c r="A15" s="96" t="inlineStr">
        <is>
          <t>I09</t>
        </is>
      </c>
      <c r="B15" s="96" t="inlineStr">
        <is>
          <t>B</t>
        </is>
      </c>
      <c r="C15" s="96" t="inlineStr">
        <is>
          <t>U3</t>
        </is>
      </c>
      <c r="D15" s="96" t="inlineStr">
        <is>
          <t>D3</t>
        </is>
      </c>
      <c r="E15" s="96" t="inlineStr">
        <is>
          <t>Maintained in-person bonds</t>
        </is>
      </c>
      <c r="F15" s="96" t="n">
        <v>0.2</v>
      </c>
      <c r="G15" s="96" t="n">
        <v>0.8</v>
      </c>
      <c r="H15" s="96" t="n">
        <v>0.7</v>
      </c>
      <c r="I15" s="96" t="n">
        <v>0.5</v>
      </c>
      <c r="J15" s="96" t="n">
        <v>5</v>
      </c>
      <c r="K15" s="96" t="n">
        <v>1</v>
      </c>
      <c r="L15" s="96" t="n">
        <v>1</v>
      </c>
      <c r="M15" s="107">
        <f>MIN(1, LN(1+MAX(J15, CANON!$B$27)) / LN(1+CANON!$B$25))</f>
        <v/>
      </c>
      <c r="N15" s="143">
        <f>F15*G15*H15*I15*K15*L15*M15</f>
        <v/>
      </c>
      <c r="O15" s="143" t="inlineStr">
        <is>
          <t>DECLARED_INSTANCE_SHARE</t>
        </is>
      </c>
      <c r="P15" s="143" t="inlineStr">
        <is>
          <t>Context-specific affected group or exposure denominator</t>
        </is>
      </c>
      <c r="Q15" s="143" t="inlineStr">
        <is>
          <t>Tier-2 analyst estimate</t>
        </is>
      </c>
      <c r="R15" s="143" t="inlineStr">
        <is>
          <t>DEFAULT_1.00</t>
        </is>
      </c>
      <c r="S15" s="143" t="n">
        <v>1</v>
      </c>
      <c r="T15" s="143" t="inlineStr">
        <is>
          <t>Worked-run analyst estimate; see PCC Section 17 for provenance and materiality rules.</t>
        </is>
      </c>
      <c r="U15" s="104">
        <f>F15*G15*H15*I15*K15*1*M15</f>
        <v/>
      </c>
      <c r="V15" s="104">
        <f>F15*G15*H15*I15*K15*L15*M15</f>
        <v/>
      </c>
      <c r="W15" s="104" t="inlineStr">
        <is>
          <t>Current human-only worked run: Base = Welfare because s_k = 1.0 for all logged instances.</t>
        </is>
      </c>
    </row>
    <row r="16" ht="14.25" customHeight="1" s="97">
      <c r="A16" s="96" t="inlineStr">
        <is>
          <t>I10</t>
        </is>
      </c>
      <c r="B16" s="96" t="inlineStr">
        <is>
          <t>B</t>
        </is>
      </c>
      <c r="C16" s="96" t="inlineStr">
        <is>
          <t>U1</t>
        </is>
      </c>
      <c r="D16" s="96" t="inlineStr">
        <is>
          <t>D5</t>
        </is>
      </c>
      <c r="E16" s="96" t="inlineStr">
        <is>
          <t>Limited flexibility</t>
        </is>
      </c>
      <c r="F16" s="96" t="n">
        <v>-0.15</v>
      </c>
      <c r="G16" s="96" t="n">
        <v>0.7</v>
      </c>
      <c r="H16" s="96" t="n">
        <v>0.6</v>
      </c>
      <c r="I16" s="96" t="n">
        <v>0.5</v>
      </c>
      <c r="J16" s="96" t="n">
        <v>10</v>
      </c>
      <c r="K16" s="96" t="n">
        <v>1</v>
      </c>
      <c r="L16" s="96" t="n">
        <v>1</v>
      </c>
      <c r="M16" s="107">
        <f>MIN(1, LN(1+MAX(J16, CANON!$B$27)) / LN(1+CANON!$B$25))</f>
        <v/>
      </c>
      <c r="N16" s="143">
        <f>F16*G16*H16*I16*K16*L16*M16</f>
        <v/>
      </c>
      <c r="O16" s="143" t="inlineStr">
        <is>
          <t>DECLARED_INSTANCE_SHARE</t>
        </is>
      </c>
      <c r="P16" s="143" t="inlineStr">
        <is>
          <t>Context-specific affected group or exposure denominator</t>
        </is>
      </c>
      <c r="Q16" s="143" t="inlineStr">
        <is>
          <t>Tier-2 analyst estimate</t>
        </is>
      </c>
      <c r="R16" s="143" t="inlineStr">
        <is>
          <t>DEFAULT_1.00</t>
        </is>
      </c>
      <c r="S16" s="143" t="n">
        <v>1</v>
      </c>
      <c r="T16" s="143" t="inlineStr">
        <is>
          <t>Worked-run analyst estimate; see PCC Section 17 for provenance and materiality rules.</t>
        </is>
      </c>
      <c r="U16" s="104">
        <f>F16*G16*H16*I16*K16*1*M16</f>
        <v/>
      </c>
      <c r="V16" s="104">
        <f>F16*G16*H16*I16*K16*L16*M16</f>
        <v/>
      </c>
      <c r="W16" s="104" t="inlineStr">
        <is>
          <t>Current human-only worked run: Base = Welfare because s_k = 1.0 for all logged instances.</t>
        </is>
      </c>
    </row>
    <row r="17" ht="14.25" customHeight="1" s="97">
      <c r="A17" s="96" t="inlineStr">
        <is>
          <t>I11</t>
        </is>
      </c>
      <c r="B17" s="96" t="inlineStr">
        <is>
          <t>B</t>
        </is>
      </c>
      <c r="C17" s="96" t="inlineStr">
        <is>
          <t>U2</t>
        </is>
      </c>
      <c r="D17" s="96" t="inlineStr">
        <is>
          <t>D1</t>
        </is>
      </c>
      <c r="E17" s="96" t="inlineStr">
        <is>
          <t>Continued commuting costs</t>
        </is>
      </c>
      <c r="F17" s="96" t="n">
        <v>-0.1</v>
      </c>
      <c r="G17" s="96" t="n">
        <v>0.7</v>
      </c>
      <c r="H17" s="96" t="n">
        <v>0.6</v>
      </c>
      <c r="I17" s="96" t="n">
        <v>0.4</v>
      </c>
      <c r="J17" s="96" t="n">
        <v>5</v>
      </c>
      <c r="K17" s="96" t="n">
        <v>1</v>
      </c>
      <c r="L17" s="96" t="n">
        <v>1</v>
      </c>
      <c r="M17" s="107">
        <f>MIN(1, LN(1+MAX(J17, CANON!$B$27)) / LN(1+CANON!$B$25))</f>
        <v/>
      </c>
      <c r="N17" s="143">
        <f>F17*G17*H17*I17*K17*L17*M17</f>
        <v/>
      </c>
      <c r="O17" s="143" t="inlineStr">
        <is>
          <t>DECLARED_INSTANCE_SHARE</t>
        </is>
      </c>
      <c r="P17" s="143" t="inlineStr">
        <is>
          <t>Context-specific affected group or exposure denominator</t>
        </is>
      </c>
      <c r="Q17" s="143" t="inlineStr">
        <is>
          <t>Tier-2 analyst estimate</t>
        </is>
      </c>
      <c r="R17" s="143" t="inlineStr">
        <is>
          <t>DEFAULT_1.00</t>
        </is>
      </c>
      <c r="S17" s="143" t="n">
        <v>1</v>
      </c>
      <c r="T17" s="143" t="inlineStr">
        <is>
          <t>Worked-run analyst estimate; see PCC Section 17 for provenance and materiality rules.</t>
        </is>
      </c>
      <c r="U17" s="104">
        <f>F17*G17*H17*I17*K17*1*M17</f>
        <v/>
      </c>
      <c r="V17" s="104">
        <f>F17*G17*H17*I17*K17*L17*M17</f>
        <v/>
      </c>
      <c r="W17" s="104" t="inlineStr">
        <is>
          <t>Current human-only worked run: Base = Welfare because s_k = 1.0 for all logged instances.</t>
        </is>
      </c>
    </row>
    <row r="18" ht="14.25" customHeight="1" s="97">
      <c r="A18" s="96" t="inlineStr">
        <is>
          <t>I12</t>
        </is>
      </c>
      <c r="B18" s="96" t="inlineStr">
        <is>
          <t>B</t>
        </is>
      </c>
      <c r="C18" s="96" t="inlineStr">
        <is>
          <t>U7</t>
        </is>
      </c>
      <c r="D18" s="96" t="inlineStr">
        <is>
          <t>D7</t>
        </is>
      </c>
      <c r="E18" s="96" t="inlineStr">
        <is>
          <t>Continued emissions</t>
        </is>
      </c>
      <c r="F18" s="96" t="n">
        <v>-0.1</v>
      </c>
      <c r="G18" s="96" t="n">
        <v>0.5</v>
      </c>
      <c r="H18" s="96" t="n">
        <v>0.4</v>
      </c>
      <c r="I18" s="96" t="n">
        <v>0.3</v>
      </c>
      <c r="J18" s="96" t="n">
        <v>15</v>
      </c>
      <c r="K18" s="96" t="n">
        <v>1</v>
      </c>
      <c r="L18" s="96" t="n">
        <v>1</v>
      </c>
      <c r="M18" s="107">
        <f>MIN(1, LN(1+MAX(J18, CANON!$B$27)) / LN(1+CANON!$B$25))</f>
        <v/>
      </c>
      <c r="N18" s="143">
        <f>F18*G18*H18*I18*K18*L18*M18</f>
        <v/>
      </c>
      <c r="O18" s="143" t="inlineStr">
        <is>
          <t>DECLARED_INSTANCE_SHARE</t>
        </is>
      </c>
      <c r="P18" s="143" t="inlineStr">
        <is>
          <t>Context-specific affected group or exposure denominator</t>
        </is>
      </c>
      <c r="Q18" s="143" t="inlineStr">
        <is>
          <t>Tier-2 analyst estimate</t>
        </is>
      </c>
      <c r="R18" s="143" t="inlineStr">
        <is>
          <t>DEFAULT_1.00</t>
        </is>
      </c>
      <c r="S18" s="143" t="n">
        <v>1</v>
      </c>
      <c r="T18" s="143" t="inlineStr">
        <is>
          <t>Worked-run analyst estimate; see PCC Section 17 for provenance and materiality rules.</t>
        </is>
      </c>
      <c r="U18" s="104">
        <f>F18*G18*H18*I18*K18*1*M18</f>
        <v/>
      </c>
      <c r="V18" s="104">
        <f>F18*G18*H18*I18*K18*L18*M18</f>
        <v/>
      </c>
      <c r="W18" s="104" t="inlineStr">
        <is>
          <t>Current human-only worked run: Base = Welfare because s_k = 1.0 for all logged instances.</t>
        </is>
      </c>
    </row>
    <row r="19" ht="14.25" customHeight="1" s="97">
      <c r="A19" s="96" t="inlineStr">
        <is>
          <t>I13</t>
        </is>
      </c>
      <c r="B19" s="96" t="inlineStr">
        <is>
          <t>B</t>
        </is>
      </c>
      <c r="C19" s="96" t="inlineStr">
        <is>
          <t>U4</t>
        </is>
      </c>
      <c r="D19" s="96" t="inlineStr">
        <is>
          <t>D1</t>
        </is>
      </c>
      <c r="E19" s="96" t="inlineStr">
        <is>
          <t>Stable infrastructure</t>
        </is>
      </c>
      <c r="F19" s="96" t="n">
        <v>0.1</v>
      </c>
      <c r="G19" s="96" t="n">
        <v>0.6</v>
      </c>
      <c r="H19" s="96" t="n">
        <v>0.5</v>
      </c>
      <c r="I19" s="96" t="n">
        <v>0.4</v>
      </c>
      <c r="J19" s="96" t="n">
        <v>3</v>
      </c>
      <c r="K19" s="96" t="n">
        <v>1</v>
      </c>
      <c r="L19" s="96" t="n">
        <v>1</v>
      </c>
      <c r="M19" s="107">
        <f>MIN(1, LN(1+MAX(J19, CANON!$B$27)) / LN(1+CANON!$B$25))</f>
        <v/>
      </c>
      <c r="N19" s="143">
        <f>F19*G19*H19*I19*K19*L19*M19</f>
        <v/>
      </c>
      <c r="O19" s="143" t="inlineStr">
        <is>
          <t>DECLARED_INSTANCE_SHARE</t>
        </is>
      </c>
      <c r="P19" s="143" t="inlineStr">
        <is>
          <t>Context-specific affected group or exposure denominator</t>
        </is>
      </c>
      <c r="Q19" s="143" t="inlineStr">
        <is>
          <t>Tier-2 analyst estimate</t>
        </is>
      </c>
      <c r="R19" s="143" t="inlineStr">
        <is>
          <t>DEFAULT_1.00</t>
        </is>
      </c>
      <c r="S19" s="143" t="n">
        <v>1</v>
      </c>
      <c r="T19" s="143" t="inlineStr">
        <is>
          <t>Worked-run analyst estimate; see PCC Section 17 for provenance and materiality rules.</t>
        </is>
      </c>
      <c r="U19" s="104">
        <f>F19*G19*H19*I19*K19*1*M19</f>
        <v/>
      </c>
      <c r="V19" s="104">
        <f>F19*G19*H19*I19*K19*L19*M19</f>
        <v/>
      </c>
      <c r="W19" s="104" t="inlineStr">
        <is>
          <t>Current human-only worked run: Base = Welfare because s_k = 1.0 for all logged instances.</t>
        </is>
      </c>
    </row>
    <row r="20" ht="14.25" customHeight="1" s="97">
      <c r="A20" s="96" t="inlineStr">
        <is>
          <t>I14</t>
        </is>
      </c>
      <c r="B20" s="96" t="inlineStr">
        <is>
          <t>B</t>
        </is>
      </c>
      <c r="C20" s="96" t="inlineStr">
        <is>
          <t>U3</t>
        </is>
      </c>
      <c r="D20" s="96" t="inlineStr">
        <is>
          <t>D1</t>
        </is>
      </c>
      <c r="E20" s="96" t="inlineStr">
        <is>
          <t>Maintained local business</t>
        </is>
      </c>
      <c r="F20" s="96" t="n">
        <v>0.1</v>
      </c>
      <c r="G20" s="96" t="n">
        <v>0.6</v>
      </c>
      <c r="H20" s="96" t="n">
        <v>0.5</v>
      </c>
      <c r="I20" s="96" t="n">
        <v>0.4</v>
      </c>
      <c r="J20" s="96" t="n">
        <v>5</v>
      </c>
      <c r="K20" s="96" t="n">
        <v>1</v>
      </c>
      <c r="L20" s="96" t="n">
        <v>1</v>
      </c>
      <c r="M20" s="107">
        <f>MIN(1, LN(1+MAX(J20, CANON!$B$27)) / LN(1+CANON!$B$25))</f>
        <v/>
      </c>
      <c r="N20" s="143">
        <f>F20*G20*H20*I20*K20*L20*M20</f>
        <v/>
      </c>
      <c r="O20" s="143" t="inlineStr">
        <is>
          <t>DECLARED_INSTANCE_SHARE</t>
        </is>
      </c>
      <c r="P20" s="143" t="inlineStr">
        <is>
          <t>Context-specific affected group or exposure denominator</t>
        </is>
      </c>
      <c r="Q20" s="143" t="inlineStr">
        <is>
          <t>Tier-2 analyst estimate</t>
        </is>
      </c>
      <c r="R20" s="143" t="inlineStr">
        <is>
          <t>DEFAULT_1.00</t>
        </is>
      </c>
      <c r="S20" s="143" t="n">
        <v>1</v>
      </c>
      <c r="T20" s="143" t="inlineStr">
        <is>
          <t>Worked-run analyst estimate; see PCC Section 17 for provenance and materiality rules.</t>
        </is>
      </c>
      <c r="U20" s="104">
        <f>F20*G20*H20*I20*K20*1*M20</f>
        <v/>
      </c>
      <c r="V20" s="104">
        <f>F20*G20*H20*I20*K20*L20*M20</f>
        <v/>
      </c>
      <c r="W20" s="104" t="inlineStr">
        <is>
          <t>Current human-only worked run: Base = Welfare because s_k = 1.0 for all logged instances.</t>
        </is>
      </c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N31"/>
  <sheetViews>
    <sheetView showGridLines="1" workbookViewId="0">
      <selection activeCell="A1" sqref="A1"/>
    </sheetView>
  </sheetViews>
  <sheetFormatPr baseColWidth="8" defaultColWidth="8.66796875" defaultRowHeight="12.75"/>
  <cols>
    <col width="18" customWidth="1" style="104" min="10" max="10"/>
    <col width="40" customWidth="1" style="104" min="11" max="11"/>
    <col width="22" customWidth="1" style="104" min="13" max="13"/>
    <col width="42" customWidth="1" style="104" min="14" max="14"/>
  </cols>
  <sheetData>
    <row r="1" ht="14.25" customHeight="1" s="97">
      <c r="A1" s="124" t="inlineStr">
        <is>
          <t>SCENARIO-CONDITIONED IMPACT TABLES</t>
        </is>
      </c>
    </row>
    <row r="2" ht="13.5" customHeight="1" s="97"/>
    <row r="3" ht="14.25" customHeight="1" s="97">
      <c r="A3" s="96" t="inlineStr">
        <is>
          <t>Reference: RippleLogic v9.6.4 Section 8.4</t>
        </is>
      </c>
      <c r="M3" s="104" t="inlineStr">
        <is>
          <t>SCENARIO PRIOR VALIDATION</t>
        </is>
      </c>
    </row>
    <row r="4" ht="14.25" customHeight="1" s="97">
      <c r="A4" s="96" t="inlineStr">
        <is>
          <t>L(a,s) = Σ_{c∈C_cat} ω_c × max(0, −I_prop_c(a|s))</t>
        </is>
      </c>
      <c r="M4" s="104" t="inlineStr">
        <is>
          <t>A_PRIOR_SUM</t>
        </is>
      </c>
      <c r="N4" s="104">
        <f>SUM(C10:C16)</f>
        <v/>
      </c>
    </row>
    <row r="5" ht="14.25" customHeight="1" s="97">
      <c r="A5" s="96" t="inlineStr">
        <is>
          <t>NOTE: Loss is computed from catastrophe-cell impacts. Do NOT manually enter Loss. Fill catastrophe-cell impacts (F:H) per scenario; Loss (computed) updates automatically.</t>
        </is>
      </c>
      <c r="J5" s="104" t="inlineStr">
        <is>
          <t>v9.x+1 hardening: scenario-probability provenance fields added for audit replay.</t>
        </is>
      </c>
      <c r="M5" s="104" t="inlineStr">
        <is>
          <t>A_PRIOR_STATUS</t>
        </is>
      </c>
      <c r="N5" s="104">
        <f>IF(ABS(N4-1)&lt;=0.000001,"PASS","FAIL")</f>
        <v/>
      </c>
    </row>
    <row r="6" ht="14.25" customHeight="1" s="97">
      <c r="A6" s="106" t="inlineStr">
        <is>
          <t>C_cat: U6-D2(0.35), U6-D7(0.30), U7-D7(0.35)</t>
        </is>
      </c>
      <c r="M6" s="104" t="inlineStr">
        <is>
          <t>B_PRIOR_SUM</t>
        </is>
      </c>
      <c r="N6" s="104">
        <f>SUM(C21:C27)</f>
        <v/>
      </c>
    </row>
    <row r="7" ht="13.5" customHeight="1" s="97">
      <c r="M7" s="104" t="inlineStr">
        <is>
          <t>B_PRIOR_STATUS</t>
        </is>
      </c>
      <c r="N7" s="104">
        <f>IF(ABS(N6-1)&lt;=0.000001,"PASS","FAIL")</f>
        <v/>
      </c>
    </row>
    <row r="8" ht="14.25" customHeight="1" s="97">
      <c r="A8" s="106" t="inlineStr">
        <is>
          <t>OPTION A SCENARIO LOSSES</t>
        </is>
      </c>
      <c r="M8" s="104" t="inlineStr">
        <is>
          <t>Fallback rule</t>
        </is>
      </c>
      <c r="N8" s="104" t="inlineStr">
        <is>
          <t>Remaining mass may be assigned to BASELINE only if explicitly declared in V; otherwise non-normalized priors are non-conformant.</t>
        </is>
      </c>
    </row>
    <row r="9" ht="14.25" customHeight="1" s="97">
      <c r="A9" s="106" t="inlineStr">
        <is>
          <t>Scenario</t>
        </is>
      </c>
      <c r="B9" s="106" t="inlineStr">
        <is>
          <t>Category</t>
        </is>
      </c>
      <c r="C9" s="106" t="inlineStr">
        <is>
          <t>p(s)</t>
        </is>
      </c>
      <c r="D9" s="106" t="inlineStr">
        <is>
          <t>Loss</t>
        </is>
      </c>
      <c r="E9" s="106" t="inlineStr">
        <is>
          <t>Pathway</t>
        </is>
      </c>
      <c r="F9" s="96" t="inlineStr">
        <is>
          <t>U6-D2 I_prop</t>
        </is>
      </c>
      <c r="G9" s="96" t="inlineStr">
        <is>
          <t>U6-D7 I_prop</t>
        </is>
      </c>
      <c r="H9" s="96" t="inlineStr">
        <is>
          <t>U7-D7 I_prop</t>
        </is>
      </c>
      <c r="I9" s="96" t="inlineStr">
        <is>
          <t>Loss (computed)</t>
        </is>
      </c>
      <c r="J9" s="96" t="inlineStr">
        <is>
          <t>p_s_ReasonCode</t>
        </is>
      </c>
      <c r="K9" s="96" t="inlineStr">
        <is>
          <t>p_s_SourceNote</t>
        </is>
      </c>
    </row>
    <row r="10" ht="14.25" customHeight="1" s="97">
      <c r="A10" s="96" t="inlineStr">
        <is>
          <t>S01</t>
        </is>
      </c>
      <c r="B10" s="96" t="inlineStr">
        <is>
          <t>BASELINE</t>
        </is>
      </c>
      <c r="C10" s="96" t="n">
        <v>0.6</v>
      </c>
      <c r="D10" s="107">
        <f>I10</f>
        <v/>
      </c>
      <c r="E10" s="96" t="inlineStr">
        <is>
          <t>Minor monitoring reduction</t>
        </is>
      </c>
      <c r="F10" s="107" t="n">
        <v>0</v>
      </c>
      <c r="G10" s="107" t="n">
        <v>0</v>
      </c>
      <c r="H10" s="107" t="n">
        <v>0.015317</v>
      </c>
      <c r="I10" s="107">
        <f>0.35*MAX(0,-F10)+0.3*MAX(0,-G10)+0.35*MAX(0,-H10)</f>
        <v/>
      </c>
      <c r="J10" s="107" t="inlineStr">
        <is>
          <t>DECLARED_PRIOR</t>
        </is>
      </c>
      <c r="K10" s="107" t="inlineStr">
        <is>
          <t>Worked-run structured scenario prior; see PCC Section 17.</t>
        </is>
      </c>
    </row>
    <row r="11" ht="14.25" customHeight="1" s="97">
      <c r="A11" s="96" t="inlineStr">
        <is>
          <t>S02</t>
        </is>
      </c>
      <c r="B11" s="96" t="inlineStr">
        <is>
          <t>WTSL-FIN</t>
        </is>
      </c>
      <c r="C11" s="96" t="n">
        <v>0.15</v>
      </c>
      <c r="D11" s="107">
        <f>I11</f>
        <v/>
      </c>
      <c r="E11" s="96" t="inlineStr">
        <is>
          <t>Budget cuts reduce compliance</t>
        </is>
      </c>
      <c r="F11" s="96" t="n">
        <v>-0.02</v>
      </c>
      <c r="G11" s="96" t="n">
        <v>0</v>
      </c>
      <c r="H11" s="96" t="n">
        <v>0.01</v>
      </c>
      <c r="I11" s="107">
        <f>0.35*MAX(0,-F11)+0.3*MAX(0,-G11)+0.35*MAX(0,-H11)</f>
        <v/>
      </c>
      <c r="J11" s="96" t="inlineStr">
        <is>
          <t>DECLARED_PRIOR</t>
        </is>
      </c>
      <c r="K11" s="96" t="inlineStr">
        <is>
          <t>Worked-run structured scenario prior; see PCC Section 17.</t>
        </is>
      </c>
    </row>
    <row r="12" ht="14.25" customHeight="1" s="97">
      <c r="A12" s="96" t="inlineStr">
        <is>
          <t>S03</t>
        </is>
      </c>
      <c r="B12" s="96" t="inlineStr">
        <is>
          <t>WTSL-PAN</t>
        </is>
      </c>
      <c r="C12" s="96" t="n">
        <v>0.08</v>
      </c>
      <c r="D12" s="107">
        <f>I12</f>
        <v/>
      </c>
      <c r="E12" s="96" t="inlineStr">
        <is>
          <t>Health crisis, isolation stress</t>
        </is>
      </c>
      <c r="F12" s="96" t="n">
        <v>-0.05</v>
      </c>
      <c r="G12" s="96" t="n">
        <v>0</v>
      </c>
      <c r="H12" s="96" t="n">
        <v>0.02</v>
      </c>
      <c r="I12" s="107">
        <f>0.35*MAX(0,-F12)+0.3*MAX(0,-G12)+0.35*MAX(0,-H12)</f>
        <v/>
      </c>
      <c r="J12" s="96" t="inlineStr">
        <is>
          <t>DECLARED_PRIOR</t>
        </is>
      </c>
      <c r="K12" s="96" t="inlineStr">
        <is>
          <t>Worked-run structured scenario prior; see PCC Section 17.</t>
        </is>
      </c>
    </row>
    <row r="13" ht="14.25" customHeight="1" s="97">
      <c r="A13" s="96" t="inlineStr">
        <is>
          <t>S04</t>
        </is>
      </c>
      <c r="B13" s="96" t="inlineStr">
        <is>
          <t>WTSL-CLI</t>
        </is>
      </c>
      <c r="C13" s="96" t="n">
        <v>0.07000000000000001</v>
      </c>
      <c r="D13" s="107">
        <f>I13</f>
        <v/>
      </c>
      <c r="E13" s="96" t="inlineStr">
        <is>
          <t>Climate degrades biosphere</t>
        </is>
      </c>
      <c r="F13" s="96" t="n">
        <v>-0.01</v>
      </c>
      <c r="G13" s="96" t="n">
        <v>-0.03</v>
      </c>
      <c r="H13" s="96" t="n">
        <v>-0.02</v>
      </c>
      <c r="I13" s="107">
        <f>0.35*MAX(0,-F13)+0.3*MAX(0,-G13)+0.35*MAX(0,-H13)</f>
        <v/>
      </c>
      <c r="J13" s="96" t="inlineStr">
        <is>
          <t>DECLARED_PRIOR</t>
        </is>
      </c>
      <c r="K13" s="96" t="inlineStr">
        <is>
          <t>Worked-run structured scenario prior; see PCC Section 17.</t>
        </is>
      </c>
    </row>
    <row r="14" ht="14.25" customHeight="1" s="97">
      <c r="A14" s="96" t="inlineStr">
        <is>
          <t>S05</t>
        </is>
      </c>
      <c r="B14" s="96" t="inlineStr">
        <is>
          <t>WTSL-INF</t>
        </is>
      </c>
      <c r="C14" s="96" t="n">
        <v>0.05</v>
      </c>
      <c r="D14" s="107">
        <f>I14</f>
        <v/>
      </c>
      <c r="E14" s="96" t="inlineStr">
        <is>
          <t>Tech dependency vulnerability</t>
        </is>
      </c>
      <c r="F14" s="96" t="n">
        <v>-0.03</v>
      </c>
      <c r="G14" s="96" t="n">
        <v>-0.01</v>
      </c>
      <c r="H14" s="96" t="n">
        <v>0.01</v>
      </c>
      <c r="I14" s="107">
        <f>0.35*MAX(0,-F14)+0.3*MAX(0,-G14)+0.35*MAX(0,-H14)</f>
        <v/>
      </c>
      <c r="J14" s="96" t="inlineStr">
        <is>
          <t>DECLARED_PRIOR</t>
        </is>
      </c>
      <c r="K14" s="96" t="inlineStr">
        <is>
          <t>Worked-run structured scenario prior; see PCC Section 17.</t>
        </is>
      </c>
    </row>
    <row r="15" ht="14.25" customHeight="1" s="97">
      <c r="A15" s="96" t="inlineStr">
        <is>
          <t>S06</t>
        </is>
      </c>
      <c r="B15" s="96" t="inlineStr">
        <is>
          <t>WTSL-CON</t>
        </is>
      </c>
      <c r="C15" s="96" t="n">
        <v>0.03</v>
      </c>
      <c r="D15" s="107">
        <f>I15</f>
        <v/>
      </c>
      <c r="E15" s="96" t="inlineStr">
        <is>
          <t>Conflict casualties</t>
        </is>
      </c>
      <c r="F15" s="96" t="n">
        <v>-0.04</v>
      </c>
      <c r="G15" s="96" t="n">
        <v>-0.02</v>
      </c>
      <c r="H15" s="96" t="n">
        <v>-0.01</v>
      </c>
      <c r="I15" s="107">
        <f>0.35*MAX(0,-F15)+0.3*MAX(0,-G15)+0.35*MAX(0,-H15)</f>
        <v/>
      </c>
      <c r="J15" s="96" t="inlineStr">
        <is>
          <t>DECLARED_PRIOR</t>
        </is>
      </c>
      <c r="K15" s="96" t="inlineStr">
        <is>
          <t>Worked-run structured scenario prior; see PCC Section 17.</t>
        </is>
      </c>
    </row>
    <row r="16" ht="14.25" customHeight="1" s="97">
      <c r="A16" s="96" t="inlineStr">
        <is>
          <t>S07</t>
        </is>
      </c>
      <c r="B16" s="96" t="inlineStr">
        <is>
          <t>WTSL-AIX</t>
        </is>
      </c>
      <c r="C16" s="96" t="n">
        <v>0.02</v>
      </c>
      <c r="D16" s="107">
        <f>I16</f>
        <v/>
      </c>
      <c r="E16" s="96" t="inlineStr">
        <is>
          <t>AI failures cascade</t>
        </is>
      </c>
      <c r="F16" s="96" t="n">
        <v>-0.02</v>
      </c>
      <c r="G16" s="96" t="n">
        <v>-0.01</v>
      </c>
      <c r="H16" s="96" t="n">
        <v>0</v>
      </c>
      <c r="I16" s="107">
        <f>0.35*MAX(0,-F16)+0.3*MAX(0,-G16)+0.35*MAX(0,-H16)</f>
        <v/>
      </c>
      <c r="J16" s="96" t="inlineStr">
        <is>
          <t>DECLARED_PRIOR</t>
        </is>
      </c>
      <c r="K16" s="96" t="inlineStr">
        <is>
          <t>Worked-run structured scenario prior; see PCC Section 17.</t>
        </is>
      </c>
    </row>
    <row r="17" ht="13.5" customHeight="1" s="97"/>
    <row r="18" ht="13.5" customHeight="1" s="97"/>
    <row r="19" ht="14.25" customHeight="1" s="97">
      <c r="A19" s="106" t="inlineStr">
        <is>
          <t>OPTION B SCENARIO LOSSES</t>
        </is>
      </c>
    </row>
    <row r="20" ht="14.25" customHeight="1" s="97">
      <c r="A20" s="106" t="inlineStr">
        <is>
          <t>Scenario</t>
        </is>
      </c>
      <c r="B20" s="106" t="inlineStr">
        <is>
          <t>Category</t>
        </is>
      </c>
      <c r="C20" s="106" t="inlineStr">
        <is>
          <t>p(s)</t>
        </is>
      </c>
      <c r="D20" s="106" t="inlineStr">
        <is>
          <t>Loss</t>
        </is>
      </c>
      <c r="E20" s="106" t="inlineStr">
        <is>
          <t>Pathway</t>
        </is>
      </c>
      <c r="F20" s="96" t="inlineStr">
        <is>
          <t>U6-D2 I_prop</t>
        </is>
      </c>
      <c r="G20" s="96" t="inlineStr">
        <is>
          <t>U6-D7 I_prop</t>
        </is>
      </c>
      <c r="H20" s="96" t="inlineStr">
        <is>
          <t>U7-D7 I_prop</t>
        </is>
      </c>
      <c r="I20" s="96" t="inlineStr">
        <is>
          <t>Loss (computed)</t>
        </is>
      </c>
      <c r="J20" s="96" t="inlineStr">
        <is>
          <t>p_s_ReasonCode</t>
        </is>
      </c>
      <c r="K20" s="96" t="inlineStr">
        <is>
          <t>p_s_SourceNote</t>
        </is>
      </c>
    </row>
    <row r="21" ht="14.25" customHeight="1" s="97">
      <c r="A21" s="96" t="inlineStr">
        <is>
          <t>S01</t>
        </is>
      </c>
      <c r="B21" s="96" t="inlineStr">
        <is>
          <t>BASELINE</t>
        </is>
      </c>
      <c r="C21" s="96" t="n">
        <v>0.6</v>
      </c>
      <c r="D21" s="107">
        <f>I21</f>
        <v/>
      </c>
      <c r="E21" s="96" t="inlineStr">
        <is>
          <t>Emissions continue</t>
        </is>
      </c>
      <c r="F21" s="107" t="n">
        <v>0</v>
      </c>
      <c r="G21" s="107" t="n">
        <v>0</v>
      </c>
      <c r="H21" s="107" t="n">
        <v>-0.010211</v>
      </c>
      <c r="I21" s="107">
        <f>0.35*MAX(0,-F21)+0.3*MAX(0,-G21)+0.35*MAX(0,-H21)</f>
        <v/>
      </c>
      <c r="J21" s="107" t="inlineStr">
        <is>
          <t>DECLARED_PRIOR</t>
        </is>
      </c>
      <c r="K21" s="107" t="inlineStr">
        <is>
          <t>Worked-run structured scenario prior; see PCC Section 17.</t>
        </is>
      </c>
    </row>
    <row r="22" ht="14.25" customHeight="1" s="97">
      <c r="A22" s="96" t="inlineStr">
        <is>
          <t>S02</t>
        </is>
      </c>
      <c r="B22" s="96" t="inlineStr">
        <is>
          <t>WTSL-FIN</t>
        </is>
      </c>
      <c r="C22" s="96" t="n">
        <v>0.15</v>
      </c>
      <c r="D22" s="107">
        <f>I22</f>
        <v/>
      </c>
      <c r="E22" s="96" t="inlineStr">
        <is>
          <t>Community bonds buffer</t>
        </is>
      </c>
      <c r="F22" s="96" t="n">
        <v>-0.015</v>
      </c>
      <c r="G22" s="96" t="n">
        <v>0</v>
      </c>
      <c r="H22" s="96" t="n">
        <v>-0.015</v>
      </c>
      <c r="I22" s="107">
        <f>0.35*MAX(0,-F22)+0.3*MAX(0,-G22)+0.35*MAX(0,-H22)</f>
        <v/>
      </c>
      <c r="J22" s="96" t="inlineStr">
        <is>
          <t>DECLARED_PRIOR</t>
        </is>
      </c>
      <c r="K22" s="96" t="inlineStr">
        <is>
          <t>Worked-run structured scenario prior; see PCC Section 17.</t>
        </is>
      </c>
    </row>
    <row r="23" ht="14.25" customHeight="1" s="97">
      <c r="A23" s="96" t="inlineStr">
        <is>
          <t>S03</t>
        </is>
      </c>
      <c r="B23" s="96" t="inlineStr">
        <is>
          <t>WTSL-PAN</t>
        </is>
      </c>
      <c r="C23" s="96" t="n">
        <v>0.08</v>
      </c>
      <c r="D23" s="107">
        <f>I23</f>
        <v/>
      </c>
      <c r="E23" s="96" t="inlineStr">
        <is>
          <t>Transmission risk</t>
        </is>
      </c>
      <c r="F23" s="96" t="n">
        <v>-0.08</v>
      </c>
      <c r="G23" s="96" t="n">
        <v>0</v>
      </c>
      <c r="H23" s="96" t="n">
        <v>-0.01</v>
      </c>
      <c r="I23" s="107">
        <f>0.35*MAX(0,-F23)+0.3*MAX(0,-G23)+0.35*MAX(0,-H23)</f>
        <v/>
      </c>
      <c r="J23" s="96" t="inlineStr">
        <is>
          <t>DECLARED_PRIOR</t>
        </is>
      </c>
      <c r="K23" s="96" t="inlineStr">
        <is>
          <t>Worked-run structured scenario prior; see PCC Section 17.</t>
        </is>
      </c>
    </row>
    <row r="24" ht="14.25" customHeight="1" s="97">
      <c r="A24" s="96" t="inlineStr">
        <is>
          <t>S04</t>
        </is>
      </c>
      <c r="B24" s="96" t="inlineStr">
        <is>
          <t>WTSL-CLI</t>
        </is>
      </c>
      <c r="C24" s="96" t="n">
        <v>0.07000000000000001</v>
      </c>
      <c r="D24" s="107">
        <f>I24</f>
        <v/>
      </c>
      <c r="E24" s="96" t="inlineStr">
        <is>
          <t>Resilience buffers</t>
        </is>
      </c>
      <c r="F24" s="96" t="n">
        <v>-0.01</v>
      </c>
      <c r="G24" s="96" t="n">
        <v>-0.02</v>
      </c>
      <c r="H24" s="96" t="n">
        <v>-0.04</v>
      </c>
      <c r="I24" s="107">
        <f>0.35*MAX(0,-F24)+0.3*MAX(0,-G24)+0.35*MAX(0,-H24)</f>
        <v/>
      </c>
      <c r="J24" s="96" t="inlineStr">
        <is>
          <t>DECLARED_PRIOR</t>
        </is>
      </c>
      <c r="K24" s="96" t="inlineStr">
        <is>
          <t>Worked-run structured scenario prior; see PCC Section 17.</t>
        </is>
      </c>
    </row>
    <row r="25" ht="14.25" customHeight="1" s="97">
      <c r="A25" s="96" t="inlineStr">
        <is>
          <t>S05</t>
        </is>
      </c>
      <c r="B25" s="96" t="inlineStr">
        <is>
          <t>WTSL-INF</t>
        </is>
      </c>
      <c r="C25" s="96" t="n">
        <v>0.05</v>
      </c>
      <c r="D25" s="107">
        <f>I25</f>
        <v/>
      </c>
      <c r="E25" s="96" t="inlineStr">
        <is>
          <t>Less tech-dependent</t>
        </is>
      </c>
      <c r="F25" s="96" t="n">
        <v>-0.02</v>
      </c>
      <c r="G25" s="96" t="n">
        <v>-0.01</v>
      </c>
      <c r="H25" s="96" t="n">
        <v>-0.01</v>
      </c>
      <c r="I25" s="107">
        <f>0.35*MAX(0,-F25)+0.3*MAX(0,-G25)+0.35*MAX(0,-H25)</f>
        <v/>
      </c>
      <c r="J25" s="96" t="inlineStr">
        <is>
          <t>DECLARED_PRIOR</t>
        </is>
      </c>
      <c r="K25" s="96" t="inlineStr">
        <is>
          <t>Worked-run structured scenario prior; see PCC Section 17.</t>
        </is>
      </c>
    </row>
    <row r="26" ht="14.25" customHeight="1" s="97">
      <c r="A26" s="96" t="inlineStr">
        <is>
          <t>S06</t>
        </is>
      </c>
      <c r="B26" s="96" t="inlineStr">
        <is>
          <t>WTSL-CON</t>
        </is>
      </c>
      <c r="C26" s="96" t="n">
        <v>0.03</v>
      </c>
      <c r="D26" s="107">
        <f>I26</f>
        <v/>
      </c>
      <c r="E26" s="96" t="inlineStr">
        <is>
          <t>Human coord persists</t>
        </is>
      </c>
      <c r="F26" s="96" t="n">
        <v>-0.03</v>
      </c>
      <c r="G26" s="96" t="n">
        <v>-0.02</v>
      </c>
      <c r="H26" s="96" t="n">
        <v>-0.015</v>
      </c>
      <c r="I26" s="107">
        <f>0.35*MAX(0,-F26)+0.3*MAX(0,-G26)+0.35*MAX(0,-H26)</f>
        <v/>
      </c>
      <c r="J26" s="96" t="inlineStr">
        <is>
          <t>DECLARED_PRIOR</t>
        </is>
      </c>
      <c r="K26" s="96" t="inlineStr">
        <is>
          <t>Worked-run structured scenario prior; see PCC Section 17.</t>
        </is>
      </c>
    </row>
    <row r="27" ht="14.25" customHeight="1" s="97">
      <c r="A27" s="96" t="inlineStr">
        <is>
          <t>S07</t>
        </is>
      </c>
      <c r="B27" s="96" t="inlineStr">
        <is>
          <t>WTSL-AIX</t>
        </is>
      </c>
      <c r="C27" s="96" t="n">
        <v>0.02</v>
      </c>
      <c r="D27" s="107">
        <f>I27</f>
        <v/>
      </c>
      <c r="E27" s="96" t="inlineStr">
        <is>
          <t>Less AI dependency</t>
        </is>
      </c>
      <c r="F27" s="96" t="n">
        <v>-0.01</v>
      </c>
      <c r="G27" s="96" t="n">
        <v>0</v>
      </c>
      <c r="H27" s="96" t="n">
        <v>-0.01</v>
      </c>
      <c r="I27" s="107">
        <f>0.35*MAX(0,-F27)+0.3*MAX(0,-G27)+0.35*MAX(0,-H27)</f>
        <v/>
      </c>
      <c r="J27" s="96" t="inlineStr">
        <is>
          <t>DECLARED_PRIOR</t>
        </is>
      </c>
      <c r="K27" s="96" t="inlineStr">
        <is>
          <t>Worked-run structured scenario prior; see PCC Section 17.</t>
        </is>
      </c>
    </row>
    <row r="28" ht="13.5" customHeight="1" s="97"/>
    <row r="29" ht="14.25" customHeight="1" s="97">
      <c r="A29" s="96" t="inlineStr">
        <is>
          <t>KEY INSIGHT: Option A has 0 catastrophic loss; Option B has minor loss (0.003574) in baseline</t>
        </is>
      </c>
    </row>
    <row r="30" ht="14.25" customHeight="1" s="97">
      <c r="A30" s="106" t="inlineStr">
        <is>
          <t>Both options pass TRC (CVaR ≤ τ_TRC = 0.20)</t>
        </is>
      </c>
    </row>
    <row r="31" ht="14.25" customHeight="1" s="97">
      <c r="A31" s="96" t="inlineStr">
        <is>
          <t>NOTE: WTSL-AIX (S07) included voluntarily as precautionary measure.</t>
        </is>
      </c>
      <c r="B31" s="96" t="inlineStr">
        <is>
          <t>AI_DEPLOYMENT=NO, so not mandatory for tail coverage.</t>
        </is>
      </c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24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IMPACT PROPAGATION MATRIX (I_prop)</t>
        </is>
      </c>
    </row>
    <row r="2" ht="13.5" customHeight="1" s="97"/>
    <row r="3" ht="14.25" customHeight="1" s="97">
      <c r="A3" s="96" t="inlineStr">
        <is>
          <t>Mode: NONE (direct aggregation from Impact_Input; post-saturation tanh(β×Ĩ_dir))</t>
        </is>
      </c>
    </row>
    <row r="4" ht="13.5" customHeight="1" s="97"/>
    <row r="5" ht="14.25" customHeight="1" s="97">
      <c r="A5" s="106" t="inlineStr">
        <is>
          <t>OPTION A</t>
        </is>
      </c>
    </row>
    <row r="6" ht="14.25" customHeight="1" s="97">
      <c r="B6" s="106" t="inlineStr">
        <is>
          <t>D1</t>
        </is>
      </c>
      <c r="C6" s="106" t="inlineStr">
        <is>
          <t>D2</t>
        </is>
      </c>
      <c r="D6" s="106" t="inlineStr">
        <is>
          <t>D3</t>
        </is>
      </c>
      <c r="E6" s="106" t="inlineStr">
        <is>
          <t>D4</t>
        </is>
      </c>
      <c r="F6" s="106" t="inlineStr">
        <is>
          <t>D5</t>
        </is>
      </c>
      <c r="G6" s="106" t="inlineStr">
        <is>
          <t>D6</t>
        </is>
      </c>
      <c r="H6" s="106" t="inlineStr">
        <is>
          <t>D7</t>
        </is>
      </c>
    </row>
    <row r="7" ht="14.25" customHeight="1" s="97">
      <c r="A7" s="106" t="inlineStr">
        <is>
          <t>U1</t>
        </is>
      </c>
      <c r="B7" s="107">
        <f>TANH(Parameters!$B$24*SUMIFS(Impact_Input!$N:$N,Impact_Input!$B:$B,"A",Impact_Input!$C:$C,$A7,Impact_Input!$D:$D,B$6))</f>
        <v/>
      </c>
      <c r="C7" s="107">
        <f>TANH(Parameters!$B$24*SUMIFS(Impact_Input!$N:$N,Impact_Input!$B:$B,"A",Impact_Input!$C:$C,$A7,Impact_Input!$D:$D,C$6))</f>
        <v/>
      </c>
      <c r="D7" s="107">
        <f>TANH(Parameters!$B$24*SUMIFS(Impact_Input!$N:$N,Impact_Input!$B:$B,"A",Impact_Input!$C:$C,$A7,Impact_Input!$D:$D,D$6))</f>
        <v/>
      </c>
      <c r="E7" s="107">
        <f>TANH(Parameters!$B$24*SUMIFS(Impact_Input!$N:$N,Impact_Input!$B:$B,"A",Impact_Input!$C:$C,$A7,Impact_Input!$D:$D,E$6))</f>
        <v/>
      </c>
      <c r="F7" s="144">
        <f>TANH(Parameters!$B$24*SUMIFS(Impact_Input!$N:$N,Impact_Input!$B:$B,"A",Impact_Input!$C:$C,$A7,Impact_Input!$D:$D,F$6))</f>
        <v/>
      </c>
      <c r="G7" s="144">
        <f>TANH(Parameters!$B$24*SUMIFS(Impact_Input!$N:$N,Impact_Input!$B:$B,"A",Impact_Input!$C:$C,$A7,Impact_Input!$D:$D,G$6))</f>
        <v/>
      </c>
      <c r="H7" s="107">
        <f>TANH(Parameters!$B$24*SUMIFS(Impact_Input!$N:$N,Impact_Input!$B:$B,"A",Impact_Input!$C:$C,$A7,Impact_Input!$D:$D,H$6))</f>
        <v/>
      </c>
    </row>
    <row r="8" ht="14.25" customHeight="1" s="97">
      <c r="A8" s="106" t="inlineStr">
        <is>
          <t>U2</t>
        </is>
      </c>
      <c r="B8" s="144">
        <f>TANH(Parameters!$B$24*SUMIFS(Impact_Input!$N:$N,Impact_Input!$B:$B,"A",Impact_Input!$C:$C,$A8,Impact_Input!$D:$D,B$6))</f>
        <v/>
      </c>
      <c r="C8" s="107">
        <f>TANH(Parameters!$B$24*SUMIFS(Impact_Input!$N:$N,Impact_Input!$B:$B,"A",Impact_Input!$C:$C,$A8,Impact_Input!$D:$D,C$6))</f>
        <v/>
      </c>
      <c r="D8" s="107">
        <f>TANH(Parameters!$B$24*SUMIFS(Impact_Input!$N:$N,Impact_Input!$B:$B,"A",Impact_Input!$C:$C,$A8,Impact_Input!$D:$D,D$6))</f>
        <v/>
      </c>
      <c r="E8" s="107">
        <f>TANH(Parameters!$B$24*SUMIFS(Impact_Input!$N:$N,Impact_Input!$B:$B,"A",Impact_Input!$C:$C,$A8,Impact_Input!$D:$D,E$6))</f>
        <v/>
      </c>
      <c r="F8" s="107">
        <f>TANH(Parameters!$B$24*SUMIFS(Impact_Input!$N:$N,Impact_Input!$B:$B,"A",Impact_Input!$C:$C,$A8,Impact_Input!$D:$D,F$6))</f>
        <v/>
      </c>
      <c r="G8" s="107">
        <f>TANH(Parameters!$B$24*SUMIFS(Impact_Input!$N:$N,Impact_Input!$B:$B,"A",Impact_Input!$C:$C,$A8,Impact_Input!$D:$D,G$6))</f>
        <v/>
      </c>
      <c r="H8" s="107">
        <f>TANH(Parameters!$B$24*SUMIFS(Impact_Input!$N:$N,Impact_Input!$B:$B,"A",Impact_Input!$C:$C,$A8,Impact_Input!$D:$D,H$6))</f>
        <v/>
      </c>
    </row>
    <row r="9" ht="14.25" customHeight="1" s="97">
      <c r="A9" s="106" t="inlineStr">
        <is>
          <t>U3</t>
        </is>
      </c>
      <c r="B9" s="145">
        <f>TANH(Parameters!$B$24*SUMIFS(Impact_Input!$N:$N,Impact_Input!$B:$B,"A",Impact_Input!$C:$C,$A9,Impact_Input!$D:$D,B$6))</f>
        <v/>
      </c>
      <c r="C9" s="107">
        <f>TANH(Parameters!$B$24*SUMIFS(Impact_Input!$N:$N,Impact_Input!$B:$B,"A",Impact_Input!$C:$C,$A9,Impact_Input!$D:$D,C$6))</f>
        <v/>
      </c>
      <c r="D9" s="145">
        <f>TANH(Parameters!$B$24*SUMIFS(Impact_Input!$N:$N,Impact_Input!$B:$B,"A",Impact_Input!$C:$C,$A9,Impact_Input!$D:$D,D$6))</f>
        <v/>
      </c>
      <c r="E9" s="107">
        <f>TANH(Parameters!$B$24*SUMIFS(Impact_Input!$N:$N,Impact_Input!$B:$B,"A",Impact_Input!$C:$C,$A9,Impact_Input!$D:$D,E$6))</f>
        <v/>
      </c>
      <c r="F9" s="107">
        <f>TANH(Parameters!$B$24*SUMIFS(Impact_Input!$N:$N,Impact_Input!$B:$B,"A",Impact_Input!$C:$C,$A9,Impact_Input!$D:$D,F$6))</f>
        <v/>
      </c>
      <c r="G9" s="107">
        <f>TANH(Parameters!$B$24*SUMIFS(Impact_Input!$N:$N,Impact_Input!$B:$B,"A",Impact_Input!$C:$C,$A9,Impact_Input!$D:$D,G$6))</f>
        <v/>
      </c>
      <c r="H9" s="107">
        <f>TANH(Parameters!$B$24*SUMIFS(Impact_Input!$N:$N,Impact_Input!$B:$B,"A",Impact_Input!$C:$C,$A9,Impact_Input!$D:$D,H$6))</f>
        <v/>
      </c>
    </row>
    <row r="10" ht="14.25" customHeight="1" s="97">
      <c r="A10" s="106" t="inlineStr">
        <is>
          <t>U4</t>
        </is>
      </c>
      <c r="B10" s="145">
        <f>TANH(Parameters!$B$24*SUMIFS(Impact_Input!$N:$N,Impact_Input!$B:$B,"A",Impact_Input!$C:$C,$A10,Impact_Input!$D:$D,B$6))</f>
        <v/>
      </c>
      <c r="C10" s="107">
        <f>TANH(Parameters!$B$24*SUMIFS(Impact_Input!$N:$N,Impact_Input!$B:$B,"A",Impact_Input!$C:$C,$A10,Impact_Input!$D:$D,C$6))</f>
        <v/>
      </c>
      <c r="D10" s="107">
        <f>TANH(Parameters!$B$24*SUMIFS(Impact_Input!$N:$N,Impact_Input!$B:$B,"A",Impact_Input!$C:$C,$A10,Impact_Input!$D:$D,D$6))</f>
        <v/>
      </c>
      <c r="E10" s="107">
        <f>TANH(Parameters!$B$24*SUMIFS(Impact_Input!$N:$N,Impact_Input!$B:$B,"A",Impact_Input!$C:$C,$A10,Impact_Input!$D:$D,E$6))</f>
        <v/>
      </c>
      <c r="F10" s="107">
        <f>TANH(Parameters!$B$24*SUMIFS(Impact_Input!$N:$N,Impact_Input!$B:$B,"A",Impact_Input!$C:$C,$A10,Impact_Input!$D:$D,F$6))</f>
        <v/>
      </c>
      <c r="G10" s="107">
        <f>TANH(Parameters!$B$24*SUMIFS(Impact_Input!$N:$N,Impact_Input!$B:$B,"A",Impact_Input!$C:$C,$A10,Impact_Input!$D:$D,G$6))</f>
        <v/>
      </c>
      <c r="H10" s="107">
        <f>TANH(Parameters!$B$24*SUMIFS(Impact_Input!$N:$N,Impact_Input!$B:$B,"A",Impact_Input!$C:$C,$A10,Impact_Input!$D:$D,H$6))</f>
        <v/>
      </c>
    </row>
    <row r="11" ht="14.25" customHeight="1" s="97">
      <c r="A11" s="106" t="inlineStr">
        <is>
          <t>U5</t>
        </is>
      </c>
      <c r="B11" s="107">
        <f>TANH(Parameters!$B$24*SUMIFS(Impact_Input!$N:$N,Impact_Input!$B:$B,"A",Impact_Input!$C:$C,$A11,Impact_Input!$D:$D,B$6))</f>
        <v/>
      </c>
      <c r="C11" s="107">
        <f>TANH(Parameters!$B$24*SUMIFS(Impact_Input!$N:$N,Impact_Input!$B:$B,"A",Impact_Input!$C:$C,$A11,Impact_Input!$D:$D,C$6))</f>
        <v/>
      </c>
      <c r="D11" s="107">
        <f>TANH(Parameters!$B$24*SUMIFS(Impact_Input!$N:$N,Impact_Input!$B:$B,"A",Impact_Input!$C:$C,$A11,Impact_Input!$D:$D,D$6))</f>
        <v/>
      </c>
      <c r="E11" s="107">
        <f>TANH(Parameters!$B$24*SUMIFS(Impact_Input!$N:$N,Impact_Input!$B:$B,"A",Impact_Input!$C:$C,$A11,Impact_Input!$D:$D,E$6))</f>
        <v/>
      </c>
      <c r="F11" s="107">
        <f>TANH(Parameters!$B$24*SUMIFS(Impact_Input!$N:$N,Impact_Input!$B:$B,"A",Impact_Input!$C:$C,$A11,Impact_Input!$D:$D,F$6))</f>
        <v/>
      </c>
      <c r="G11" s="107">
        <f>TANH(Parameters!$B$24*SUMIFS(Impact_Input!$N:$N,Impact_Input!$B:$B,"A",Impact_Input!$C:$C,$A11,Impact_Input!$D:$D,G$6))</f>
        <v/>
      </c>
      <c r="H11" s="107">
        <f>TANH(Parameters!$B$24*SUMIFS(Impact_Input!$N:$N,Impact_Input!$B:$B,"A",Impact_Input!$C:$C,$A11,Impact_Input!$D:$D,H$6))</f>
        <v/>
      </c>
    </row>
    <row r="12" ht="14.25" customHeight="1" s="97">
      <c r="A12" s="106" t="inlineStr">
        <is>
          <t>U6</t>
        </is>
      </c>
      <c r="B12" s="107">
        <f>TANH(Parameters!$B$24*SUMIFS(Impact_Input!$N:$N,Impact_Input!$B:$B,"A",Impact_Input!$C:$C,$A12,Impact_Input!$D:$D,B$6))</f>
        <v/>
      </c>
      <c r="C12" s="107">
        <f>TANH(Parameters!$B$24*SUMIFS(Impact_Input!$N:$N,Impact_Input!$B:$B,"A",Impact_Input!$C:$C,$A12,Impact_Input!$D:$D,C$6))</f>
        <v/>
      </c>
      <c r="D12" s="107">
        <f>TANH(Parameters!$B$24*SUMIFS(Impact_Input!$N:$N,Impact_Input!$B:$B,"A",Impact_Input!$C:$C,$A12,Impact_Input!$D:$D,D$6))</f>
        <v/>
      </c>
      <c r="E12" s="107">
        <f>TANH(Parameters!$B$24*SUMIFS(Impact_Input!$N:$N,Impact_Input!$B:$B,"A",Impact_Input!$C:$C,$A12,Impact_Input!$D:$D,E$6))</f>
        <v/>
      </c>
      <c r="F12" s="107">
        <f>TANH(Parameters!$B$24*SUMIFS(Impact_Input!$N:$N,Impact_Input!$B:$B,"A",Impact_Input!$C:$C,$A12,Impact_Input!$D:$D,F$6))</f>
        <v/>
      </c>
      <c r="G12" s="107">
        <f>TANH(Parameters!$B$24*SUMIFS(Impact_Input!$N:$N,Impact_Input!$B:$B,"A",Impact_Input!$C:$C,$A12,Impact_Input!$D:$D,G$6))</f>
        <v/>
      </c>
      <c r="H12" s="107">
        <f>TANH(Parameters!$B$24*SUMIFS(Impact_Input!$N:$N,Impact_Input!$B:$B,"A",Impact_Input!$C:$C,$A12,Impact_Input!$D:$D,H$6))</f>
        <v/>
      </c>
    </row>
    <row r="13" ht="14.25" customHeight="1" s="97">
      <c r="A13" s="106" t="inlineStr">
        <is>
          <t>U7</t>
        </is>
      </c>
      <c r="B13" s="107">
        <f>TANH(Parameters!$B$24*SUMIFS(Impact_Input!$N:$N,Impact_Input!$B:$B,"A",Impact_Input!$C:$C,$A13,Impact_Input!$D:$D,B$6))</f>
        <v/>
      </c>
      <c r="C13" s="107">
        <f>TANH(Parameters!$B$24*SUMIFS(Impact_Input!$N:$N,Impact_Input!$B:$B,"A",Impact_Input!$C:$C,$A13,Impact_Input!$D:$D,C$6))</f>
        <v/>
      </c>
      <c r="D13" s="107">
        <f>TANH(Parameters!$B$24*SUMIFS(Impact_Input!$N:$N,Impact_Input!$B:$B,"A",Impact_Input!$C:$C,$A13,Impact_Input!$D:$D,D$6))</f>
        <v/>
      </c>
      <c r="E13" s="107">
        <f>TANH(Parameters!$B$24*SUMIFS(Impact_Input!$N:$N,Impact_Input!$B:$B,"A",Impact_Input!$C:$C,$A13,Impact_Input!$D:$D,E$6))</f>
        <v/>
      </c>
      <c r="F13" s="107">
        <f>TANH(Parameters!$B$24*SUMIFS(Impact_Input!$N:$N,Impact_Input!$B:$B,"A",Impact_Input!$C:$C,$A13,Impact_Input!$D:$D,F$6))</f>
        <v/>
      </c>
      <c r="G13" s="107">
        <f>TANH(Parameters!$B$24*SUMIFS(Impact_Input!$N:$N,Impact_Input!$B:$B,"A",Impact_Input!$C:$C,$A13,Impact_Input!$D:$D,G$6))</f>
        <v/>
      </c>
      <c r="H13" s="144">
        <f>TANH(Parameters!$B$24*SUMIFS(Impact_Input!$N:$N,Impact_Input!$B:$B,"A",Impact_Input!$C:$C,$A13,Impact_Input!$D:$D,H$6))</f>
        <v/>
      </c>
    </row>
    <row r="14" ht="13.5" customHeight="1" s="97"/>
    <row r="15" ht="13.5" customHeight="1" s="97"/>
    <row r="16" ht="14.25" customHeight="1" s="97">
      <c r="A16" s="106" t="inlineStr">
        <is>
          <t>OPTION B</t>
        </is>
      </c>
    </row>
    <row r="17" ht="14.25" customHeight="1" s="97">
      <c r="B17" s="106" t="inlineStr">
        <is>
          <t>D1</t>
        </is>
      </c>
      <c r="C17" s="106" t="inlineStr">
        <is>
          <t>D2</t>
        </is>
      </c>
      <c r="D17" s="106" t="inlineStr">
        <is>
          <t>D3</t>
        </is>
      </c>
      <c r="E17" s="106" t="inlineStr">
        <is>
          <t>D4</t>
        </is>
      </c>
      <c r="F17" s="106" t="inlineStr">
        <is>
          <t>D5</t>
        </is>
      </c>
      <c r="G17" s="106" t="inlineStr">
        <is>
          <t>D6</t>
        </is>
      </c>
      <c r="H17" s="106" t="inlineStr">
        <is>
          <t>D7</t>
        </is>
      </c>
    </row>
    <row r="18" ht="14.25" customHeight="1" s="97">
      <c r="A18" s="106" t="inlineStr">
        <is>
          <t>U1</t>
        </is>
      </c>
      <c r="B18" s="107">
        <f>TANH(Parameters!$B$24*SUMIFS(Impact_Input!$N:$N,Impact_Input!$B:$B,"B",Impact_Input!$C:$C,$A18,Impact_Input!$D:$D,B$17))</f>
        <v/>
      </c>
      <c r="C18" s="107">
        <f>TANH(Parameters!$B$24*SUMIFS(Impact_Input!$N:$N,Impact_Input!$B:$B,"B",Impact_Input!$C:$C,$A18,Impact_Input!$D:$D,C$17))</f>
        <v/>
      </c>
      <c r="D18" s="107">
        <f>TANH(Parameters!$B$24*SUMIFS(Impact_Input!$N:$N,Impact_Input!$B:$B,"B",Impact_Input!$C:$C,$A18,Impact_Input!$D:$D,D$17))</f>
        <v/>
      </c>
      <c r="E18" s="107">
        <f>TANH(Parameters!$B$24*SUMIFS(Impact_Input!$N:$N,Impact_Input!$B:$B,"B",Impact_Input!$C:$C,$A18,Impact_Input!$D:$D,E$17))</f>
        <v/>
      </c>
      <c r="F18" s="145">
        <f>TANH(Parameters!$B$24*SUMIFS(Impact_Input!$N:$N,Impact_Input!$B:$B,"B",Impact_Input!$C:$C,$A18,Impact_Input!$D:$D,F$17))</f>
        <v/>
      </c>
      <c r="G18" s="107">
        <f>TANH(Parameters!$B$24*SUMIFS(Impact_Input!$N:$N,Impact_Input!$B:$B,"B",Impact_Input!$C:$C,$A18,Impact_Input!$D:$D,G$17))</f>
        <v/>
      </c>
      <c r="H18" s="107">
        <f>TANH(Parameters!$B$24*SUMIFS(Impact_Input!$N:$N,Impact_Input!$B:$B,"B",Impact_Input!$C:$C,$A18,Impact_Input!$D:$D,H$17))</f>
        <v/>
      </c>
    </row>
    <row r="19" ht="14.25" customHeight="1" s="97">
      <c r="A19" s="106" t="inlineStr">
        <is>
          <t>U2</t>
        </is>
      </c>
      <c r="B19" s="145">
        <f>TANH(Parameters!$B$24*SUMIFS(Impact_Input!$N:$N,Impact_Input!$B:$B,"B",Impact_Input!$C:$C,$A19,Impact_Input!$D:$D,B$17))</f>
        <v/>
      </c>
      <c r="C19" s="107">
        <f>TANH(Parameters!$B$24*SUMIFS(Impact_Input!$N:$N,Impact_Input!$B:$B,"B",Impact_Input!$C:$C,$A19,Impact_Input!$D:$D,C$17))</f>
        <v/>
      </c>
      <c r="D19" s="107">
        <f>TANH(Parameters!$B$24*SUMIFS(Impact_Input!$N:$N,Impact_Input!$B:$B,"B",Impact_Input!$C:$C,$A19,Impact_Input!$D:$D,D$17))</f>
        <v/>
      </c>
      <c r="E19" s="107">
        <f>TANH(Parameters!$B$24*SUMIFS(Impact_Input!$N:$N,Impact_Input!$B:$B,"B",Impact_Input!$C:$C,$A19,Impact_Input!$D:$D,E$17))</f>
        <v/>
      </c>
      <c r="F19" s="107">
        <f>TANH(Parameters!$B$24*SUMIFS(Impact_Input!$N:$N,Impact_Input!$B:$B,"B",Impact_Input!$C:$C,$A19,Impact_Input!$D:$D,F$17))</f>
        <v/>
      </c>
      <c r="G19" s="107">
        <f>TANH(Parameters!$B$24*SUMIFS(Impact_Input!$N:$N,Impact_Input!$B:$B,"B",Impact_Input!$C:$C,$A19,Impact_Input!$D:$D,G$17))</f>
        <v/>
      </c>
      <c r="H19" s="107">
        <f>TANH(Parameters!$B$24*SUMIFS(Impact_Input!$N:$N,Impact_Input!$B:$B,"B",Impact_Input!$C:$C,$A19,Impact_Input!$D:$D,H$17))</f>
        <v/>
      </c>
    </row>
    <row r="20" ht="14.25" customHeight="1" s="97">
      <c r="A20" s="106" t="inlineStr">
        <is>
          <t>U3</t>
        </is>
      </c>
      <c r="B20" s="144">
        <f>TANH(Parameters!$B$24*SUMIFS(Impact_Input!$N:$N,Impact_Input!$B:$B,"B",Impact_Input!$C:$C,$A20,Impact_Input!$D:$D,B$17))</f>
        <v/>
      </c>
      <c r="C20" s="107">
        <f>TANH(Parameters!$B$24*SUMIFS(Impact_Input!$N:$N,Impact_Input!$B:$B,"B",Impact_Input!$C:$C,$A20,Impact_Input!$D:$D,C$17))</f>
        <v/>
      </c>
      <c r="D20" s="144">
        <f>TANH(Parameters!$B$24*SUMIFS(Impact_Input!$N:$N,Impact_Input!$B:$B,"B",Impact_Input!$C:$C,$A20,Impact_Input!$D:$D,D$17))</f>
        <v/>
      </c>
      <c r="E20" s="107">
        <f>TANH(Parameters!$B$24*SUMIFS(Impact_Input!$N:$N,Impact_Input!$B:$B,"B",Impact_Input!$C:$C,$A20,Impact_Input!$D:$D,E$17))</f>
        <v/>
      </c>
      <c r="F20" s="107">
        <f>TANH(Parameters!$B$24*SUMIFS(Impact_Input!$N:$N,Impact_Input!$B:$B,"B",Impact_Input!$C:$C,$A20,Impact_Input!$D:$D,F$17))</f>
        <v/>
      </c>
      <c r="G20" s="107">
        <f>TANH(Parameters!$B$24*SUMIFS(Impact_Input!$N:$N,Impact_Input!$B:$B,"B",Impact_Input!$C:$C,$A20,Impact_Input!$D:$D,G$17))</f>
        <v/>
      </c>
      <c r="H20" s="107">
        <f>TANH(Parameters!$B$24*SUMIFS(Impact_Input!$N:$N,Impact_Input!$B:$B,"B",Impact_Input!$C:$C,$A20,Impact_Input!$D:$D,H$17))</f>
        <v/>
      </c>
    </row>
    <row r="21" ht="14.25" customHeight="1" s="97">
      <c r="A21" s="106" t="inlineStr">
        <is>
          <t>U4</t>
        </is>
      </c>
      <c r="B21" s="144">
        <f>TANH(Parameters!$B$24*SUMIFS(Impact_Input!$N:$N,Impact_Input!$B:$B,"B",Impact_Input!$C:$C,$A21,Impact_Input!$D:$D,B$17))</f>
        <v/>
      </c>
      <c r="C21" s="107">
        <f>TANH(Parameters!$B$24*SUMIFS(Impact_Input!$N:$N,Impact_Input!$B:$B,"B",Impact_Input!$C:$C,$A21,Impact_Input!$D:$D,C$17))</f>
        <v/>
      </c>
      <c r="D21" s="107">
        <f>TANH(Parameters!$B$24*SUMIFS(Impact_Input!$N:$N,Impact_Input!$B:$B,"B",Impact_Input!$C:$C,$A21,Impact_Input!$D:$D,D$17))</f>
        <v/>
      </c>
      <c r="E21" s="107">
        <f>TANH(Parameters!$B$24*SUMIFS(Impact_Input!$N:$N,Impact_Input!$B:$B,"B",Impact_Input!$C:$C,$A21,Impact_Input!$D:$D,E$17))</f>
        <v/>
      </c>
      <c r="F21" s="107">
        <f>TANH(Parameters!$B$24*SUMIFS(Impact_Input!$N:$N,Impact_Input!$B:$B,"B",Impact_Input!$C:$C,$A21,Impact_Input!$D:$D,F$17))</f>
        <v/>
      </c>
      <c r="G21" s="107">
        <f>TANH(Parameters!$B$24*SUMIFS(Impact_Input!$N:$N,Impact_Input!$B:$B,"B",Impact_Input!$C:$C,$A21,Impact_Input!$D:$D,G$17))</f>
        <v/>
      </c>
      <c r="H21" s="107">
        <f>TANH(Parameters!$B$24*SUMIFS(Impact_Input!$N:$N,Impact_Input!$B:$B,"B",Impact_Input!$C:$C,$A21,Impact_Input!$D:$D,H$17))</f>
        <v/>
      </c>
    </row>
    <row r="22" ht="14.25" customHeight="1" s="97">
      <c r="A22" s="106" t="inlineStr">
        <is>
          <t>U5</t>
        </is>
      </c>
      <c r="B22" s="107">
        <f>TANH(Parameters!$B$24*SUMIFS(Impact_Input!$N:$N,Impact_Input!$B:$B,"B",Impact_Input!$C:$C,$A22,Impact_Input!$D:$D,B$17))</f>
        <v/>
      </c>
      <c r="C22" s="107">
        <f>TANH(Parameters!$B$24*SUMIFS(Impact_Input!$N:$N,Impact_Input!$B:$B,"B",Impact_Input!$C:$C,$A22,Impact_Input!$D:$D,C$17))</f>
        <v/>
      </c>
      <c r="D22" s="107">
        <f>TANH(Parameters!$B$24*SUMIFS(Impact_Input!$N:$N,Impact_Input!$B:$B,"B",Impact_Input!$C:$C,$A22,Impact_Input!$D:$D,D$17))</f>
        <v/>
      </c>
      <c r="E22" s="107">
        <f>TANH(Parameters!$B$24*SUMIFS(Impact_Input!$N:$N,Impact_Input!$B:$B,"B",Impact_Input!$C:$C,$A22,Impact_Input!$D:$D,E$17))</f>
        <v/>
      </c>
      <c r="F22" s="107">
        <f>TANH(Parameters!$B$24*SUMIFS(Impact_Input!$N:$N,Impact_Input!$B:$B,"B",Impact_Input!$C:$C,$A22,Impact_Input!$D:$D,F$17))</f>
        <v/>
      </c>
      <c r="G22" s="107">
        <f>TANH(Parameters!$B$24*SUMIFS(Impact_Input!$N:$N,Impact_Input!$B:$B,"B",Impact_Input!$C:$C,$A22,Impact_Input!$D:$D,G$17))</f>
        <v/>
      </c>
      <c r="H22" s="107">
        <f>TANH(Parameters!$B$24*SUMIFS(Impact_Input!$N:$N,Impact_Input!$B:$B,"B",Impact_Input!$C:$C,$A22,Impact_Input!$D:$D,H$17))</f>
        <v/>
      </c>
    </row>
    <row r="23" ht="14.25" customHeight="1" s="97">
      <c r="A23" s="106" t="inlineStr">
        <is>
          <t>U6</t>
        </is>
      </c>
      <c r="B23" s="107">
        <f>TANH(Parameters!$B$24*SUMIFS(Impact_Input!$N:$N,Impact_Input!$B:$B,"B",Impact_Input!$C:$C,$A23,Impact_Input!$D:$D,B$17))</f>
        <v/>
      </c>
      <c r="C23" s="107">
        <f>TANH(Parameters!$B$24*SUMIFS(Impact_Input!$N:$N,Impact_Input!$B:$B,"B",Impact_Input!$C:$C,$A23,Impact_Input!$D:$D,C$17))</f>
        <v/>
      </c>
      <c r="D23" s="107">
        <f>TANH(Parameters!$B$24*SUMIFS(Impact_Input!$N:$N,Impact_Input!$B:$B,"B",Impact_Input!$C:$C,$A23,Impact_Input!$D:$D,D$17))</f>
        <v/>
      </c>
      <c r="E23" s="107">
        <f>TANH(Parameters!$B$24*SUMIFS(Impact_Input!$N:$N,Impact_Input!$B:$B,"B",Impact_Input!$C:$C,$A23,Impact_Input!$D:$D,E$17))</f>
        <v/>
      </c>
      <c r="F23" s="107">
        <f>TANH(Parameters!$B$24*SUMIFS(Impact_Input!$N:$N,Impact_Input!$B:$B,"B",Impact_Input!$C:$C,$A23,Impact_Input!$D:$D,F$17))</f>
        <v/>
      </c>
      <c r="G23" s="107">
        <f>TANH(Parameters!$B$24*SUMIFS(Impact_Input!$N:$N,Impact_Input!$B:$B,"B",Impact_Input!$C:$C,$A23,Impact_Input!$D:$D,G$17))</f>
        <v/>
      </c>
      <c r="H23" s="107">
        <f>TANH(Parameters!$B$24*SUMIFS(Impact_Input!$N:$N,Impact_Input!$B:$B,"B",Impact_Input!$C:$C,$A23,Impact_Input!$D:$D,H$17))</f>
        <v/>
      </c>
    </row>
    <row r="24" ht="14.25" customHeight="1" s="97">
      <c r="A24" s="106" t="inlineStr">
        <is>
          <t>U7</t>
        </is>
      </c>
      <c r="B24" s="107">
        <f>TANH(Parameters!$B$24*SUMIFS(Impact_Input!$N:$N,Impact_Input!$B:$B,"B",Impact_Input!$C:$C,$A24,Impact_Input!$D:$D,B$17))</f>
        <v/>
      </c>
      <c r="C24" s="107">
        <f>TANH(Parameters!$B$24*SUMIFS(Impact_Input!$N:$N,Impact_Input!$B:$B,"B",Impact_Input!$C:$C,$A24,Impact_Input!$D:$D,C$17))</f>
        <v/>
      </c>
      <c r="D24" s="107">
        <f>TANH(Parameters!$B$24*SUMIFS(Impact_Input!$N:$N,Impact_Input!$B:$B,"B",Impact_Input!$C:$C,$A24,Impact_Input!$D:$D,D$17))</f>
        <v/>
      </c>
      <c r="E24" s="107">
        <f>TANH(Parameters!$B$24*SUMIFS(Impact_Input!$N:$N,Impact_Input!$B:$B,"B",Impact_Input!$C:$C,$A24,Impact_Input!$D:$D,E$17))</f>
        <v/>
      </c>
      <c r="F24" s="107">
        <f>TANH(Parameters!$B$24*SUMIFS(Impact_Input!$N:$N,Impact_Input!$B:$B,"B",Impact_Input!$C:$C,$A24,Impact_Input!$D:$D,F$17))</f>
        <v/>
      </c>
      <c r="G24" s="107">
        <f>TANH(Parameters!$B$24*SUMIFS(Impact_Input!$N:$N,Impact_Input!$B:$B,"B",Impact_Input!$C:$C,$A24,Impact_Input!$D:$D,G$17))</f>
        <v/>
      </c>
      <c r="H24" s="145">
        <f>TANH(Parameters!$B$24*SUMIFS(Impact_Input!$N:$N,Impact_Input!$B:$B,"B",Impact_Input!$C:$C,$A24,Impact_Input!$D:$D,H$17))</f>
        <v/>
      </c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39"/>
  <sheetViews>
    <sheetView showGridLines="1" workbookViewId="0">
      <selection activeCell="A1" sqref="A1"/>
    </sheetView>
  </sheetViews>
  <sheetFormatPr baseColWidth="8" defaultColWidth="8.66796875" defaultRowHeight="12.75"/>
  <cols>
    <col width="14" customWidth="1" style="104" min="1" max="1"/>
    <col width="22" customWidth="1" style="104" min="2" max="2"/>
    <col width="14" customWidth="1" style="104" min="3" max="3"/>
    <col width="12" customWidth="1" style="104" min="4" max="5"/>
    <col width="10" customWidth="1" style="104" min="6" max="7"/>
    <col width="28" customWidth="1" style="104" min="8" max="9"/>
  </cols>
  <sheetData>
    <row r="1" ht="14.25" customHeight="1" s="97">
      <c r="A1" s="146" t="inlineStr">
        <is>
          <t>LEVEL 1: NON-COMPENSATORY RIGHTS CONSTRAINT (NCRC)</t>
        </is>
      </c>
    </row>
    <row r="2" ht="13.5" customHeight="1" s="97"/>
    <row r="3" ht="14.25" customHeight="1" s="97">
      <c r="A3" s="96" t="inlineStr">
        <is>
          <t>Reference: RippleLogic v9.6.4 Section 7.0</t>
        </is>
      </c>
    </row>
    <row r="4" ht="14.25" customHeight="1" s="97">
      <c r="A4" s="96" t="inlineStr">
        <is>
          <t>Rule: For each right r, MIN impact across coverage set must be ≥ θ_r</t>
        </is>
      </c>
    </row>
    <row r="5" ht="13.5" customHeight="1" s="97">
      <c r="A5" s="96" t="inlineStr">
        <is>
          <t>NCRC RIGHTS FLOOR CHECK (Min_I_rights vs θ_r; PASS if Min_I_rights ≥ θ_r)</t>
        </is>
      </c>
    </row>
    <row r="6" ht="14.25" customHeight="1" s="97">
      <c r="A6" s="106" t="inlineStr">
        <is>
          <t>OPTION A RIGHTS CHECK</t>
        </is>
      </c>
      <c r="H6" s="104" t="inlineStr">
        <is>
          <t>Source locator (first matching minimum)</t>
        </is>
      </c>
    </row>
    <row r="7" ht="14.25" customHeight="1" s="97">
      <c r="A7" s="109" t="inlineStr">
        <is>
          <t>Right</t>
        </is>
      </c>
      <c r="B7" s="109" t="inlineStr">
        <is>
          <t>Priority</t>
        </is>
      </c>
      <c r="C7" s="109" t="inlineStr">
        <is>
          <t>θ_r</t>
        </is>
      </c>
      <c r="D7" s="109" t="inlineStr">
        <is>
          <t>Min_I_rights_A</t>
        </is>
      </c>
      <c r="E7" s="109" t="inlineStr">
        <is>
          <t>Min_I_rights_B</t>
        </is>
      </c>
      <c r="F7" s="109" t="inlineStr">
        <is>
          <t>Pass_A</t>
        </is>
      </c>
      <c r="G7" s="109" t="inlineStr">
        <is>
          <t>Pass_B</t>
        </is>
      </c>
      <c r="H7" s="96" t="inlineStr">
        <is>
          <t>Worst_Cell_A</t>
        </is>
      </c>
      <c r="I7" s="96" t="inlineStr">
        <is>
          <t>Worst_Cell_B</t>
        </is>
      </c>
    </row>
    <row r="8" ht="14.25" customHeight="1" s="97">
      <c r="A8" s="96" t="inlineStr">
        <is>
          <t>LIFE</t>
        </is>
      </c>
      <c r="B8" s="96" t="n">
        <v>1</v>
      </c>
      <c r="C8" s="96" t="n">
        <v>-0.9</v>
      </c>
      <c r="D8" s="107">
        <f>SUMPRODUCT(MIN((Rights_Coverage_View!$B$2:$B$71=$A8)*Rights_Coverage_View!$M$2:$M$71+(Rights_Coverage_View!$B$2:$B$71&lt;&gt;$A8)*1E+099))</f>
        <v/>
      </c>
      <c r="E8" s="107">
        <f>SUMPRODUCT(MIN((Rights_Coverage_View!$B$2:$B$71=$A8)*Rights_Coverage_View!$N$2:$N$71+(Rights_Coverage_View!$B$2:$B$71&lt;&gt;$A8)*1E+099))</f>
        <v/>
      </c>
      <c r="F8" s="111">
        <f>IF(D8&gt;=$C8,"PASS","FAIL")</f>
        <v/>
      </c>
      <c r="G8" s="111">
        <f>IF(E8&gt;=$C8,"PASS","FAIL")</f>
        <v/>
      </c>
      <c r="H8" s="96">
        <f>IF(OR($A8="",$D8="",$D8&gt;=0),"",IFERROR("Rights_Coverage_View!H"&amp;MATCH($A8&amp;"|"&amp;ROUND($D8*1000000000000,0),Rights_Coverage_View!$O$2:$O$100,0)+1,""))</f>
        <v/>
      </c>
      <c r="I8" s="96">
        <f>IF(OR($A8="",$E8="",$E8&gt;=0),"",IFERROR("Rights_Coverage_View!I"&amp;MATCH($A8&amp;"|"&amp;ROUND($E8*1000000000000,0),Rights_Coverage_View!$P$2:$P$100,0)+1,""))</f>
        <v/>
      </c>
    </row>
    <row r="9" ht="14.25" customHeight="1" s="97">
      <c r="A9" s="96" t="inlineStr">
        <is>
          <t>BODY</t>
        </is>
      </c>
      <c r="B9" s="96" t="n">
        <v>2</v>
      </c>
      <c r="C9" s="96" t="n">
        <v>-0.7</v>
      </c>
      <c r="D9" s="107">
        <f>SUMPRODUCT(MIN((Rights_Coverage_View!$B$2:$B$71=$A9)*Rights_Coverage_View!$M$2:$M$71+(Rights_Coverage_View!$B$2:$B$71&lt;&gt;$A9)*1E+099))</f>
        <v/>
      </c>
      <c r="E9" s="107">
        <f>SUMPRODUCT(MIN((Rights_Coverage_View!$B$2:$B$71=$A9)*Rights_Coverage_View!$N$2:$N$71+(Rights_Coverage_View!$B$2:$B$71&lt;&gt;$A9)*1E+099))</f>
        <v/>
      </c>
      <c r="F9" s="111">
        <f>IF(D9&gt;=$C9,"PASS","FAIL")</f>
        <v/>
      </c>
      <c r="G9" s="111">
        <f>IF(E9&gt;=$C9,"PASS","FAIL")</f>
        <v/>
      </c>
      <c r="H9" s="96">
        <f>IF(OR($A9="",$D9="",$D9&gt;=0),"",IFERROR("Rights_Coverage_View!H"&amp;MATCH($A9&amp;"|"&amp;ROUND($D9*1000000000000,0),Rights_Coverage_View!$O$2:$O$100,0)+1,""))</f>
        <v/>
      </c>
      <c r="I9" s="96">
        <f>IF(OR($A9="",$E9="",$E9&gt;=0),"",IFERROR("Rights_Coverage_View!I"&amp;MATCH($A9&amp;"|"&amp;ROUND($E9*1000000000000,0),Rights_Coverage_View!$P$2:$P$100,0)+1,""))</f>
        <v/>
      </c>
    </row>
    <row r="10" ht="14.25" customHeight="1" s="97">
      <c r="A10" s="96" t="inlineStr">
        <is>
          <t>ECOL</t>
        </is>
      </c>
      <c r="B10" s="96" t="n">
        <v>3</v>
      </c>
      <c r="C10" s="96" t="n">
        <v>-0.65</v>
      </c>
      <c r="D10" s="107">
        <f>SUMPRODUCT(MIN((Rights_Coverage_View!$B$2:$B$71=$A10)*Rights_Coverage_View!$M$2:$M$71+(Rights_Coverage_View!$B$2:$B$71&lt;&gt;$A10)*1E+099))</f>
        <v/>
      </c>
      <c r="E10" s="107">
        <f>SUMPRODUCT(MIN((Rights_Coverage_View!$B$2:$B$71=$A10)*Rights_Coverage_View!$N$2:$N$71+(Rights_Coverage_View!$B$2:$B$71&lt;&gt;$A10)*1E+099))</f>
        <v/>
      </c>
      <c r="F10" s="111">
        <f>IF(D10&gt;=$C10,"PASS","FAIL")</f>
        <v/>
      </c>
      <c r="G10" s="111">
        <f>IF(E10&gt;=$C10,"PASS","FAIL")</f>
        <v/>
      </c>
      <c r="H10" s="96">
        <f>IF(OR($A10="",$D10="",$D10&gt;=0),"",IFERROR("Rights_Coverage_View!H"&amp;MATCH($A10&amp;"|"&amp;ROUND($D10*1000000000000,0),Rights_Coverage_View!$O$2:$O$100,0)+1,""))</f>
        <v/>
      </c>
      <c r="I10" s="96">
        <f>IF(OR($A10="",$E10="",$E10&gt;=0),"",IFERROR("Rights_Coverage_View!I"&amp;MATCH($A10&amp;"|"&amp;ROUND($E10*1000000000000,0),Rights_Coverage_View!$P$2:$P$100,0)+1,""))</f>
        <v/>
      </c>
    </row>
    <row r="11" ht="14.25" customHeight="1" s="97">
      <c r="A11" s="96" t="inlineStr">
        <is>
          <t>LBTY</t>
        </is>
      </c>
      <c r="B11" s="96" t="n">
        <v>4</v>
      </c>
      <c r="C11" s="96" t="n">
        <v>-0.65</v>
      </c>
      <c r="D11" s="107">
        <f>SUMPRODUCT(MIN((Rights_Coverage_View!$B$2:$B$71=$A11)*Rights_Coverage_View!$M$2:$M$71+(Rights_Coverage_View!$B$2:$B$71&lt;&gt;$A11)*1E+099))</f>
        <v/>
      </c>
      <c r="E11" s="107">
        <f>SUMPRODUCT(MIN((Rights_Coverage_View!$B$2:$B$71=$A11)*Rights_Coverage_View!$N$2:$N$71+(Rights_Coverage_View!$B$2:$B$71&lt;&gt;$A11)*1E+099))</f>
        <v/>
      </c>
      <c r="F11" s="111">
        <f>IF(D11&gt;=$C11,"PASS","FAIL")</f>
        <v/>
      </c>
      <c r="G11" s="111">
        <f>IF(E11&gt;=$C11,"PASS","FAIL")</f>
        <v/>
      </c>
      <c r="H11" s="96">
        <f>IF(OR($A11="",$D11="",$D11&gt;=0),"",IFERROR("Rights_Coverage_View!H"&amp;MATCH($A11&amp;"|"&amp;ROUND($D11*1000000000000,0),Rights_Coverage_View!$O$2:$O$100,0)+1,""))</f>
        <v/>
      </c>
      <c r="I11" s="96">
        <f>IF(OR($A11="",$E11="",$E11&gt;=0),"",IFERROR("Rights_Coverage_View!I"&amp;MATCH($A11&amp;"|"&amp;ROUND($E11*1000000000000,0),Rights_Coverage_View!$P$2:$P$100,0)+1,""))</f>
        <v/>
      </c>
    </row>
    <row r="12" ht="14.25" customHeight="1" s="97">
      <c r="A12" s="96" t="inlineStr">
        <is>
          <t>NEED</t>
        </is>
      </c>
      <c r="B12" s="96" t="n">
        <v>5</v>
      </c>
      <c r="C12" s="96" t="n">
        <v>-0.5</v>
      </c>
      <c r="D12" s="107">
        <f>SUMPRODUCT(MIN((Rights_Coverage_View!$B$2:$B$71=$A12)*Rights_Coverage_View!$M$2:$M$71+(Rights_Coverage_View!$B$2:$B$71&lt;&gt;$A12)*1E+099))</f>
        <v/>
      </c>
      <c r="E12" s="107">
        <f>SUMPRODUCT(MIN((Rights_Coverage_View!$B$2:$B$71=$A12)*Rights_Coverage_View!$N$2:$N$71+(Rights_Coverage_View!$B$2:$B$71&lt;&gt;$A12)*1E+099))</f>
        <v/>
      </c>
      <c r="F12" s="111">
        <f>IF(D12&gt;=$C12,"PASS","FAIL")</f>
        <v/>
      </c>
      <c r="G12" s="111">
        <f>IF(E12&gt;=$C12,"PASS","FAIL")</f>
        <v/>
      </c>
      <c r="H12" s="96">
        <f>IF(OR($A12="",$D12="",$D12&gt;=0),"",IFERROR("Rights_Coverage_View!H"&amp;MATCH($A12&amp;"|"&amp;ROUND($D12*1000000000000,0),Rights_Coverage_View!$O$2:$O$100,0)+1,""))</f>
        <v/>
      </c>
      <c r="I12" s="96">
        <f>IF(OR($A12="",$E12="",$E12&gt;=0),"",IFERROR("Rights_Coverage_View!I"&amp;MATCH($A12&amp;"|"&amp;ROUND($E12*1000000000000,0),Rights_Coverage_View!$P$2:$P$100,0)+1,""))</f>
        <v/>
      </c>
    </row>
    <row r="13" ht="14.25" customHeight="1" s="97">
      <c r="A13" s="96" t="inlineStr">
        <is>
          <t>DIGN</t>
        </is>
      </c>
      <c r="B13" s="96" t="n">
        <v>6</v>
      </c>
      <c r="C13" s="96" t="n">
        <v>-0.55</v>
      </c>
      <c r="D13" s="107">
        <f>SUMPRODUCT(MIN((Rights_Coverage_View!$B$2:$B$71=$A13)*Rights_Coverage_View!$M$2:$M$71+(Rights_Coverage_View!$B$2:$B$71&lt;&gt;$A13)*1E+099))</f>
        <v/>
      </c>
      <c r="E13" s="107">
        <f>SUMPRODUCT(MIN((Rights_Coverage_View!$B$2:$B$71=$A13)*Rights_Coverage_View!$N$2:$N$71+(Rights_Coverage_View!$B$2:$B$71&lt;&gt;$A13)*1E+099))</f>
        <v/>
      </c>
      <c r="F13" s="111">
        <f>IF(D13&gt;=$C13,"PASS","FAIL")</f>
        <v/>
      </c>
      <c r="G13" s="111">
        <f>IF(E13&gt;=$C13,"PASS","FAIL")</f>
        <v/>
      </c>
      <c r="H13" s="96">
        <f>IF(OR($A13="",$D13="",$D13&gt;=0),"",IFERROR("Rights_Coverage_View!H"&amp;MATCH($A13&amp;"|"&amp;ROUND($D13*1000000000000,0),Rights_Coverage_View!$O$2:$O$100,0)+1,""))</f>
        <v/>
      </c>
      <c r="I13" s="96">
        <f>IF(OR($A13="",$E13="",$E13&gt;=0),"",IFERROR("Rights_Coverage_View!I"&amp;MATCH($A13&amp;"|"&amp;ROUND($E13*1000000000000,0),Rights_Coverage_View!$P$2:$P$100,0)+1,""))</f>
        <v/>
      </c>
    </row>
    <row r="14" ht="14.25" customHeight="1" s="97">
      <c r="A14" s="96" t="inlineStr">
        <is>
          <t>PROC</t>
        </is>
      </c>
      <c r="B14" s="96" t="n">
        <v>7</v>
      </c>
      <c r="C14" s="96" t="n">
        <v>-0.45</v>
      </c>
      <c r="D14" s="96">
        <f>SUMPRODUCT(MIN((Rights_Coverage_View!$B$2:$B$71=$A14)*Rights_Coverage_View!$M$2:$M$71+(Rights_Coverage_View!$B$2:$B$71&lt;&gt;$A14)*1E+099))</f>
        <v/>
      </c>
      <c r="E14" s="96">
        <f>SUMPRODUCT(MIN((Rights_Coverage_View!$B$2:$B$71=$A14)*Rights_Coverage_View!$N$2:$N$71+(Rights_Coverage_View!$B$2:$B$71&lt;&gt;$A14)*1E+099))</f>
        <v/>
      </c>
      <c r="F14" s="111">
        <f>IF(D14&gt;=$C14,"PASS","FAIL")</f>
        <v/>
      </c>
      <c r="G14" s="111">
        <f>IF(E14&gt;=$C14,"PASS","FAIL")</f>
        <v/>
      </c>
      <c r="H14" s="96">
        <f>IF(OR($A14="",$D14="",$D14&gt;=0),"",IFERROR("Rights_Coverage_View!H"&amp;MATCH($A14&amp;"|"&amp;ROUND($D14*1000000000000,0),Rights_Coverage_View!$O$2:$O$100,0)+1,""))</f>
        <v/>
      </c>
      <c r="I14" s="96">
        <f>IF(OR($A14="",$E14="",$E14&gt;=0),"",IFERROR("Rights_Coverage_View!I"&amp;MATCH($A14&amp;"|"&amp;ROUND($E14*1000000000000,0),Rights_Coverage_View!$P$2:$P$100,0)+1,""))</f>
        <v/>
      </c>
    </row>
    <row r="15" ht="14.25" customHeight="1" s="97">
      <c r="A15" s="96" t="inlineStr">
        <is>
          <t>INFO</t>
        </is>
      </c>
      <c r="B15" s="96" t="n">
        <v>8</v>
      </c>
      <c r="C15" s="96" t="n">
        <v>-0.4</v>
      </c>
      <c r="D15" s="107">
        <f>SUMPRODUCT(MIN((Rights_Coverage_View!$B$2:$B$71=$A15)*Rights_Coverage_View!$M$2:$M$71+(Rights_Coverage_View!$B$2:$B$71&lt;&gt;$A15)*1E+099))</f>
        <v/>
      </c>
      <c r="E15" s="107">
        <f>SUMPRODUCT(MIN((Rights_Coverage_View!$B$2:$B$71=$A15)*Rights_Coverage_View!$N$2:$N$71+(Rights_Coverage_View!$B$2:$B$71&lt;&gt;$A15)*1E+099))</f>
        <v/>
      </c>
      <c r="F15" s="111">
        <f>IF(D15&gt;=$C15,"PASS","FAIL")</f>
        <v/>
      </c>
      <c r="G15" s="111">
        <f>IF(E15&gt;=$C15,"PASS","FAIL")</f>
        <v/>
      </c>
      <c r="H15" s="96">
        <f>IF(OR($A15="",$D15="",$D15&gt;=0),"",IFERROR("Rights_Coverage_View!H"&amp;MATCH($A15&amp;"|"&amp;ROUND($D15*1000000000000,0),Rights_Coverage_View!$O$2:$O$100,0)+1,""))</f>
        <v/>
      </c>
      <c r="I15" s="96">
        <f>IF(OR($A15="",$E15="",$E15&gt;=0),"",IFERROR("Rights_Coverage_View!I"&amp;MATCH($A15&amp;"|"&amp;ROUND($E15*1000000000000,0),Rights_Coverage_View!$P$2:$P$100,0)+1,""))</f>
        <v/>
      </c>
    </row>
    <row r="16" ht="14.25" customHeight="1" s="97">
      <c r="D16" s="107">
        <f>MIN(D8:D15)</f>
        <v/>
      </c>
      <c r="E16" s="107">
        <f>MIN(E8:E15)</f>
        <v/>
      </c>
      <c r="F16" s="111" t="n"/>
    </row>
    <row r="17" ht="14.25" customHeight="1" s="97">
      <c r="A17" s="109" t="inlineStr">
        <is>
          <t>NCRC OUTCOME</t>
        </is>
      </c>
    </row>
    <row r="18" ht="19.5" customHeight="1" s="97">
      <c r="A18" s="96" t="inlineStr">
        <is>
          <t>Option A:</t>
        </is>
      </c>
      <c r="B18" s="147" t="inlineStr">
        <is>
          <t>PASS (all rights satisfied)</t>
        </is>
      </c>
      <c r="C18" s="96" t="inlineStr">
        <is>
          <t>NCRC_A_status</t>
        </is>
      </c>
      <c r="D18" s="96">
        <f>IF(COUNTIF(F8:F15,"FAIL")=0,"PASS","FAIL")</f>
        <v/>
      </c>
      <c r="E18" s="96" t="inlineStr">
        <is>
          <t>(All v_r = 0)</t>
        </is>
      </c>
    </row>
    <row r="19" ht="19.5" customHeight="1" s="97">
      <c r="A19" s="96" t="inlineStr">
        <is>
          <t>Option B:</t>
        </is>
      </c>
      <c r="B19" s="147" t="inlineStr">
        <is>
          <t>PASS (all rights satisfied)</t>
        </is>
      </c>
      <c r="C19" s="96" t="inlineStr">
        <is>
          <t>NCRC_B_status</t>
        </is>
      </c>
      <c r="D19" s="96">
        <f>IF(COUNTIF(G8:G15,"FAIL")=0,"PASS","FAIL")</f>
        <v/>
      </c>
    </row>
    <row r="20" ht="42" customHeight="1" s="97">
      <c r="A20" s="127" t="inlineStr">
        <is>
          <t>Note: Proof snippet columns (H:I) show the Rights_Coverage_View cell holding the worst-off I_rights value when a distinct adverse minimum is identified; they may remain blank for neutral/zero minima.</t>
        </is>
      </c>
    </row>
    <row r="21" hidden="1" ht="42" customHeight="1" s="97">
      <c r="A21" s="127" t="inlineStr">
        <is>
          <t>Legacy duplicate display block removed. The canonical NCRC results for this workbook are the upper comparison block and the NCRC OUTCOME section only.</t>
        </is>
      </c>
    </row>
    <row r="22" hidden="1" ht="14.25" customHeight="1" s="97">
      <c r="A22" s="106" t="n"/>
      <c r="B22" s="106" t="n"/>
      <c r="C22" s="106" t="n"/>
      <c r="D22" s="106" t="n"/>
      <c r="E22" s="106" t="n"/>
      <c r="F22" s="106" t="n"/>
    </row>
    <row r="23" hidden="1" ht="14.25" customHeight="1" s="97">
      <c r="A23" s="96" t="n"/>
      <c r="B23" s="96" t="n"/>
      <c r="C23" s="96" t="n"/>
      <c r="D23" s="107" t="n"/>
      <c r="E23" s="107" t="n"/>
      <c r="F23" s="111" t="n"/>
    </row>
    <row r="24" hidden="1" ht="14.25" customHeight="1" s="97">
      <c r="A24" s="96" t="n"/>
      <c r="B24" s="96" t="n"/>
      <c r="C24" s="96" t="n"/>
      <c r="D24" s="107" t="n"/>
      <c r="E24" s="107" t="n"/>
      <c r="F24" s="111" t="n"/>
    </row>
    <row r="25" hidden="1" ht="14.25" customHeight="1" s="97">
      <c r="A25" s="96" t="n"/>
      <c r="B25" s="96" t="n"/>
      <c r="C25" s="96" t="n"/>
      <c r="D25" s="107" t="n"/>
      <c r="E25" s="107" t="n"/>
      <c r="F25" s="111" t="n"/>
    </row>
    <row r="26" hidden="1" ht="14.25" customHeight="1" s="97">
      <c r="A26" s="96" t="n"/>
      <c r="B26" s="96" t="n"/>
      <c r="C26" s="96" t="n"/>
      <c r="D26" s="107" t="n"/>
      <c r="E26" s="107" t="n"/>
      <c r="F26" s="111" t="n"/>
    </row>
    <row r="27" hidden="1" ht="14.25" customHeight="1" s="97">
      <c r="A27" s="96" t="n"/>
      <c r="B27" s="96" t="n"/>
      <c r="C27" s="96" t="n"/>
      <c r="D27" s="107" t="n"/>
      <c r="E27" s="107" t="n"/>
      <c r="F27" s="111" t="n"/>
    </row>
    <row r="28" hidden="1" ht="14.25" customHeight="1" s="97">
      <c r="A28" s="96" t="n"/>
      <c r="B28" s="96" t="n"/>
      <c r="C28" s="96" t="n"/>
      <c r="D28" s="107" t="n"/>
      <c r="E28" s="107" t="n"/>
      <c r="F28" s="111" t="n"/>
    </row>
    <row r="29" hidden="1" ht="14.25" customHeight="1" s="97">
      <c r="A29" s="96" t="n"/>
      <c r="B29" s="96" t="n"/>
      <c r="C29" s="96" t="n"/>
      <c r="D29" s="96" t="n"/>
      <c r="E29" s="96" t="n"/>
      <c r="F29" s="96" t="n"/>
    </row>
    <row r="30" hidden="1" ht="14.25" customHeight="1" s="97">
      <c r="A30" s="96" t="n"/>
      <c r="B30" s="96" t="n"/>
      <c r="C30" s="96" t="n"/>
      <c r="D30" s="107" t="n"/>
      <c r="E30" s="107" t="n"/>
      <c r="F30" s="111" t="n"/>
    </row>
    <row r="31" hidden="1" ht="14.25" customHeight="1" s="97">
      <c r="D31" s="107" t="n"/>
      <c r="E31" s="107" t="n"/>
      <c r="F31" s="111" t="n"/>
    </row>
    <row r="32" hidden="1" ht="14.25" customHeight="1" s="97"/>
    <row r="33" hidden="1" ht="14.25" customHeight="1" s="97">
      <c r="A33" s="96" t="n"/>
      <c r="D33" s="96" t="n"/>
      <c r="E33" s="96" t="n"/>
    </row>
    <row r="34" hidden="1" ht="14.25" customHeight="1" s="97">
      <c r="A34" s="96" t="n"/>
      <c r="B34" s="111" t="n"/>
    </row>
    <row r="35" hidden="1" ht="14.25" customHeight="1" s="97">
      <c r="A35" s="96" t="n"/>
    </row>
    <row r="36" hidden="1" ht="14.25" customHeight="1" s="97">
      <c r="A36" s="106" t="n"/>
      <c r="B36" s="96" t="n"/>
    </row>
    <row r="37" hidden="1" ht="14.25" customHeight="1" s="97">
      <c r="A37" s="96" t="n"/>
      <c r="B37" s="96" t="n"/>
    </row>
    <row r="38" hidden="1" ht="14.25" customHeight="1" s="97">
      <c r="A38" s="96" t="n"/>
    </row>
    <row r="39" hidden="1" ht="14.25" customHeight="1" s="97">
      <c r="A39" s="96" t="n"/>
    </row>
    <row r="40" hidden="1" ht="13.5" customHeight="1" s="97"/>
    <row r="41" hidden="1" ht="13.5" customHeight="1" s="97"/>
    <row r="42" hidden="1" ht="13.5" customHeight="1" s="97"/>
    <row r="43" hidden="1" ht="13.5" customHeight="1" s="97"/>
    <row r="44" hidden="1" ht="13.5" customHeight="1" s="97"/>
    <row r="45" hidden="1" ht="13.5" customHeight="1" s="97"/>
    <row r="46" hidden="1" ht="13.5" customHeight="1" s="97"/>
    <row r="47" hidden="1" ht="13.5" customHeight="1" s="97"/>
    <row r="48" hidden="1" ht="13.5" customHeight="1" s="97"/>
    <row r="49" hidden="1" ht="13.5" customHeight="1" s="97"/>
    <row r="50" hidden="1" ht="13.5" customHeight="1" s="97"/>
    <row r="51" hidden="1" ht="13.5" customHeight="1" s="97"/>
    <row r="52" hidden="1" ht="13.5" customHeight="1" s="97"/>
    <row r="53" hidden="1" ht="13.5" customHeight="1" s="97"/>
    <row r="54" hidden="1" ht="13.5" customHeight="1" s="97"/>
    <row r="55" hidden="1" ht="13.5" customHeight="1" s="97"/>
    <row r="56" hidden="1" ht="13.5" customHeight="1" s="97"/>
    <row r="57" hidden="1" ht="13.5" customHeight="1" s="97"/>
    <row r="58" hidden="1" ht="13.5" customHeight="1" s="97"/>
    <row r="59" hidden="1" ht="13.5" customHeight="1" s="97"/>
    <row r="60" hidden="1" ht="13.5" customHeight="1" s="97"/>
  </sheetData>
  <mergeCells count="4">
    <mergeCell ref="A1:J1"/>
    <mergeCell ref="A20:I20"/>
    <mergeCell ref="A21:I21"/>
    <mergeCell ref="H6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U52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46" t="inlineStr">
        <is>
          <t>LEVEL 2: TAIL RISK CONSTRAINT (TRC)</t>
        </is>
      </c>
    </row>
    <row r="3" ht="14.25" customHeight="1" s="97">
      <c r="A3" s="96" t="inlineStr">
        <is>
          <t>Reference: RippleLogic v9.6.4 Appendix D.7</t>
        </is>
      </c>
    </row>
    <row r="4" ht="14.25" customHeight="1" s="97">
      <c r="A4" s="96" t="inlineStr">
        <is>
          <t>Algorithm: Discrete CVaR with sorted-tail method</t>
        </is>
      </c>
    </row>
    <row r="6" ht="14.25" customHeight="1" s="97">
      <c r="A6" s="109" t="inlineStr">
        <is>
          <t>PARAMETERS</t>
        </is>
      </c>
    </row>
    <row r="7" ht="14.25" customHeight="1" s="97">
      <c r="A7" s="96" t="inlineStr">
        <is>
          <t>α (confidence):</t>
        </is>
      </c>
      <c r="B7" s="96" t="n">
        <v>0.95</v>
      </c>
      <c r="H7" s="107" t="n"/>
      <c r="M7" s="96" t="inlineStr">
        <is>
          <t>SortKey</t>
        </is>
      </c>
      <c r="N7" s="96" t="inlineStr">
        <is>
          <t>Rank</t>
        </is>
      </c>
      <c r="P7" s="96" t="inlineStr">
        <is>
          <t>Sorted scenarios</t>
        </is>
      </c>
    </row>
    <row r="8" ht="14.25" customHeight="1" s="97">
      <c r="A8" s="106" t="inlineStr">
        <is>
          <t>β (tail mass):</t>
        </is>
      </c>
      <c r="B8" s="96" t="n">
        <v>0.05</v>
      </c>
      <c r="L8" s="107" t="n"/>
      <c r="M8" s="96">
        <f>L8+ROW()/1000000</f>
        <v/>
      </c>
      <c r="N8" s="96">
        <f>RANK(M8,$M$8:$M$14,0)</f>
        <v/>
      </c>
      <c r="P8" s="96" t="inlineStr">
        <is>
          <t>Scenario</t>
        </is>
      </c>
      <c r="Q8" s="96" t="inlineStr">
        <is>
          <t>p(s)</t>
        </is>
      </c>
      <c r="R8" s="96" t="inlineStr">
        <is>
          <t>Loss</t>
        </is>
      </c>
      <c r="S8" s="96" t="inlineStr">
        <is>
          <t>Cum_p</t>
        </is>
      </c>
      <c r="T8" s="96" t="inlineStr">
        <is>
          <t>Tail_w</t>
        </is>
      </c>
      <c r="U8" s="96" t="inlineStr">
        <is>
          <t>Tail_contrib</t>
        </is>
      </c>
    </row>
    <row r="9" ht="14.25" customHeight="1" s="97">
      <c r="A9" s="106" t="inlineStr">
        <is>
          <t>τ_TRC (threshold):</t>
        </is>
      </c>
      <c r="B9" s="117">
        <f>CANON!B58</f>
        <v/>
      </c>
      <c r="C9" s="106" t="n"/>
      <c r="D9" s="106" t="n"/>
      <c r="E9" s="106" t="n"/>
      <c r="F9" s="106" t="n"/>
      <c r="L9" s="107" t="n"/>
      <c r="M9" s="96">
        <f>L9+ROW()/1000000</f>
        <v/>
      </c>
      <c r="N9" s="96">
        <f>RANK(M9,$M$8:$M$14,0)</f>
        <v/>
      </c>
      <c r="P9" s="96">
        <f>INDEX($J$8:$J$14,MATCH(1,$N$8:$N$14,0))</f>
        <v/>
      </c>
      <c r="Q9" s="96">
        <f>IFERROR(VLOOKUP(P9,$J$8:$L$14,2,FALSE()),"")</f>
        <v/>
      </c>
      <c r="R9" s="96">
        <f>IFERROR(VLOOKUP(P9,$J$8:$L$14,3,FALSE()),"")</f>
        <v/>
      </c>
      <c r="S9" s="96">
        <f>IFERROR(Q9,"")</f>
        <v/>
      </c>
      <c r="U9" s="96">
        <f>IFERROR(T9*R9,"")</f>
        <v/>
      </c>
    </row>
    <row r="10" ht="14.25" customHeight="1" s="97">
      <c r="A10" s="96" t="inlineStr">
        <is>
          <t>Context:</t>
        </is>
      </c>
      <c r="B10" s="96" t="inlineStr">
        <is>
          <t>ORG</t>
        </is>
      </c>
      <c r="L10" s="107" t="n"/>
      <c r="M10" s="96">
        <f>L10+ROW()/1000000</f>
        <v/>
      </c>
      <c r="N10" s="96">
        <f>RANK(M10,$M$8:$M$14,0)</f>
        <v/>
      </c>
      <c r="P10" s="96">
        <f>INDEX($J$8:$J$14,MATCH(2,$N$8:$N$14,0))</f>
        <v/>
      </c>
      <c r="Q10" s="96">
        <f>IFERROR(VLOOKUP(P10,$J$8:$L$14,2,FALSE()),"")</f>
        <v/>
      </c>
      <c r="R10" s="96">
        <f>IFERROR(VLOOKUP(P10,$J$8:$L$14,3,FALSE()),"")</f>
        <v/>
      </c>
      <c r="S10" s="96">
        <f>IFERROR(S9+Q10,"")</f>
        <v/>
      </c>
      <c r="U10" s="96">
        <f>IFERROR(T10*R10,"")</f>
        <v/>
      </c>
    </row>
    <row r="11" ht="14.25" customHeight="1" s="97">
      <c r="L11" s="107" t="n"/>
      <c r="M11" s="96">
        <f>L11+ROW()/1000000</f>
        <v/>
      </c>
      <c r="N11" s="96">
        <f>RANK(M11,$M$8:$M$14,0)</f>
        <v/>
      </c>
      <c r="P11" s="96">
        <f>INDEX($J$8:$J$14,MATCH(3,$N$8:$N$14,0))</f>
        <v/>
      </c>
      <c r="Q11" s="96">
        <f>IFERROR(VLOOKUP(P11,$J$8:$L$14,2,FALSE()),"")</f>
        <v/>
      </c>
      <c r="R11" s="96">
        <f>IFERROR(VLOOKUP(P11,$J$8:$L$14,3,FALSE()),"")</f>
        <v/>
      </c>
      <c r="S11" s="96">
        <f>IFERROR(S10+Q11,"")</f>
        <v/>
      </c>
      <c r="U11" s="96">
        <f>IFERROR(T11*R11,"")</f>
        <v/>
      </c>
    </row>
    <row r="12" ht="14.25" customHeight="1" s="97">
      <c r="A12" s="109" t="inlineStr">
        <is>
          <t>OPTION A: CVaR COMPUTATION</t>
        </is>
      </c>
      <c r="L12" s="107" t="n"/>
      <c r="M12" s="96">
        <f>L12+ROW()/1000000</f>
        <v/>
      </c>
      <c r="N12" s="96">
        <f>RANK(M12,$M$8:$M$14,0)</f>
        <v/>
      </c>
      <c r="P12" s="96">
        <f>INDEX($J$8:$J$14,MATCH(4,$N$8:$N$14,0))</f>
        <v/>
      </c>
      <c r="Q12" s="96">
        <f>IFERROR(VLOOKUP(P12,$J$8:$L$14,2,FALSE()),"")</f>
        <v/>
      </c>
      <c r="R12" s="96">
        <f>IFERROR(VLOOKUP(P12,$J$8:$L$14,3,FALSE()),"")</f>
        <v/>
      </c>
      <c r="S12" s="96">
        <f>IFERROR(S11+Q12,"")</f>
        <v/>
      </c>
      <c r="U12" s="96">
        <f>IFERROR(T12*R12,"")</f>
        <v/>
      </c>
    </row>
    <row r="13" ht="14.25" customHeight="1" s="97">
      <c r="A13" s="96" t="inlineStr">
        <is>
          <t>Step 1: Sort scenarios by Loss DESCENDING</t>
        </is>
      </c>
      <c r="L13" s="107" t="n"/>
      <c r="M13" s="96">
        <f>L13+ROW()/1000000</f>
        <v/>
      </c>
      <c r="N13" s="96">
        <f>RANK(M13,$M$8:$M$14,0)</f>
        <v/>
      </c>
      <c r="P13" s="96">
        <f>INDEX($J$8:$J$14,MATCH(5,$N$8:$N$14,0))</f>
        <v/>
      </c>
      <c r="Q13" s="96">
        <f>IFERROR(VLOOKUP(P13,$J$8:$L$14,2,FALSE()),"")</f>
        <v/>
      </c>
      <c r="R13" s="96">
        <f>IFERROR(VLOOKUP(P13,$J$8:$L$14,3,FALSE()),"")</f>
        <v/>
      </c>
      <c r="S13" s="96">
        <f>IFERROR(S12+Q13,"")</f>
        <v/>
      </c>
      <c r="U13" s="96">
        <f>IFERROR(T13*R13,"")</f>
        <v/>
      </c>
    </row>
    <row r="14" ht="14.25" customHeight="1" s="97">
      <c r="A14" s="109" t="inlineStr">
        <is>
          <t>Rank</t>
        </is>
      </c>
      <c r="B14" s="109" t="inlineStr">
        <is>
          <t>Scenario</t>
        </is>
      </c>
      <c r="C14" s="109" t="inlineStr">
        <is>
          <t>Loss</t>
        </is>
      </c>
      <c r="D14" s="109" t="inlineStr">
        <is>
          <t>p(s)</t>
        </is>
      </c>
      <c r="E14" s="109" t="inlineStr">
        <is>
          <t>Cum_p</t>
        </is>
      </c>
      <c r="F14" s="109" t="inlineStr">
        <is>
          <t>In Tail</t>
        </is>
      </c>
      <c r="G14" s="109" t="inlineStr">
        <is>
          <t>Tail_Weight</t>
        </is>
      </c>
      <c r="H14" s="109" t="inlineStr">
        <is>
          <t>Contribution</t>
        </is>
      </c>
      <c r="L14" s="107" t="n"/>
      <c r="M14" s="96">
        <f>L14+ROW()/1000000</f>
        <v/>
      </c>
      <c r="N14" s="96">
        <f>RANK(M14,$M$8:$M$14,0)</f>
        <v/>
      </c>
      <c r="P14" s="96">
        <f>INDEX($J$8:$J$14,MATCH(6,$N$8:$N$14,0))</f>
        <v/>
      </c>
      <c r="Q14" s="96">
        <f>IFERROR(VLOOKUP(P14,$J$8:$L$14,2,FALSE()),"")</f>
        <v/>
      </c>
      <c r="R14" s="96">
        <f>IFERROR(VLOOKUP(P14,$J$8:$L$14,3,FALSE()),"")</f>
        <v/>
      </c>
      <c r="S14" s="96">
        <f>IFERROR(S13+Q14,"")</f>
        <v/>
      </c>
      <c r="U14" s="96">
        <f>IFERROR(T14*R14,"")</f>
        <v/>
      </c>
    </row>
    <row r="15" ht="14.25" customHeight="1" s="97">
      <c r="A15" s="96" t="n">
        <v>1</v>
      </c>
      <c r="B15" s="96" t="inlineStr">
        <is>
          <t>S06</t>
        </is>
      </c>
      <c r="C15" s="96" t="n">
        <v>0.0235</v>
      </c>
      <c r="D15" s="96" t="n">
        <v>0.03</v>
      </c>
      <c r="E15" s="96" t="n">
        <v>0.03</v>
      </c>
      <c r="F15" s="96" t="inlineStr">
        <is>
          <t>YES</t>
        </is>
      </c>
      <c r="G15" s="96" t="n">
        <v>0.03</v>
      </c>
      <c r="H15" s="107" t="n">
        <v>0.000705</v>
      </c>
      <c r="P15" s="96">
        <f>INDEX($J$8:$J$14,MATCH(7,$N$8:$N$14,0))</f>
        <v/>
      </c>
      <c r="Q15" s="96">
        <f>IFERROR(VLOOKUP(P15,$J$8:$L$14,2,FALSE()),"")</f>
        <v/>
      </c>
      <c r="R15" s="96">
        <f>IFERROR(VLOOKUP(P15,$J$8:$L$14,3,FALSE()),"")</f>
        <v/>
      </c>
      <c r="S15" s="96">
        <f>IFERROR(S14+Q15,"")</f>
        <v/>
      </c>
      <c r="U15" s="96">
        <f>IFERROR(T15*R15,"")</f>
        <v/>
      </c>
    </row>
    <row r="16" ht="14.25" customHeight="1" s="97">
      <c r="A16" s="96" t="n">
        <v>2</v>
      </c>
      <c r="B16" s="96" t="inlineStr">
        <is>
          <t>S04</t>
        </is>
      </c>
      <c r="C16" s="96" t="n">
        <v>0.0195</v>
      </c>
      <c r="D16" s="96" t="n">
        <v>0.07000000000000001</v>
      </c>
      <c r="E16" s="96" t="n">
        <v>0.1</v>
      </c>
      <c r="F16" s="96" t="inlineStr">
        <is>
          <t>PARTIAL</t>
        </is>
      </c>
      <c r="G16" s="96" t="n">
        <v>0.02</v>
      </c>
      <c r="H16" s="96" t="n">
        <v>0.00039</v>
      </c>
    </row>
    <row r="17" ht="14.25" customHeight="1" s="97">
      <c r="A17" s="96" t="n">
        <v>3</v>
      </c>
      <c r="B17" s="96" t="inlineStr">
        <is>
          <t>S03</t>
        </is>
      </c>
      <c r="C17" s="96" t="n">
        <v>0.0175</v>
      </c>
      <c r="D17" s="96" t="n">
        <v>0.08</v>
      </c>
      <c r="E17" s="96" t="n">
        <v>0.18</v>
      </c>
      <c r="F17" s="96" t="inlineStr">
        <is>
          <t>NO</t>
        </is>
      </c>
      <c r="G17" s="96" t="n">
        <v>0</v>
      </c>
      <c r="H17" s="96" t="n">
        <v>0</v>
      </c>
    </row>
    <row r="18" ht="14.25" customHeight="1" s="97">
      <c r="A18" s="106" t="n">
        <v>4</v>
      </c>
      <c r="B18" s="96" t="inlineStr">
        <is>
          <t>S05</t>
        </is>
      </c>
      <c r="C18" s="96" t="n">
        <v>0.0135</v>
      </c>
      <c r="D18" s="96" t="n">
        <v>0.05</v>
      </c>
      <c r="E18" s="96" t="n">
        <v>0.23</v>
      </c>
      <c r="F18" s="96" t="inlineStr">
        <is>
          <t>NO</t>
        </is>
      </c>
      <c r="G18" s="96" t="n">
        <v>0</v>
      </c>
      <c r="H18" s="96" t="n">
        <v>0</v>
      </c>
      <c r="M18" s="96" t="inlineStr">
        <is>
          <t>SortKey</t>
        </is>
      </c>
      <c r="N18" s="96" t="inlineStr">
        <is>
          <t>Rank</t>
        </is>
      </c>
      <c r="P18" s="96" t="inlineStr">
        <is>
          <t>Sorted scenarios</t>
        </is>
      </c>
    </row>
    <row r="19" ht="14.25" customHeight="1" s="97">
      <c r="A19" s="148" t="n">
        <v>5</v>
      </c>
      <c r="B19" s="96" t="inlineStr">
        <is>
          <t>S07</t>
        </is>
      </c>
      <c r="C19" s="96" t="n">
        <v>0.01</v>
      </c>
      <c r="D19" s="96" t="n">
        <v>0.02</v>
      </c>
      <c r="E19" s="96" t="n">
        <v>0.25</v>
      </c>
      <c r="F19" s="96" t="inlineStr">
        <is>
          <t>NO</t>
        </is>
      </c>
      <c r="G19" s="96" t="n">
        <v>0</v>
      </c>
      <c r="H19" s="96" t="n">
        <v>0</v>
      </c>
      <c r="L19" s="107" t="n"/>
      <c r="M19" s="96">
        <f>L19+ROW()/1000000</f>
        <v/>
      </c>
      <c r="N19" s="96">
        <f>RANK(M19,$M$19:$M$25,0)</f>
        <v/>
      </c>
      <c r="P19" s="96" t="inlineStr">
        <is>
          <t>Scenario</t>
        </is>
      </c>
      <c r="Q19" s="96" t="inlineStr">
        <is>
          <t>p(s)</t>
        </is>
      </c>
      <c r="R19" s="96" t="inlineStr">
        <is>
          <t>Loss</t>
        </is>
      </c>
      <c r="S19" s="96" t="inlineStr">
        <is>
          <t>Cum_p</t>
        </is>
      </c>
      <c r="T19" s="96" t="inlineStr">
        <is>
          <t>Tail_w</t>
        </is>
      </c>
      <c r="U19" s="96" t="inlineStr">
        <is>
          <t>Tail_contrib</t>
        </is>
      </c>
    </row>
    <row r="20" ht="14.25" customHeight="1" s="97">
      <c r="A20" s="96" t="n">
        <v>6</v>
      </c>
      <c r="B20" s="96" t="inlineStr">
        <is>
          <t>S02</t>
        </is>
      </c>
      <c r="C20" s="96" t="n">
        <v>0.007</v>
      </c>
      <c r="D20" s="96" t="n">
        <v>0.15</v>
      </c>
      <c r="E20" s="96" t="n">
        <v>0.4</v>
      </c>
      <c r="F20" s="96" t="inlineStr">
        <is>
          <t>NO</t>
        </is>
      </c>
      <c r="G20" s="96" t="n">
        <v>0</v>
      </c>
      <c r="H20" s="96" t="n">
        <v>0</v>
      </c>
      <c r="L20" s="107" t="n"/>
      <c r="M20" s="96">
        <f>L20+ROW()/1000000</f>
        <v/>
      </c>
      <c r="N20" s="96">
        <f>RANK(M20,$M$19:$M$25,0)</f>
        <v/>
      </c>
      <c r="P20" s="96">
        <f>INDEX($J$19:$J$25,MATCH(1,$N$19:$N$25,0))</f>
        <v/>
      </c>
      <c r="Q20" s="96">
        <f>IFERROR(VLOOKUP(P20,$J$19:$L$25,2,FALSE()),"")</f>
        <v/>
      </c>
      <c r="R20" s="96">
        <f>IFERROR(VLOOKUP(P20,$J$19:$L$25,3,FALSE()),"")</f>
        <v/>
      </c>
      <c r="S20" s="96">
        <f>IFERROR(Q20,"")</f>
        <v/>
      </c>
      <c r="U20" s="96">
        <f>IFERROR(T20*R20,"")</f>
        <v/>
      </c>
    </row>
    <row r="21" ht="14.25" customHeight="1" s="97">
      <c r="A21" s="106" t="n">
        <v>7</v>
      </c>
      <c r="B21" s="96" t="inlineStr">
        <is>
          <t>S01</t>
        </is>
      </c>
      <c r="C21" s="96" t="n">
        <v>0</v>
      </c>
      <c r="D21" s="96" t="n">
        <v>0.6</v>
      </c>
      <c r="E21" s="96" t="n">
        <v>1</v>
      </c>
      <c r="F21" s="96" t="inlineStr">
        <is>
          <t>NO</t>
        </is>
      </c>
      <c r="G21" s="96" t="n">
        <v>0</v>
      </c>
      <c r="H21" s="96" t="n">
        <v>0</v>
      </c>
      <c r="L21" s="107" t="n"/>
      <c r="M21" s="96">
        <f>L21+ROW()/1000000</f>
        <v/>
      </c>
      <c r="N21" s="96">
        <f>RANK(M21,$M$19:$M$25,0)</f>
        <v/>
      </c>
      <c r="P21" s="96">
        <f>INDEX($J$19:$J$25,MATCH(2,$N$19:$N$25,0))</f>
        <v/>
      </c>
      <c r="Q21" s="96">
        <f>IFERROR(VLOOKUP(P21,$J$19:$L$25,2,FALSE()),"")</f>
        <v/>
      </c>
      <c r="R21" s="96">
        <f>IFERROR(VLOOKUP(P21,$J$19:$L$25,3,FALSE()),"")</f>
        <v/>
      </c>
      <c r="S21" s="96">
        <f>IFERROR(S20+Q21,"")</f>
        <v/>
      </c>
      <c r="U21" s="96">
        <f>IFERROR(T21*R21,"")</f>
        <v/>
      </c>
    </row>
    <row r="22" ht="14.25" customHeight="1" s="97">
      <c r="A22" s="106" t="n"/>
      <c r="B22" s="106" t="n"/>
      <c r="C22" s="106" t="n"/>
      <c r="D22" s="106" t="n"/>
      <c r="E22" s="106" t="n"/>
      <c r="F22" s="106" t="n"/>
      <c r="L22" s="107" t="n"/>
      <c r="M22" s="96">
        <f>L22+ROW()/1000000</f>
        <v/>
      </c>
      <c r="N22" s="96">
        <f>RANK(M22,$M$19:$M$25,0)</f>
        <v/>
      </c>
      <c r="P22" s="96">
        <f>INDEX($J$19:$J$25,MATCH(3,$N$19:$N$25,0))</f>
        <v/>
      </c>
      <c r="Q22" s="96">
        <f>IFERROR(VLOOKUP(P22,$J$19:$L$25,2,FALSE()),"")</f>
        <v/>
      </c>
      <c r="R22" s="96">
        <f>IFERROR(VLOOKUP(P22,$J$19:$L$25,3,FALSE()),"")</f>
        <v/>
      </c>
      <c r="S22" s="96">
        <f>IFERROR(S21+Q22,"")</f>
        <v/>
      </c>
      <c r="U22" s="96">
        <f>IFERROR(T22*R22,"")</f>
        <v/>
      </c>
    </row>
    <row r="23" ht="14.25" customHeight="1" s="97">
      <c r="A23" s="96" t="inlineStr">
        <is>
          <t>Step 2: CVaR_A = Σ(Contribution) / β</t>
        </is>
      </c>
      <c r="L23" s="107" t="n"/>
      <c r="M23" s="96">
        <f>L23+ROW()/1000000</f>
        <v/>
      </c>
      <c r="N23" s="96">
        <f>RANK(M23,$M$19:$M$25,0)</f>
        <v/>
      </c>
      <c r="P23" s="96">
        <f>INDEX($J$19:$J$25,MATCH(4,$N$19:$N$25,0))</f>
        <v/>
      </c>
      <c r="Q23" s="96">
        <f>IFERROR(VLOOKUP(P23,$J$19:$L$25,2,FALSE()),"")</f>
        <v/>
      </c>
      <c r="R23" s="96">
        <f>IFERROR(VLOOKUP(P23,$J$19:$L$25,3,FALSE()),"")</f>
        <v/>
      </c>
      <c r="S23" s="96">
        <f>IFERROR(S22+Q23,"")</f>
        <v/>
      </c>
      <c r="U23" s="96">
        <f>IFERROR(T23*R23,"")</f>
        <v/>
      </c>
    </row>
    <row r="24" ht="14.25" customHeight="1" s="97">
      <c r="A24" s="96" t="inlineStr">
        <is>
          <t>Sum of contributions:</t>
        </is>
      </c>
      <c r="B24" s="96" t="n">
        <v>0.001095</v>
      </c>
      <c r="L24" s="107" t="n"/>
      <c r="M24" s="96">
        <f>L24+ROW()/1000000</f>
        <v/>
      </c>
      <c r="N24" s="96">
        <f>RANK(M24,$M$19:$M$25,0)</f>
        <v/>
      </c>
      <c r="P24" s="96">
        <f>INDEX($J$19:$J$25,MATCH(5,$N$19:$N$25,0))</f>
        <v/>
      </c>
      <c r="Q24" s="96">
        <f>IFERROR(VLOOKUP(P24,$J$19:$L$25,2,FALSE()),"")</f>
        <v/>
      </c>
      <c r="R24" s="96">
        <f>IFERROR(VLOOKUP(P24,$J$19:$L$25,3,FALSE()),"")</f>
        <v/>
      </c>
      <c r="S24" s="96">
        <f>IFERROR(S23+Q24,"")</f>
        <v/>
      </c>
      <c r="U24" s="96">
        <f>IFERROR(T24*R24,"")</f>
        <v/>
      </c>
    </row>
    <row r="25" ht="14.25" customHeight="1" s="97">
      <c r="A25" s="96" t="inlineStr">
        <is>
          <t>CVaR_A:</t>
        </is>
      </c>
      <c r="B25" s="109" t="n">
        <v>0.0219</v>
      </c>
      <c r="L25" s="107" t="n"/>
      <c r="M25" s="96">
        <f>L25+ROW()/1000000</f>
        <v/>
      </c>
      <c r="N25" s="96">
        <f>RANK(M25,$M$19:$M$25,0)</f>
        <v/>
      </c>
      <c r="P25" s="96">
        <f>INDEX($J$19:$J$25,MATCH(6,$N$19:$N$25,0))</f>
        <v/>
      </c>
      <c r="Q25" s="96">
        <f>IFERROR(VLOOKUP(P25,$J$19:$L$25,2,FALSE()),"")</f>
        <v/>
      </c>
      <c r="R25" s="96">
        <f>IFERROR(VLOOKUP(P25,$J$19:$L$25,3,FALSE()),"")</f>
        <v/>
      </c>
      <c r="S25" s="96">
        <f>IFERROR(S24+Q25,"")</f>
        <v/>
      </c>
      <c r="U25" s="96">
        <f>IFERROR(T25*R25,"")</f>
        <v/>
      </c>
    </row>
    <row r="26" ht="14.25" customHeight="1" s="97">
      <c r="A26" s="96" t="inlineStr">
        <is>
          <t>Status:</t>
        </is>
      </c>
      <c r="B26" s="111" t="inlineStr">
        <is>
          <t>PASS</t>
        </is>
      </c>
      <c r="C26" s="96" t="inlineStr">
        <is>
          <t>(CVaR_A = 0.0219 ≤ τ_TRC = 0.20)</t>
        </is>
      </c>
      <c r="P26" s="96">
        <f>INDEX($J$19:$J$25,MATCH(7,$N$19:$N$25,0))</f>
        <v/>
      </c>
      <c r="Q26" s="96">
        <f>IFERROR(VLOOKUP(P26,$J$19:$L$25,2,FALSE()),"")</f>
        <v/>
      </c>
      <c r="R26" s="96">
        <f>IFERROR(VLOOKUP(P26,$J$19:$L$25,3,FALSE()),"")</f>
        <v/>
      </c>
      <c r="S26" s="96">
        <f>IFERROR(S25+Q26,"")</f>
        <v/>
      </c>
      <c r="U26" s="96">
        <f>IFERROR(T26*R26,"")</f>
        <v/>
      </c>
    </row>
    <row r="28" ht="14.25" customHeight="1" s="97">
      <c r="H28" s="107" t="n"/>
    </row>
    <row r="29" ht="14.25" customHeight="1" s="97">
      <c r="A29" s="109" t="inlineStr">
        <is>
          <t>OPTION B: CVaR COMPUTATION</t>
        </is>
      </c>
    </row>
    <row r="30" ht="14.25" customHeight="1" s="97">
      <c r="A30" s="109" t="inlineStr">
        <is>
          <t>Rank</t>
        </is>
      </c>
      <c r="B30" s="109" t="inlineStr">
        <is>
          <t>Scenario</t>
        </is>
      </c>
      <c r="C30" s="109" t="inlineStr">
        <is>
          <t>Loss</t>
        </is>
      </c>
      <c r="D30" s="109" t="inlineStr">
        <is>
          <t>p(s)</t>
        </is>
      </c>
      <c r="E30" s="109" t="inlineStr">
        <is>
          <t>Cum_p</t>
        </is>
      </c>
      <c r="F30" s="109" t="inlineStr">
        <is>
          <t>In Tail</t>
        </is>
      </c>
      <c r="G30" s="109" t="inlineStr">
        <is>
          <t>Tail_Weight</t>
        </is>
      </c>
      <c r="H30" s="109" t="inlineStr">
        <is>
          <t>Contribution</t>
        </is>
      </c>
    </row>
    <row r="31" ht="14.25" customHeight="1" s="97">
      <c r="A31" s="106" t="n">
        <v>1</v>
      </c>
      <c r="B31" s="96" t="inlineStr">
        <is>
          <t>S03</t>
        </is>
      </c>
      <c r="C31" s="96" t="n">
        <v>0.0315</v>
      </c>
      <c r="D31" s="96" t="n">
        <v>0.08</v>
      </c>
      <c r="E31" s="96" t="n">
        <v>0.08</v>
      </c>
      <c r="F31" s="96" t="inlineStr">
        <is>
          <t>PARTIAL</t>
        </is>
      </c>
      <c r="G31" s="96" t="n">
        <v>0.05</v>
      </c>
      <c r="H31" s="96" t="n">
        <v>0.001575</v>
      </c>
    </row>
    <row r="32" ht="14.25" customHeight="1" s="97">
      <c r="A32" s="148" t="n">
        <v>2</v>
      </c>
      <c r="B32" s="96" t="inlineStr">
        <is>
          <t>S04</t>
        </is>
      </c>
      <c r="C32" s="96" t="n">
        <v>0.0235</v>
      </c>
      <c r="D32" s="96" t="n">
        <v>0.07000000000000001</v>
      </c>
      <c r="E32" s="96" t="n">
        <v>0.15</v>
      </c>
      <c r="F32" s="96" t="inlineStr">
        <is>
          <t>NO</t>
        </is>
      </c>
      <c r="G32" s="96" t="n">
        <v>0</v>
      </c>
      <c r="H32" s="96" t="n">
        <v>0</v>
      </c>
    </row>
    <row r="33" ht="14.25" customHeight="1" s="97">
      <c r="A33" s="96" t="n">
        <v>3</v>
      </c>
      <c r="B33" s="96" t="inlineStr">
        <is>
          <t>S06</t>
        </is>
      </c>
      <c r="C33" s="96" t="n">
        <v>0.02175</v>
      </c>
      <c r="D33" s="96" t="n">
        <v>0.03</v>
      </c>
      <c r="E33" s="96" t="n">
        <v>0.18</v>
      </c>
      <c r="F33" s="96" t="inlineStr">
        <is>
          <t>NO</t>
        </is>
      </c>
      <c r="G33" s="96" t="n">
        <v>0</v>
      </c>
      <c r="H33" s="96" t="n">
        <v>0</v>
      </c>
    </row>
    <row r="34" ht="14.25" customHeight="1" s="97">
      <c r="A34" s="96" t="n">
        <v>4</v>
      </c>
      <c r="B34" s="96" t="inlineStr">
        <is>
          <t>S05</t>
        </is>
      </c>
      <c r="C34" s="96" t="n">
        <v>0.0135</v>
      </c>
      <c r="D34" s="96" t="n">
        <v>0.05</v>
      </c>
      <c r="E34" s="96" t="n">
        <v>0.23</v>
      </c>
      <c r="F34" s="96" t="inlineStr">
        <is>
          <t>NO</t>
        </is>
      </c>
      <c r="G34" s="96" t="n">
        <v>0</v>
      </c>
      <c r="H34" s="96" t="n">
        <v>0</v>
      </c>
    </row>
    <row r="35" ht="14.25" customHeight="1" s="97">
      <c r="A35" s="106" t="n">
        <v>5</v>
      </c>
      <c r="B35" s="96" t="inlineStr">
        <is>
          <t>S02</t>
        </is>
      </c>
      <c r="C35" s="96" t="n">
        <v>0.0105</v>
      </c>
      <c r="D35" s="96" t="n">
        <v>0.15</v>
      </c>
      <c r="E35" s="96" t="n">
        <v>0.38</v>
      </c>
      <c r="F35" s="96" t="inlineStr">
        <is>
          <t>NO</t>
        </is>
      </c>
      <c r="G35" s="96" t="n">
        <v>0</v>
      </c>
      <c r="H35" s="96" t="n">
        <v>0</v>
      </c>
    </row>
    <row r="36" ht="14.25" customHeight="1" s="97">
      <c r="A36" s="149" t="n">
        <v>6</v>
      </c>
      <c r="B36" s="96" t="inlineStr">
        <is>
          <t>S07</t>
        </is>
      </c>
      <c r="C36" s="96" t="n">
        <v>0.007</v>
      </c>
      <c r="D36" s="96" t="n">
        <v>0.02</v>
      </c>
      <c r="E36" s="96" t="n">
        <v>0.4</v>
      </c>
      <c r="F36" s="96" t="inlineStr">
        <is>
          <t>NO</t>
        </is>
      </c>
      <c r="G36" s="96" t="n">
        <v>0</v>
      </c>
      <c r="H36" s="96" t="n">
        <v>0</v>
      </c>
    </row>
    <row r="37" ht="14.25" customHeight="1" s="97">
      <c r="A37" s="96" t="n">
        <v>7</v>
      </c>
      <c r="B37" s="96" t="inlineStr">
        <is>
          <t>S01</t>
        </is>
      </c>
      <c r="C37" s="96" t="n">
        <v>0.003574</v>
      </c>
      <c r="D37" s="96" t="n">
        <v>0.6</v>
      </c>
      <c r="E37" s="96" t="n">
        <v>1</v>
      </c>
      <c r="F37" s="96" t="inlineStr">
        <is>
          <t>NO</t>
        </is>
      </c>
      <c r="G37" s="96" t="n">
        <v>0</v>
      </c>
      <c r="H37" s="96" t="n">
        <v>0</v>
      </c>
    </row>
    <row r="38" ht="14.25" customHeight="1" s="97">
      <c r="A38" s="150" t="n"/>
    </row>
    <row r="39" ht="14.25" customHeight="1" s="97">
      <c r="A39" s="96" t="inlineStr">
        <is>
          <t>Step 2: CVaR_B = Σ(Contribution) / β</t>
        </is>
      </c>
    </row>
    <row r="40" ht="14.25" customHeight="1" s="97">
      <c r="A40" s="96" t="inlineStr">
        <is>
          <t>Sum of contributions:</t>
        </is>
      </c>
      <c r="B40" s="96" t="n">
        <v>0.001575</v>
      </c>
    </row>
    <row r="41" ht="14.25" customHeight="1" s="97">
      <c r="A41" s="96" t="inlineStr">
        <is>
          <t>CVaR_B:</t>
        </is>
      </c>
      <c r="B41" s="109" t="n">
        <v>0.0315</v>
      </c>
    </row>
    <row r="42" ht="14.25" customHeight="1" s="97">
      <c r="A42" s="96" t="inlineStr">
        <is>
          <t>Status:</t>
        </is>
      </c>
      <c r="B42" s="111" t="inlineStr">
        <is>
          <t>PASS</t>
        </is>
      </c>
      <c r="C42" s="96" t="inlineStr">
        <is>
          <t>(CVaR_B = 0.0315 ≤ τ_TRC = 0.20)</t>
        </is>
      </c>
    </row>
    <row r="43" ht="14.25" customHeight="1" s="97">
      <c r="A43" s="96">
        <f>IF(Dashboard!$B$36="YES","  2nd: Option "&amp;IF($H$15&lt;=$H$28,"B","A")&amp;" (CVaR = "&amp;TEXT(MAX($H$15,$H$28),"0.000")&amp;")","")</f>
        <v/>
      </c>
    </row>
    <row r="45" ht="14.25" customHeight="1" s="97">
      <c r="A45" s="151" t="inlineStr">
        <is>
          <t>TRC OUTCOME</t>
        </is>
      </c>
    </row>
    <row r="46" ht="14.25" customHeight="1" s="97">
      <c r="A46" s="96" t="inlineStr">
        <is>
          <t>A_adm = {A, B}</t>
        </is>
      </c>
    </row>
    <row r="47" ht="14.25" customHeight="1" s="97">
      <c r="A47" s="96" t="inlineStr">
        <is>
          <t>TRC Mode: NORMAL (both options pass)</t>
        </is>
      </c>
    </row>
    <row r="48" ht="14.25" customHeight="1" s="97">
      <c r="A48" s="96" t="inlineStr">
        <is>
          <t>Cascade proceeds to Containment (Level 3)</t>
        </is>
      </c>
    </row>
    <row r="51" ht="13.5" customHeight="1" s="97"/>
    <row r="52" ht="14.25" customHeight="1" s="97">
      <c r="A52" s="150" t="n"/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L36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LEVEL 3: CONTAINMENT CONSTRAINT (Tier 2 proxy: union-score diagnostic)</t>
        </is>
      </c>
    </row>
    <row r="2" ht="14.25" customHeight="1" s="97">
      <c r="J2" s="96" t="inlineStr">
        <is>
          <t>Containment computed</t>
        </is>
      </c>
    </row>
    <row r="3" ht="14.25" customHeight="1" s="97">
      <c r="A3" s="96" t="inlineStr">
        <is>
          <t>Reference: Section 9.0 (Full ΔUCI containment is Tier 3+ binding; Tier 2 uses proxy display here) [v9.6.4]</t>
        </is>
      </c>
      <c r="J3" s="96" t="inlineStr">
        <is>
          <t>θ_pos</t>
        </is>
      </c>
      <c r="K3" s="96">
        <f>CANON!B23</f>
        <v/>
      </c>
    </row>
    <row r="4" ht="14.25" customHeight="1" s="97">
      <c r="A4" s="96">
        <f>"θ_pos = "&amp;TEXT(Parameters!$B$28,"0.00")&amp;" | τ_c = "&amp;TEXT(Parameters!$B$27,"0.00")</f>
        <v/>
      </c>
      <c r="J4" s="96" t="inlineStr">
        <is>
          <t>τ_c</t>
        </is>
      </c>
      <c r="K4" s="96">
        <f>CANON!B24</f>
        <v/>
      </c>
    </row>
    <row r="5" ht="14.25" customHeight="1" s="97">
      <c r="A5" s="149">
        <f>IF(Dashboard!$B$36="YES","NOTE: Informational only (TRC fallback active).","NOTE: Normal mode (containment evaluated for admissible options).")</f>
        <v/>
      </c>
      <c r="J5" s="96" t="inlineStr">
        <is>
          <t>Union Scope</t>
        </is>
      </c>
      <c r="K5" s="96" t="inlineStr">
        <is>
          <t>S_u(A)</t>
        </is>
      </c>
      <c r="L5" s="96" t="inlineStr">
        <is>
          <t>S_u(B)</t>
        </is>
      </c>
    </row>
    <row r="6" ht="14.25" customHeight="1" s="97">
      <c r="J6" s="96" t="inlineStr">
        <is>
          <t>U1</t>
        </is>
      </c>
      <c r="K6" s="96">
        <f>(I_prop!B7+I_prop!C7+I_prop!D7+I_prop!E7+I_prop!F7+I_prop!G7+I_prop!H7)/7</f>
        <v/>
      </c>
      <c r="L6" s="96">
        <f>(I_prop!B18+I_prop!C18+I_prop!D18+I_prop!E18+I_prop!F18+I_prop!G18+I_prop!H18)/7</f>
        <v/>
      </c>
    </row>
    <row r="7" ht="14.25" customHeight="1" s="97">
      <c r="A7" s="106" t="inlineStr">
        <is>
          <t>OPTION A: UNION SCORES</t>
        </is>
      </c>
      <c r="J7" s="96" t="inlineStr">
        <is>
          <t>U2</t>
        </is>
      </c>
      <c r="K7" s="96">
        <f>(I_prop!B8+I_prop!C8+I_prop!D8+I_prop!E8+I_prop!F8+I_prop!G8+I_prop!H8)/7</f>
        <v/>
      </c>
      <c r="L7" s="96">
        <f>(I_prop!B19+I_prop!C19+I_prop!D19+I_prop!E19+I_prop!F19+I_prop!G19+I_prop!H19)/7</f>
        <v/>
      </c>
    </row>
    <row r="8" ht="14.25" customHeight="1" s="97">
      <c r="A8" s="106" t="inlineStr">
        <is>
          <t>Union Scope</t>
        </is>
      </c>
      <c r="B8" s="106" t="n">
        <v>0.056</v>
      </c>
      <c r="C8" s="106" t="inlineStr">
        <is>
          <t>YES</t>
        </is>
      </c>
      <c r="J8" s="96" t="inlineStr">
        <is>
          <t>U3</t>
        </is>
      </c>
      <c r="K8" s="96">
        <f>(I_prop!B9+I_prop!C9+I_prop!D9+I_prop!E9+I_prop!F9+I_prop!G9+I_prop!H9)/7</f>
        <v/>
      </c>
      <c r="L8" s="96">
        <f>(I_prop!B20+I_prop!C20+I_prop!D20+I_prop!E20+I_prop!F20+I_prop!G20+I_prop!H20)/7</f>
        <v/>
      </c>
    </row>
    <row r="9" ht="14.25" customHeight="1" s="97">
      <c r="A9" s="96" t="inlineStr">
        <is>
          <t>U1</t>
        </is>
      </c>
      <c r="B9" s="107" t="n">
        <v>0.0066</v>
      </c>
      <c r="C9" s="96" t="inlineStr">
        <is>
          <t>NO</t>
        </is>
      </c>
      <c r="J9" s="96" t="inlineStr">
        <is>
          <t>U4</t>
        </is>
      </c>
      <c r="K9" s="96">
        <f>(I_prop!B10+I_prop!C10+I_prop!D10+I_prop!E10+I_prop!F10+I_prop!G10+I_prop!H10)/7</f>
        <v/>
      </c>
      <c r="L9" s="96">
        <f>(I_prop!B21+I_prop!C21+I_prop!D21+I_prop!E21+I_prop!F21+I_prop!G21+I_prop!H21)/7</f>
        <v/>
      </c>
    </row>
    <row r="10" ht="14.25" customHeight="1" s="97">
      <c r="A10" s="96" t="inlineStr">
        <is>
          <t>U2</t>
        </is>
      </c>
      <c r="B10" s="107" t="n">
        <v>-0.0144</v>
      </c>
      <c r="C10" s="96" t="inlineStr">
        <is>
          <t>NO</t>
        </is>
      </c>
      <c r="J10" s="96" t="inlineStr">
        <is>
          <t>U5</t>
        </is>
      </c>
      <c r="K10" s="96">
        <f>(I_prop!B11+I_prop!C11+I_prop!D11+I_prop!E11+I_prop!F11+I_prop!G11+I_prop!H11)/7</f>
        <v/>
      </c>
      <c r="L10" s="96">
        <f>(I_prop!B22+I_prop!C22+I_prop!D22+I_prop!E22+I_prop!F22+I_prop!G22+I_prop!H22)/7</f>
        <v/>
      </c>
    </row>
    <row r="11" ht="14.25" customHeight="1" s="97">
      <c r="A11" s="96" t="inlineStr">
        <is>
          <t>U3</t>
        </is>
      </c>
      <c r="B11" s="107" t="n">
        <v>-0.0122</v>
      </c>
      <c r="C11" s="96" t="inlineStr">
        <is>
          <t>NO</t>
        </is>
      </c>
      <c r="J11" s="96" t="inlineStr">
        <is>
          <t>U6</t>
        </is>
      </c>
      <c r="K11" s="96">
        <f>(I_prop!B12+I_prop!C12+I_prop!D12+I_prop!E12+I_prop!F12+I_prop!G12+I_prop!H12)/7</f>
        <v/>
      </c>
      <c r="L11" s="96">
        <f>(I_prop!B23+I_prop!C23+I_prop!D23+I_prop!E23+I_prop!F23+I_prop!G23+I_prop!H23)/7</f>
        <v/>
      </c>
    </row>
    <row r="12" ht="14.25" customHeight="1" s="97">
      <c r="A12" s="96" t="inlineStr">
        <is>
          <t>U4</t>
        </is>
      </c>
      <c r="B12" s="107" t="n">
        <v>0</v>
      </c>
      <c r="C12" s="96" t="inlineStr">
        <is>
          <t>NO</t>
        </is>
      </c>
      <c r="J12" s="96" t="inlineStr">
        <is>
          <t>U7</t>
        </is>
      </c>
      <c r="K12" s="96">
        <f>(I_prop!B13+I_prop!C13+I_prop!D13+I_prop!E13+I_prop!F13+I_prop!G13+I_prop!H13)/7</f>
        <v/>
      </c>
      <c r="L12" s="96">
        <f>(I_prop!B24+I_prop!C24+I_prop!D24+I_prop!E24+I_prop!F24+I_prop!G24+I_prop!H24)/7</f>
        <v/>
      </c>
    </row>
    <row r="13" ht="14.25" customHeight="1" s="97">
      <c r="A13" s="96" t="inlineStr">
        <is>
          <t>U5</t>
        </is>
      </c>
      <c r="B13" s="107" t="n">
        <v>0</v>
      </c>
      <c r="C13" s="96" t="inlineStr">
        <is>
          <t>NO</t>
        </is>
      </c>
    </row>
    <row r="14" ht="14.25" customHeight="1" s="97">
      <c r="A14" s="96" t="inlineStr">
        <is>
          <t>U6</t>
        </is>
      </c>
      <c r="B14" s="107" t="n">
        <v>0.0022</v>
      </c>
      <c r="C14" s="96" t="inlineStr">
        <is>
          <t>NO</t>
        </is>
      </c>
      <c r="J14" s="96" t="inlineStr">
        <is>
          <t>Containment_Status_A</t>
        </is>
      </c>
      <c r="K14" s="96">
        <f>IF(COUNTIF($K$6:$K$12,"&gt;="&amp;$K$3)=0,"PASS (vacuous)",IF(0&gt;=$K$4,"PASS","FAIL"))</f>
        <v/>
      </c>
    </row>
    <row r="15" ht="14.25" customHeight="1" s="97">
      <c r="A15" s="96" t="inlineStr">
        <is>
          <t>U7</t>
        </is>
      </c>
      <c r="B15" s="107" t="n"/>
      <c r="C15" s="96" t="inlineStr">
        <is>
          <t>NO</t>
        </is>
      </c>
      <c r="J15" s="96" t="inlineStr">
        <is>
          <t>Containment_Status_B</t>
        </is>
      </c>
      <c r="K15" s="96">
        <f>IF(COUNTIF($L$6:$L$12,"&gt;="&amp;$K$3)=0,"PASS (vacuous)",IF(0&gt;=$K$4,"PASS","FAIL"))</f>
        <v/>
      </c>
    </row>
    <row r="16" ht="14.25" customHeight="1" s="97">
      <c r="A16" s="96" t="inlineStr">
        <is>
          <t>U_pos(A) = {U1} (U1 ≥ 0.05)</t>
        </is>
      </c>
    </row>
    <row r="18" ht="14.25" customHeight="1" s="97">
      <c r="A18" s="111" t="inlineStr">
        <is>
          <t>Containment_A: PASS (vacuous)</t>
        </is>
      </c>
    </row>
    <row r="19" ht="13.5" customHeight="1" s="97"/>
    <row r="20" ht="14.25" customHeight="1" s="97">
      <c r="A20" s="106" t="inlineStr">
        <is>
          <t>OPTION B: UNION SCORES</t>
        </is>
      </c>
    </row>
    <row r="21" ht="14.25" customHeight="1" s="97">
      <c r="A21" s="106" t="inlineStr">
        <is>
          <t>Union Scope</t>
        </is>
      </c>
      <c r="B21" s="106" t="n">
        <v>-0.0066</v>
      </c>
      <c r="C21" s="106" t="inlineStr">
        <is>
          <t>NO</t>
        </is>
      </c>
    </row>
    <row r="22" ht="14.25" customHeight="1" s="97">
      <c r="A22" s="96" t="inlineStr">
        <is>
          <t>U1</t>
        </is>
      </c>
      <c r="B22" s="96" t="n">
        <v>-0.0026</v>
      </c>
      <c r="C22" s="96" t="inlineStr">
        <is>
          <t>NO</t>
        </is>
      </c>
    </row>
    <row r="23" ht="14.25" customHeight="1" s="97">
      <c r="A23" s="96" t="inlineStr">
        <is>
          <t>U2</t>
        </is>
      </c>
      <c r="B23" s="96" t="n">
        <v>0.0107</v>
      </c>
      <c r="C23" s="96" t="inlineStr">
        <is>
          <t>NO</t>
        </is>
      </c>
    </row>
    <row r="24" ht="14.25" customHeight="1" s="97">
      <c r="A24" s="96" t="inlineStr">
        <is>
          <t>U3</t>
        </is>
      </c>
      <c r="B24" s="107" t="n">
        <v>0.0015</v>
      </c>
      <c r="C24" s="96" t="inlineStr">
        <is>
          <t>NO</t>
        </is>
      </c>
    </row>
    <row r="25" ht="14.25" customHeight="1" s="97">
      <c r="A25" s="96" t="inlineStr">
        <is>
          <t>U4</t>
        </is>
      </c>
      <c r="B25" s="107" t="n">
        <v>0</v>
      </c>
      <c r="C25" s="96" t="inlineStr">
        <is>
          <t>NO</t>
        </is>
      </c>
    </row>
    <row r="26" ht="14.25" customHeight="1" s="97">
      <c r="A26" s="96" t="inlineStr">
        <is>
          <t>U5</t>
        </is>
      </c>
      <c r="B26" s="107" t="n">
        <v>0</v>
      </c>
      <c r="C26" s="96" t="inlineStr">
        <is>
          <t>NO</t>
        </is>
      </c>
    </row>
    <row r="27" ht="14.25" customHeight="1" s="97">
      <c r="A27" s="96" t="inlineStr">
        <is>
          <t>U6</t>
        </is>
      </c>
      <c r="B27" s="107" t="n">
        <v>-0.0015</v>
      </c>
      <c r="C27" s="96" t="inlineStr">
        <is>
          <t>NO</t>
        </is>
      </c>
    </row>
    <row r="28" ht="14.25" customHeight="1" s="97">
      <c r="A28" s="96" t="inlineStr">
        <is>
          <t>U7</t>
        </is>
      </c>
      <c r="B28" s="107" t="n"/>
      <c r="C28" s="96" t="inlineStr">
        <is>
          <t>NO</t>
        </is>
      </c>
    </row>
    <row r="29" ht="14.25" customHeight="1" s="97">
      <c r="A29" s="96" t="inlineStr">
        <is>
          <t>U_pos(B) = ∅ (no union ≥ 0.05)</t>
        </is>
      </c>
      <c r="B29" s="107" t="n"/>
    </row>
    <row r="30" ht="14.25" customHeight="1" s="97">
      <c r="A30" s="96" t="inlineStr">
        <is>
          <t>Containment_B: PASS (vacuous)</t>
        </is>
      </c>
      <c r="B30" s="107" t="n"/>
    </row>
    <row r="31" ht="14.25" customHeight="1" s="97">
      <c r="A31" s="111" t="inlineStr">
        <is>
          <t>Containment_B: PASS (vacuous)</t>
        </is>
      </c>
    </row>
    <row r="32" ht="14.25" customHeight="1" s="97">
      <c r="A32" s="96" t="inlineStr">
        <is>
          <t>CONTAINMENT OUTCOME</t>
        </is>
      </c>
    </row>
    <row r="33" ht="14.25" customHeight="1" s="97">
      <c r="A33" s="106" t="inlineStr">
        <is>
          <t>A_sel (Selectable): {A, B}</t>
        </is>
      </c>
    </row>
    <row r="34" ht="14.25" customHeight="1" s="97">
      <c r="A34" s="96" t="inlineStr">
        <is>
          <t>Cascade proceeds to RLS (Level 4)</t>
        </is>
      </c>
    </row>
    <row r="35" ht="14.25" customHeight="1" s="97">
      <c r="A35" s="96">
        <f>IF(Dashboard!$B$36="YES","NOTE: Informational only (TRC fallback active).","NOTE: Normal mode (containment evaluated for admissible options).")</f>
        <v/>
      </c>
    </row>
    <row r="36" ht="14.25" customHeight="1" s="97">
      <c r="A36" s="149" t="n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63"/>
  <sheetViews>
    <sheetView showGridLines="1" workbookViewId="0">
      <selection activeCell="A1" sqref="A1"/>
    </sheetView>
  </sheetViews>
  <sheetFormatPr baseColWidth="8" defaultColWidth="8.66796875" defaultRowHeight="12.75"/>
  <cols>
    <col width="46" customWidth="1" style="104" min="1" max="1"/>
  </cols>
  <sheetData>
    <row r="1" ht="14.25" customHeight="1" s="97">
      <c r="A1" s="124" t="inlineStr">
        <is>
          <t>LEVEL 4: RIPPLELOGIC SCORE</t>
        </is>
      </c>
    </row>
    <row r="2" ht="13.5" customHeight="1" s="97"/>
    <row r="3" ht="14.25" customHeight="1" s="97">
      <c r="A3" s="96" t="inlineStr">
        <is>
          <t>Reference: RippleLogic v9.6.4 Section 10.0</t>
        </is>
      </c>
    </row>
    <row r="4" ht="14.25" customHeight="1" s="97">
      <c r="A4" s="96" t="inlineStr">
        <is>
          <t>RLS = Σ_u Σ_d w_u × v_d × m(u,d) × κ(u,d) × I_prop_welfare(u,d,a)</t>
        </is>
      </c>
    </row>
    <row r="5" ht="14.25" customHeight="1" s="97">
      <c r="A5" s="149" t="inlineStr">
        <is>
          <t>RLS(A)</t>
        </is>
      </c>
      <c r="B5" s="107">
        <f>B61</f>
        <v/>
      </c>
    </row>
    <row r="6" ht="14.25" customHeight="1" s="97">
      <c r="A6" s="96" t="inlineStr">
        <is>
          <t>RLS(B)</t>
        </is>
      </c>
      <c r="B6" s="107">
        <f>B62</f>
        <v/>
      </c>
      <c r="C6" s="107">
        <f>B61</f>
        <v/>
      </c>
    </row>
    <row r="7" ht="14.25" customHeight="1" s="97">
      <c r="A7" s="106" t="inlineStr">
        <is>
          <t>Preferred option</t>
        </is>
      </c>
      <c r="B7" s="96">
        <f>IF(B61&gt;B62,"A",IF(B62&gt;B61,"B","TIE"))</f>
        <v/>
      </c>
      <c r="C7" s="107" t="n"/>
    </row>
    <row r="8" ht="13.5" customHeight="1" s="97"/>
    <row r="9" ht="14.25" customHeight="1" s="97">
      <c r="A9" s="96" t="inlineStr">
        <is>
          <t>Union-Dimension Contributions:</t>
        </is>
      </c>
    </row>
    <row r="10" ht="14.25" customHeight="1" s="97">
      <c r="A10" s="96" t="inlineStr">
        <is>
          <t>U1-D5</t>
        </is>
      </c>
      <c r="B10" s="96" t="n">
        <v>0.138</v>
      </c>
      <c r="C10" s="152" t="n">
        <v>0.00282</v>
      </c>
    </row>
    <row r="11" ht="14.25" customHeight="1" s="97">
      <c r="A11" s="96" t="inlineStr">
        <is>
          <t>U1-D6</t>
        </is>
      </c>
      <c r="B11" s="96" t="n">
        <v>0.098</v>
      </c>
      <c r="C11" s="152" t="n">
        <v>0.002</v>
      </c>
    </row>
    <row r="12" ht="14.25" customHeight="1" s="97">
      <c r="A12" s="96" t="inlineStr">
        <is>
          <t>U2-D1</t>
        </is>
      </c>
      <c r="B12" s="107">
        <f>INDEX(I_prop!$B$7:$H$13, MATCH("U2", I_prop!$A$7:$A$13,0), MATCH("D1", I_prop!$B$6:$H$6,0))</f>
        <v/>
      </c>
      <c r="C12" s="152" t="n"/>
    </row>
    <row r="13" ht="14.25" customHeight="1" s="97">
      <c r="A13" s="96" t="inlineStr">
        <is>
          <t>U3-D1</t>
        </is>
      </c>
      <c r="B13" s="107">
        <f>INDEX(I_prop!$B$7:$H$13, MATCH("U3", I_prop!$A$7:$A$13,0), MATCH("D1", I_prop!$B$6:$H$6,0))</f>
        <v/>
      </c>
      <c r="C13" s="152" t="n"/>
    </row>
    <row r="14" ht="14.25" customHeight="1" s="97">
      <c r="A14" s="96" t="inlineStr">
        <is>
          <t>U3-D3</t>
        </is>
      </c>
      <c r="B14" s="107">
        <f>INDEX(I_prop!$B$7:$H$13, MATCH("U3", I_prop!$A$7:$A$13,0), MATCH("D3", I_prop!$B$6:$H$6,0))</f>
        <v/>
      </c>
      <c r="C14" s="152" t="n"/>
    </row>
    <row r="15" ht="14.25" customHeight="1" s="97">
      <c r="A15" s="96" t="inlineStr">
        <is>
          <t>U4-D1</t>
        </is>
      </c>
      <c r="B15" s="107">
        <f>INDEX(I_prop!$B$7:$H$13, MATCH("U4", I_prop!$A$7:$A$13,0), MATCH("D1", I_prop!$B$6:$H$6,0))</f>
        <v/>
      </c>
      <c r="C15" s="152" t="n"/>
    </row>
    <row r="16" ht="14.25" customHeight="1" s="97">
      <c r="A16" s="96" t="inlineStr">
        <is>
          <t>U7-D7</t>
        </is>
      </c>
      <c r="B16" s="107">
        <f>INDEX(I_prop!$B$7:$H$13, MATCH("U7", I_prop!$A$7:$A$13,0), MATCH("D7", I_prop!$B$6:$H$6,0))</f>
        <v/>
      </c>
      <c r="C16" s="152" t="n"/>
    </row>
    <row r="17" ht="14.25" customHeight="1" s="97">
      <c r="A17" s="96" t="inlineStr">
        <is>
          <t>Displayed RLS(A)</t>
        </is>
      </c>
      <c r="B17" s="104">
        <f>B61</f>
        <v/>
      </c>
    </row>
    <row r="18" ht="14.25" customHeight="1" s="97">
      <c r="A18" s="117" t="n"/>
    </row>
    <row r="19" ht="13.5" customHeight="1" s="97"/>
    <row r="20" ht="13.5" customHeight="1" s="97"/>
    <row r="21" ht="14.25" customHeight="1" s="97">
      <c r="A21" s="106" t="inlineStr">
        <is>
          <t>OPTION B RLS COMPUTATION</t>
        </is>
      </c>
    </row>
    <row r="22" ht="14.25" customHeight="1" s="97">
      <c r="A22" s="96" t="inlineStr">
        <is>
          <t>U1-D5</t>
        </is>
      </c>
      <c r="B22" s="96" t="n">
        <v>-0.073</v>
      </c>
      <c r="C22" s="152" t="n">
        <v>-0.00149</v>
      </c>
    </row>
    <row r="23" ht="14.25" customHeight="1" s="97">
      <c r="A23" s="96" t="inlineStr">
        <is>
          <t>U2-D1</t>
        </is>
      </c>
      <c r="B23" s="107">
        <f>INDEX(I_prop!$B$18:$H$24, MATCH("U2", I_prop!$A$18:$A$24,0), MATCH("D1", I_prop!$B$17:$H$17,0))</f>
        <v/>
      </c>
      <c r="C23" s="152" t="n"/>
    </row>
    <row r="24" ht="14.25" customHeight="1" s="97">
      <c r="A24" s="96" t="inlineStr">
        <is>
          <t>U3-D1</t>
        </is>
      </c>
      <c r="B24" s="107">
        <f>INDEX(I_prop!$B$18:$H$24, MATCH("U3", I_prop!$A$18:$A$24,0), MATCH("D1", I_prop!$B$17:$H$17,0))</f>
        <v/>
      </c>
      <c r="C24" s="152" t="n"/>
    </row>
    <row r="25" ht="14.25" customHeight="1" s="97">
      <c r="A25" s="96" t="inlineStr">
        <is>
          <t>U3-D3</t>
        </is>
      </c>
      <c r="B25" s="107">
        <f>INDEX(I_prop!$B$18:$H$24, MATCH("U3", I_prop!$A$18:$A$24,0), MATCH("D3", I_prop!$B$17:$H$17,0))</f>
        <v/>
      </c>
      <c r="C25" s="152" t="n"/>
    </row>
    <row r="26" ht="14.25" customHeight="1" s="97">
      <c r="A26" s="96" t="inlineStr">
        <is>
          <t>U4-D1</t>
        </is>
      </c>
      <c r="B26" s="107">
        <f>INDEX(I_prop!$B$18:$H$24, MATCH("U4", I_prop!$A$18:$A$24,0), MATCH("D1", I_prop!$B$17:$H$17,0))</f>
        <v/>
      </c>
      <c r="C26" s="152" t="n"/>
    </row>
    <row r="27" ht="14.25" customHeight="1" s="97">
      <c r="A27" s="96" t="inlineStr">
        <is>
          <t>U7-D7</t>
        </is>
      </c>
      <c r="B27" s="107">
        <f>INDEX(I_prop!$B$18:$H$24, MATCH("U7", I_prop!$A$18:$A$24,0), MATCH("D7", I_prop!$B$17:$H$17,0))</f>
        <v/>
      </c>
      <c r="C27" s="152" t="n"/>
    </row>
    <row r="28" ht="14.25" customHeight="1" s="97">
      <c r="A28" s="96" t="inlineStr">
        <is>
          <t>Displayed RLS(B)</t>
        </is>
      </c>
      <c r="B28" s="104">
        <f>B62</f>
        <v/>
      </c>
    </row>
    <row r="29" ht="14.25" customHeight="1" s="97">
      <c r="A29" s="117" t="n"/>
    </row>
    <row r="30" ht="13.5" customHeight="1" s="97"/>
    <row r="31" ht="13.5" customHeight="1" s="97"/>
    <row r="32" ht="14.25" customHeight="1" s="97">
      <c r="A32" s="106" t="inlineStr">
        <is>
          <t>RLS COMPARISON</t>
        </is>
      </c>
    </row>
    <row r="33" ht="14.25" customHeight="1" s="97">
      <c r="A33" s="96" t="inlineStr">
        <is>
          <t>RLS(A)</t>
        </is>
      </c>
      <c r="B33" s="104">
        <f>B61</f>
        <v/>
      </c>
    </row>
    <row r="34" ht="14.25" customHeight="1" s="97">
      <c r="A34" s="96" t="inlineStr">
        <is>
          <t>RLS(B)</t>
        </is>
      </c>
      <c r="B34" s="104">
        <f>B62</f>
        <v/>
      </c>
    </row>
    <row r="35" ht="14.25" customHeight="1" s="97">
      <c r="A35" s="96" t="inlineStr">
        <is>
          <t>Gap</t>
        </is>
      </c>
      <c r="B35" s="104">
        <f>ABS(B61-B62)</f>
        <v/>
      </c>
    </row>
    <row r="36" ht="14.25" customHeight="1" s="97">
      <c r="A36" s="96" t="inlineStr">
        <is>
          <t>σ_est</t>
        </is>
      </c>
      <c r="B36" s="104">
        <f>CANON!B26</f>
        <v/>
      </c>
    </row>
    <row r="37" ht="14.25" customHeight="1" s="97">
      <c r="A37" s="96">
        <f>"Gap/√(2σ²+ε) = "&amp;TEXT(ABS(CANON!B63-CANON!B64)/SQRT(2*CANON!B26^2+0.000001),"0.000")&amp;" &lt; δ = "&amp;TEXT(CANON!B22,"0.###")</f>
        <v/>
      </c>
    </row>
    <row r="38" ht="14.25" customHeight="1" s="97">
      <c r="A38" s="96" t="inlineStr">
        <is>
          <t>RLS outcome</t>
        </is>
      </c>
      <c r="B38" s="104">
        <f>IF(AND(CANON!B10&gt;=2,ABS(CANON!B63-CANON!B64)/SQRT(2*CANON!B26^2+0.000001)&lt;CANON!B22),"NON-DECISIVE","DECISIVE")</f>
        <v/>
      </c>
    </row>
    <row r="39" ht="14.25" customHeight="1" s="97">
      <c r="A39" s="149" t="inlineStr">
        <is>
          <t>Higher RLS</t>
        </is>
      </c>
      <c r="B39" s="104">
        <f>IF(B61&gt;B62,"Option A",IF(B62&gt;B61,"Option B","Tie"))&amp;IF(B38="NON-DECISIVE"," (proceed to tie-break)","")</f>
        <v/>
      </c>
    </row>
    <row r="40" ht="13.5" customHeight="1" s="97"/>
    <row r="41" ht="14.25" customHeight="1" s="97">
      <c r="A41" s="106" t="inlineStr">
        <is>
          <t>RLS OUTCOME</t>
        </is>
      </c>
    </row>
    <row r="42" ht="14.25" customHeight="1" s="97">
      <c r="A42" s="96" t="inlineStr">
        <is>
          <t>Selection interpretation</t>
        </is>
      </c>
      <c r="B42" s="104">
        <f>"RLS would favor "&amp;IF(B61&gt;B62,"A",IF(B62&gt;B61,"B","TIE"))&amp;IF(B38="NON-DECISIVE"," (higher score) but gap not decisive"," decisively")</f>
        <v/>
      </c>
    </row>
    <row r="43" ht="14.25" customHeight="1" s="97">
      <c r="A43" s="149" t="n"/>
    </row>
    <row r="44" ht="14.25" customHeight="1" s="97">
      <c r="A44" s="96" t="inlineStr">
        <is>
          <t>Per Section 10.0: RLS MUST NEVER override NCRC or TRC</t>
        </is>
      </c>
    </row>
    <row r="45" ht="13.5" customHeight="1" s="97"/>
    <row r="46" ht="13.5" customHeight="1" s="97"/>
    <row r="47" ht="13.5" customHeight="1" s="97"/>
    <row r="48" ht="13.5" customHeight="1" s="97"/>
    <row r="49" ht="13.5" customHeight="1" s="97"/>
    <row r="50" ht="24" customHeight="1" s="97">
      <c r="A50" s="142" t="inlineStr">
        <is>
          <t>ARCHIVE CALC BLOCK (legacy transparency view; non-controlling)</t>
        </is>
      </c>
    </row>
    <row r="51" ht="27.75" customHeight="1" s="97">
      <c r="A51" s="142" t="inlineStr">
        <is>
          <t>Canonical RLS values for this run are the live values shown in the summary rows of this sheet and in CANON.</t>
        </is>
      </c>
      <c r="B51" s="96" t="inlineStr">
        <is>
          <t>D1</t>
        </is>
      </c>
      <c r="C51" s="96" t="inlineStr">
        <is>
          <t>D2</t>
        </is>
      </c>
      <c r="D51" s="96" t="inlineStr">
        <is>
          <t>D3</t>
        </is>
      </c>
      <c r="E51" s="96" t="inlineStr">
        <is>
          <t>D4</t>
        </is>
      </c>
      <c r="F51" s="96" t="inlineStr">
        <is>
          <t>D5</t>
        </is>
      </c>
      <c r="G51" s="96" t="inlineStr">
        <is>
          <t>D6</t>
        </is>
      </c>
      <c r="H51" s="96" t="inlineStr">
        <is>
          <t>D7</t>
        </is>
      </c>
      <c r="I51" s="96" t="inlineStr">
        <is>
          <t>w_u</t>
        </is>
      </c>
    </row>
    <row r="52" ht="14.25" customHeight="1" s="97">
      <c r="A52" s="96" t="inlineStr">
        <is>
          <t>Union Scope</t>
        </is>
      </c>
      <c r="B52" s="107">
        <f>Parameters!$B$48</f>
        <v/>
      </c>
      <c r="C52" s="107">
        <f>Parameters!$B$49</f>
        <v/>
      </c>
      <c r="D52" s="107">
        <f>Parameters!$B$50</f>
        <v/>
      </c>
      <c r="E52" s="107">
        <f>Parameters!$B$51</f>
        <v/>
      </c>
      <c r="F52" s="107">
        <f>Parameters!$B$52</f>
        <v/>
      </c>
      <c r="G52" s="107">
        <f>Parameters!$B$53</f>
        <v/>
      </c>
      <c r="H52" s="107">
        <f>Parameters!$B$54</f>
        <v/>
      </c>
    </row>
    <row r="53" ht="14.25" customHeight="1" s="97">
      <c r="A53" s="96" t="inlineStr">
        <is>
          <t>U1</t>
        </is>
      </c>
      <c r="B53" s="107">
        <f>$I53*B52</f>
        <v/>
      </c>
      <c r="C53" s="107">
        <f>$I53*C52</f>
        <v/>
      </c>
      <c r="D53" s="107">
        <f>$I53*D52</f>
        <v/>
      </c>
      <c r="E53" s="107">
        <f>$I53*E52</f>
        <v/>
      </c>
      <c r="F53" s="107">
        <f>$I53*F52</f>
        <v/>
      </c>
      <c r="G53" s="107">
        <f>$I53*G52</f>
        <v/>
      </c>
      <c r="H53" s="107">
        <f>$I53*H52</f>
        <v/>
      </c>
      <c r="I53" s="107">
        <f>Parameters!$B$38</f>
        <v/>
      </c>
    </row>
    <row r="54" ht="14.25" customHeight="1" s="97">
      <c r="A54" s="96" t="inlineStr">
        <is>
          <t>U2</t>
        </is>
      </c>
      <c r="B54" s="107">
        <f>$I54*B52</f>
        <v/>
      </c>
      <c r="C54" s="107">
        <f>$I54*C52</f>
        <v/>
      </c>
      <c r="D54" s="107">
        <f>$I54*D52</f>
        <v/>
      </c>
      <c r="E54" s="107">
        <f>$I54*E52</f>
        <v/>
      </c>
      <c r="F54" s="107">
        <f>$I54*F52</f>
        <v/>
      </c>
      <c r="G54" s="107">
        <f>$I54*G52</f>
        <v/>
      </c>
      <c r="H54" s="107">
        <f>$I54*H52</f>
        <v/>
      </c>
      <c r="I54" s="107">
        <f>Parameters!$B$39</f>
        <v/>
      </c>
    </row>
    <row r="55" ht="14.25" customHeight="1" s="97">
      <c r="A55" s="96" t="inlineStr">
        <is>
          <t>U3</t>
        </is>
      </c>
      <c r="B55" s="107">
        <f>$I55*B52</f>
        <v/>
      </c>
      <c r="C55" s="107">
        <f>$I55*C52</f>
        <v/>
      </c>
      <c r="D55" s="107">
        <f>$I55*D52</f>
        <v/>
      </c>
      <c r="E55" s="107">
        <f>$I55*E52</f>
        <v/>
      </c>
      <c r="F55" s="107">
        <f>$I55*F52</f>
        <v/>
      </c>
      <c r="G55" s="107">
        <f>$I55*G52</f>
        <v/>
      </c>
      <c r="H55" s="107">
        <f>$I55*H52</f>
        <v/>
      </c>
      <c r="I55" s="107">
        <f>Parameters!$B$40</f>
        <v/>
      </c>
    </row>
    <row r="56" ht="14.25" customHeight="1" s="97">
      <c r="A56" s="96" t="inlineStr">
        <is>
          <t>U4</t>
        </is>
      </c>
      <c r="B56" s="107">
        <f>$I56*B52</f>
        <v/>
      </c>
      <c r="C56" s="107">
        <f>$I56*C52</f>
        <v/>
      </c>
      <c r="D56" s="107">
        <f>$I56*D52</f>
        <v/>
      </c>
      <c r="E56" s="107">
        <f>$I56*E52</f>
        <v/>
      </c>
      <c r="F56" s="107">
        <f>$I56*F52</f>
        <v/>
      </c>
      <c r="G56" s="107">
        <f>$I56*G52</f>
        <v/>
      </c>
      <c r="H56" s="107">
        <f>$I56*H52</f>
        <v/>
      </c>
      <c r="I56" s="107">
        <f>Parameters!$B$41</f>
        <v/>
      </c>
    </row>
    <row r="57" ht="14.25" customHeight="1" s="97">
      <c r="A57" s="96" t="inlineStr">
        <is>
          <t>U5</t>
        </is>
      </c>
      <c r="B57" s="107">
        <f>$I57*B52</f>
        <v/>
      </c>
      <c r="C57" s="107">
        <f>$I57*C52</f>
        <v/>
      </c>
      <c r="D57" s="107">
        <f>$I57*D52</f>
        <v/>
      </c>
      <c r="E57" s="107">
        <f>$I57*E52</f>
        <v/>
      </c>
      <c r="F57" s="107">
        <f>$I57*F52</f>
        <v/>
      </c>
      <c r="G57" s="107">
        <f>$I57*G52</f>
        <v/>
      </c>
      <c r="H57" s="107">
        <f>$I57*H52</f>
        <v/>
      </c>
      <c r="I57" s="107">
        <f>Parameters!$B$42</f>
        <v/>
      </c>
    </row>
    <row r="58" ht="14.25" customHeight="1" s="97">
      <c r="A58" s="96" t="inlineStr">
        <is>
          <t>U6</t>
        </is>
      </c>
      <c r="B58" s="107">
        <f>$I58*B52</f>
        <v/>
      </c>
      <c r="C58" s="107">
        <f>$I58*C52</f>
        <v/>
      </c>
      <c r="D58" s="107">
        <f>$I58*D52</f>
        <v/>
      </c>
      <c r="E58" s="107">
        <f>$I58*E52</f>
        <v/>
      </c>
      <c r="F58" s="107">
        <f>$I58*F52</f>
        <v/>
      </c>
      <c r="G58" s="107">
        <f>$I58*G52</f>
        <v/>
      </c>
      <c r="H58" s="107">
        <f>$I58*H52</f>
        <v/>
      </c>
      <c r="I58" s="107">
        <f>Parameters!$B$43</f>
        <v/>
      </c>
    </row>
    <row r="59" ht="14.25" customHeight="1" s="97">
      <c r="A59" s="96" t="inlineStr">
        <is>
          <t>U7</t>
        </is>
      </c>
      <c r="B59" s="107">
        <f>$I59*B52</f>
        <v/>
      </c>
      <c r="C59" s="107">
        <f>$I59*C52</f>
        <v/>
      </c>
      <c r="D59" s="107">
        <f>$I59*D52</f>
        <v/>
      </c>
      <c r="E59" s="107">
        <f>$I59*E52</f>
        <v/>
      </c>
      <c r="F59" s="107">
        <f>$I59*F52</f>
        <v/>
      </c>
      <c r="G59" s="107">
        <f>$I59*G52</f>
        <v/>
      </c>
      <c r="H59" s="107">
        <f>$I59*H52</f>
        <v/>
      </c>
      <c r="I59" s="107">
        <f>Parameters!$B$44</f>
        <v/>
      </c>
    </row>
    <row r="60" ht="13.5" customHeight="1" s="97"/>
    <row r="61" ht="14.25" customHeight="1" s="97">
      <c r="A61" s="96" t="inlineStr">
        <is>
          <t>RLS(A)</t>
        </is>
      </c>
      <c r="B61" s="107">
        <f>SUMPRODUCT(I_prop!$B$7:$H$13, $B$53:$H$59)</f>
        <v/>
      </c>
    </row>
    <row r="62" ht="14.25" customHeight="1" s="97">
      <c r="A62" s="96" t="inlineStr">
        <is>
          <t>RLS(B)</t>
        </is>
      </c>
      <c r="B62" s="107">
        <f>SUMPRODUCT(I_prop!$B$18:$H$24, $B$53:$H$59)</f>
        <v/>
      </c>
    </row>
    <row r="63" ht="14.25" customHeight="1" s="97">
      <c r="A63" s="96" t="inlineStr">
        <is>
          <t>Preferred by RLS (higher)</t>
        </is>
      </c>
      <c r="B63" s="96">
        <f>IF(B61&gt;B62,"A",IF(B62&gt;B61,"B","TIE"))</f>
        <v/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2"/>
  <sheetViews>
    <sheetView showGridLines="1" workbookViewId="0">
      <selection activeCell="A1" sqref="A1"/>
    </sheetView>
  </sheetViews>
  <sheetFormatPr baseColWidth="8" defaultColWidth="8.66796875" defaultRowHeight="12.75"/>
  <cols>
    <col width="72" customWidth="1" style="104" min="1" max="1"/>
  </cols>
  <sheetData>
    <row r="1" ht="14.25" customHeight="1" s="97">
      <c r="A1" s="124" t="inlineStr">
        <is>
          <t>LEVEL 5: TIE-BREAK METRICS</t>
        </is>
      </c>
    </row>
    <row r="2" ht="13.5" customHeight="1" s="97"/>
    <row r="3" ht="14.25" customHeight="1" s="97">
      <c r="A3" s="96" t="inlineStr">
        <is>
          <t>Reference: RippleLogic v9.6.4 Section 11.0</t>
        </is>
      </c>
    </row>
    <row r="4" ht="14.25" customHeight="1" s="97">
      <c r="A4" s="96" t="inlineStr">
        <is>
          <t>HOI = Hollowing-Out Index (canonical per v9.6.4)</t>
        </is>
      </c>
    </row>
    <row r="5" ht="14.25" customHeight="1" s="97">
      <c r="A5" s="96" t="inlineStr">
        <is>
          <t>Per Section 11: Used when RLS is non-decisive</t>
        </is>
      </c>
    </row>
    <row r="6" ht="14.25" customHeight="1" s="97">
      <c r="A6" s="149" t="n"/>
    </row>
    <row r="7" ht="13.5" customHeight="1" s="97"/>
    <row r="8" ht="14.25" customHeight="1" s="97">
      <c r="A8" s="106" t="inlineStr">
        <is>
          <t>UCI computes structural condition, independent of welfare impacts.</t>
        </is>
      </c>
    </row>
    <row r="9" ht="14.25" customHeight="1" s="97">
      <c r="A9" s="96" t="inlineStr">
        <is>
          <t>Per union u: UCI_u = (Cohesion + Flow + Resilience + Equity) / 4</t>
        </is>
      </c>
    </row>
    <row r="10" ht="14.25" customHeight="1" s="97">
      <c r="A10" s="96" t="inlineStr">
        <is>
          <t>Overall: UCI = average(UCI_u) across unions (Tier 2).</t>
        </is>
      </c>
    </row>
    <row r="11" ht="14.25" customHeight="1" s="97">
      <c r="A11" s="96" t="inlineStr">
        <is>
          <t>R = Review cycle, E = Evidence quality</t>
        </is>
      </c>
    </row>
    <row r="12" ht="14.25" customHeight="1" s="97">
      <c r="A12" s="96" t="inlineStr">
        <is>
          <t>(Tier 3: sources/provenance required; UCI must be structurally independent of RLS inputs.)</t>
        </is>
      </c>
    </row>
    <row r="13" ht="14.25" customHeight="1" s="97">
      <c r="A13" s="106" t="inlineStr">
        <is>
          <t>Union Scope</t>
        </is>
      </c>
      <c r="B13" s="106" t="inlineStr">
        <is>
          <t>C (Cohesion)</t>
        </is>
      </c>
      <c r="C13" s="106" t="inlineStr">
        <is>
          <t>F (Flow)</t>
        </is>
      </c>
      <c r="D13" s="106" t="inlineStr">
        <is>
          <t>R (Resilience)</t>
        </is>
      </c>
      <c r="E13" s="106" t="inlineStr">
        <is>
          <t>E (Equity)</t>
        </is>
      </c>
      <c r="F13" s="106" t="inlineStr">
        <is>
          <t>UCI_u</t>
        </is>
      </c>
    </row>
    <row r="14" ht="14.25" customHeight="1" s="97">
      <c r="A14" s="96" t="inlineStr">
        <is>
          <t>U1</t>
        </is>
      </c>
      <c r="B14" s="96" t="n">
        <v>0.7</v>
      </c>
      <c r="C14" s="96" t="n">
        <v>0.7</v>
      </c>
      <c r="D14" s="96" t="n">
        <v>0.7</v>
      </c>
      <c r="E14" s="96" t="n">
        <v>1</v>
      </c>
      <c r="F14" s="107">
        <f>AVERAGE(B14:E14)</f>
        <v/>
      </c>
    </row>
    <row r="15" ht="14.25" customHeight="1" s="97">
      <c r="A15" s="96" t="inlineStr">
        <is>
          <t>U2</t>
        </is>
      </c>
      <c r="B15" s="96" t="n">
        <v>0.7</v>
      </c>
      <c r="C15" s="96" t="n">
        <v>0.7</v>
      </c>
      <c r="D15" s="96" t="n">
        <v>0.7</v>
      </c>
      <c r="E15" s="96" t="n">
        <v>0.7</v>
      </c>
      <c r="F15" s="107">
        <f>AVERAGE(B15:E15)</f>
        <v/>
      </c>
    </row>
    <row r="16" ht="14.25" customHeight="1" s="97">
      <c r="A16" s="96" t="inlineStr">
        <is>
          <t>U3</t>
        </is>
      </c>
      <c r="B16" s="96" t="n">
        <v>0.7</v>
      </c>
      <c r="C16" s="96" t="n">
        <v>0.7</v>
      </c>
      <c r="D16" s="96" t="n">
        <v>0.7</v>
      </c>
      <c r="E16" s="96" t="n">
        <v>0.7</v>
      </c>
      <c r="F16" s="107">
        <f>AVERAGE(B16:E16)</f>
        <v/>
      </c>
    </row>
    <row r="17" ht="14.25" customHeight="1" s="97">
      <c r="A17" s="96" t="inlineStr">
        <is>
          <t>U4</t>
        </is>
      </c>
      <c r="B17" s="96" t="n">
        <v>0.7</v>
      </c>
      <c r="C17" s="96" t="n">
        <v>0.7</v>
      </c>
      <c r="D17" s="96" t="n">
        <v>0.7</v>
      </c>
      <c r="E17" s="96" t="n">
        <v>0.7</v>
      </c>
      <c r="F17" s="107">
        <f>AVERAGE(B17:E17)</f>
        <v/>
      </c>
    </row>
    <row r="18" ht="14.25" customHeight="1" s="97">
      <c r="A18" s="96" t="inlineStr">
        <is>
          <t>U5</t>
        </is>
      </c>
      <c r="B18" s="96" t="n">
        <v>0.7</v>
      </c>
      <c r="C18" s="96" t="n">
        <v>0.7</v>
      </c>
      <c r="D18" s="96" t="n">
        <v>0.7</v>
      </c>
      <c r="E18" s="96" t="n">
        <v>0.7</v>
      </c>
      <c r="F18" s="107">
        <f>AVERAGE(B18:E18)</f>
        <v/>
      </c>
    </row>
    <row r="19" ht="14.25" customHeight="1" s="97">
      <c r="A19" s="96" t="inlineStr">
        <is>
          <t>U6</t>
        </is>
      </c>
      <c r="B19" s="96" t="n">
        <v>0.7</v>
      </c>
      <c r="C19" s="96" t="n">
        <v>0.7</v>
      </c>
      <c r="D19" s="96" t="n">
        <v>0.7</v>
      </c>
      <c r="E19" s="96" t="n">
        <v>0.7</v>
      </c>
      <c r="F19" s="107">
        <f>AVERAGE(B19:E19)</f>
        <v/>
      </c>
    </row>
    <row r="20" ht="14.25" customHeight="1" s="97">
      <c r="A20" s="96" t="inlineStr">
        <is>
          <t>U7</t>
        </is>
      </c>
      <c r="B20" s="96" t="n">
        <v>0.7</v>
      </c>
      <c r="C20" s="96" t="n">
        <v>0.7</v>
      </c>
      <c r="D20" s="96" t="n">
        <v>0.7</v>
      </c>
      <c r="E20" s="96" t="n">
        <v>1</v>
      </c>
      <c r="F20" s="107">
        <f>AVERAGE(B20:E20)</f>
        <v/>
      </c>
    </row>
    <row r="21" ht="13.5" customHeight="1" s="97"/>
    <row r="22" ht="14.25" customHeight="1" s="97">
      <c r="A22" s="106" t="inlineStr">
        <is>
          <t>UCI (mean over unions)</t>
        </is>
      </c>
      <c r="B22" s="107">
        <f>AVERAGE(F14:F20)</f>
        <v/>
      </c>
    </row>
    <row r="23" ht="24" customHeight="1" s="97">
      <c r="A23" s="100" t="inlineStr">
        <is>
          <t>Note: E₁ := 1 by definition; E₇ := 1 by default unless a governed biosphere-equity instrument is declared and recorded in PCC.</t>
        </is>
      </c>
    </row>
    <row r="24" ht="14.25" customHeight="1" s="97">
      <c r="A24" s="96" t="inlineStr">
        <is>
          <t>For Tier 3: require independent structural indicators</t>
        </is>
      </c>
    </row>
    <row r="25" ht="13.5" customHeight="1" s="97"/>
    <row r="26" ht="14.25" customHeight="1" s="97">
      <c r="A26" s="106" t="inlineStr">
        <is>
          <t>HOI STATUS</t>
        </is>
      </c>
    </row>
    <row r="27" ht="14.25" customHeight="1" s="97">
      <c r="A27" s="96" t="inlineStr">
        <is>
          <t>HOI = 0 (no human override requested)</t>
        </is>
      </c>
    </row>
    <row r="28" ht="14.25" customHeight="1" s="97">
      <c r="A28" s="111" t="inlineStr">
        <is>
          <t>Status: OK</t>
        </is>
      </c>
    </row>
    <row r="29" ht="14.25" customHeight="1" s="97">
      <c r="A29" s="96" t="inlineStr">
        <is>
          <t>TIE-BREAK OUTCOME</t>
        </is>
      </c>
    </row>
    <row r="30" ht="14.25" customHeight="1" s="97">
      <c r="A30" s="106" t="inlineStr">
        <is>
          <t>UCI: Available for Level 5 disclosure</t>
        </is>
      </c>
    </row>
    <row r="31" ht="14.25" customHeight="1" s="97">
      <c r="A31" s="149" t="inlineStr">
        <is>
          <t>HOI: 0 (no hollowing-out risk flagged in this worked run)</t>
        </is>
      </c>
    </row>
    <row r="32" ht="25.5" customHeight="1" s="97">
      <c r="A32" s="100" t="inlineStr">
        <is>
          <t>Resolution: Judgment-call / higher RLS selection remains disclosed separately on Dashboard Level 5.</t>
        </is>
      </c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E53"/>
  <sheetViews>
    <sheetView showGridLines="1" workbookViewId="0">
      <selection activeCell="A1" sqref="A1"/>
    </sheetView>
  </sheetViews>
  <sheetFormatPr baseColWidth="8" defaultColWidth="8.66796875" defaultRowHeight="14.25"/>
  <cols>
    <col width="22" customWidth="1" style="96" min="1" max="1"/>
    <col width="70" customWidth="1" style="96" min="2" max="2"/>
    <col width="28" customWidth="1" style="96" min="3" max="5"/>
  </cols>
  <sheetData>
    <row r="1" ht="14.25" customHeight="1" s="97">
      <c r="A1" s="153" t="inlineStr">
        <is>
          <t>RIPPLELOGIC v9.6.4 - DECISION DASHBOARD</t>
        </is>
      </c>
    </row>
    <row r="2" ht="14.25" customHeight="1" s="97">
      <c r="A2" s="100">
        <f>"Sheet: "&amp;CANON!B7</f>
        <v/>
      </c>
      <c r="B2" s="100">
        <f>"Framework: "&amp;CANON!B5</f>
        <v/>
      </c>
    </row>
    <row r="3" ht="14.25" customHeight="1" s="97">
      <c r="A3" s="106" t="n"/>
    </row>
    <row r="4" ht="54" customHeight="1" s="97">
      <c r="A4" s="154" t="inlineStr">
        <is>
          <t>DISCLOSURE</t>
        </is>
      </c>
      <c r="B4" s="155" t="inlineStr">
        <is>
          <t>This workbook is a worked-run exemplar companion. It is not a repository-level validator, not a generalized multi-option engine, and not a substitute for canonical DOCX or schema surfaces. Current dashboard selection compares Option A vs Option B only.</t>
        </is>
      </c>
    </row>
    <row r="5" ht="13.5" customHeight="1" s="97"/>
    <row r="6" ht="14.25" customHeight="1" s="97">
      <c r="A6" s="122" t="inlineStr">
        <is>
          <t>DECISION CONTEXT</t>
        </is>
      </c>
    </row>
    <row r="7" ht="14.25" customHeight="1" s="97">
      <c r="A7" s="100" t="inlineStr">
        <is>
          <t>Decision:</t>
        </is>
      </c>
      <c r="B7" s="100">
        <f>PCC!B5</f>
        <v/>
      </c>
    </row>
    <row r="8" ht="14.25" customHeight="1" s="97">
      <c r="A8" s="100" t="inlineStr">
        <is>
          <t>Date:</t>
        </is>
      </c>
      <c r="B8" s="100">
        <f>PCC!B6</f>
        <v/>
      </c>
    </row>
    <row r="9" ht="14.25" customHeight="1" s="97">
      <c r="A9" s="100" t="inlineStr">
        <is>
          <t>Tier:</t>
        </is>
      </c>
      <c r="B9" s="100">
        <f>CANON!B10&amp;" ("&amp;IF(CANON!B10=1,"Personal",IF(CANON!B10=2,"Core","High-Stakes"))&amp;")"</f>
        <v/>
      </c>
    </row>
    <row r="10" ht="14.25" customHeight="1" s="97">
      <c r="A10" s="100" t="inlineStr">
        <is>
          <t>Context:</t>
        </is>
      </c>
      <c r="B10" s="156">
        <f>CANON!B11</f>
        <v/>
      </c>
    </row>
    <row r="11" ht="14.25" customHeight="1" s="97">
      <c r="A11" s="100" t="inlineStr">
        <is>
          <t>AI Deployment:</t>
        </is>
      </c>
      <c r="B11" s="100">
        <f>CANON!B12</f>
        <v/>
      </c>
    </row>
    <row r="12" ht="14.25" customHeight="1" s="97">
      <c r="A12" s="122" t="inlineStr">
        <is>
          <t>TRC Active:</t>
        </is>
      </c>
      <c r="B12" s="121">
        <f>IF(CANON!B13=1,"YES","NO")</f>
        <v/>
      </c>
    </row>
    <row r="13" ht="14.25" customHeight="1" s="97">
      <c r="A13" s="106" t="n"/>
      <c r="B13" s="106" t="n"/>
      <c r="C13" s="106" t="n"/>
      <c r="D13" s="157" t="n"/>
      <c r="E13" s="106" t="n"/>
    </row>
    <row r="14" ht="14.25" customHeight="1" s="97">
      <c r="A14" s="122" t="inlineStr">
        <is>
          <t>LEXICOGRAPHIC CASCADE</t>
        </is>
      </c>
    </row>
    <row r="15" ht="14.25" customHeight="1" s="97">
      <c r="A15" s="122" t="inlineStr">
        <is>
          <t>Level</t>
        </is>
      </c>
      <c r="B15" s="122" t="inlineStr">
        <is>
          <t>Gate</t>
        </is>
      </c>
      <c r="C15" s="158" t="inlineStr">
        <is>
          <t>Option A</t>
        </is>
      </c>
      <c r="D15" s="158" t="inlineStr">
        <is>
          <t>Option B</t>
        </is>
      </c>
      <c r="E15" s="159" t="inlineStr">
        <is>
          <t>Resolution</t>
        </is>
      </c>
    </row>
    <row r="16" ht="14.25" customHeight="1" s="97">
      <c r="A16" s="100" t="inlineStr">
        <is>
          <t>1</t>
        </is>
      </c>
      <c r="B16" s="100" t="inlineStr">
        <is>
          <t>NCRC</t>
        </is>
      </c>
      <c r="C16" s="100">
        <f>CANON!B51</f>
        <v/>
      </c>
      <c r="D16" s="100">
        <f>CANON!B52</f>
        <v/>
      </c>
      <c r="E16" s="156">
        <f>IF(AND(C16="PASS",D16="PASS"),"Both Pass",IF(C16="PASS","A only",IF(D16="PASS","B only","Neither")))</f>
        <v/>
      </c>
    </row>
    <row r="17" ht="14.25" customHeight="1" s="97">
      <c r="A17" s="100" t="inlineStr">
        <is>
          <t>2</t>
        </is>
      </c>
      <c r="B17" s="100" t="inlineStr">
        <is>
          <t>TRC</t>
        </is>
      </c>
      <c r="C17" s="121">
        <f>CANON!B56&amp;" (CVaR="&amp;TEXT(CANON!B54,"0.0000")&amp;")"</f>
        <v/>
      </c>
      <c r="D17" s="121">
        <f>CANON!B57&amp;" (CVaR="&amp;TEXT(CANON!B55,"0.0000")&amp;")"</f>
        <v/>
      </c>
      <c r="E17" s="156">
        <f>IF(AND(CANON!B56="PASS",CANON!B57="PASS"),"Both Pass",IF(CANON!B56="PASS","A only",IF(CANON!B57="PASS","B only","Neither")))</f>
        <v/>
      </c>
    </row>
    <row r="18" ht="14.25" customHeight="1" s="97">
      <c r="A18" s="100" t="inlineStr">
        <is>
          <t>3</t>
        </is>
      </c>
      <c r="B18" s="100" t="inlineStr">
        <is>
          <t>Containment</t>
        </is>
      </c>
      <c r="C18" s="160">
        <f>CANON!B60</f>
        <v/>
      </c>
      <c r="D18" s="100">
        <f>CANON!B61</f>
        <v/>
      </c>
      <c r="E18" s="156">
        <f>IF(AND(C16="PASS",D16="PASS"),"Both Pass","Review")</f>
        <v/>
      </c>
    </row>
    <row r="19" ht="14.25" customHeight="1" s="97">
      <c r="A19" s="122" t="inlineStr">
        <is>
          <t>4</t>
        </is>
      </c>
      <c r="B19" s="100" t="inlineStr">
        <is>
          <t>RLS</t>
        </is>
      </c>
      <c r="C19" s="100">
        <f>TEXT(CANON!B63,"0.000000")</f>
        <v/>
      </c>
      <c r="D19" s="100">
        <f>TEXT(CANON!B64,"0.000000")</f>
        <v/>
      </c>
      <c r="E19" s="100">
        <f>IF(CANON!B63&gt;CANON!B64,"A higher",IF(CANON!B64&gt;CANON!B63,"B higher","Tie"))</f>
        <v/>
      </c>
    </row>
    <row r="20" ht="54" customHeight="1" s="97">
      <c r="A20" s="122" t="inlineStr">
        <is>
          <t>5</t>
        </is>
      </c>
      <c r="B20" s="100" t="inlineStr">
        <is>
          <t>UCI/HOI tie-break</t>
        </is>
      </c>
      <c r="C20" s="100">
        <f>"UCI="&amp;TEXT(UCI_HOI!B22,"0.000")</f>
        <v/>
      </c>
      <c r="D20" s="100">
        <f>UCI_HOI!A31</f>
        <v/>
      </c>
      <c r="E20" s="100">
        <f>UCI_HOI!A32</f>
        <v/>
      </c>
    </row>
    <row r="21" ht="14.25" customHeight="1" s="97">
      <c r="A21" s="122" t="inlineStr">
        <is>
          <t>Selection-note:</t>
        </is>
      </c>
      <c r="B21" s="100" t="inlineStr">
        <is>
          <t>Two-option surface only (A/B)</t>
        </is>
      </c>
    </row>
    <row r="22" ht="14.25" customHeight="1" s="97">
      <c r="A22" s="122" t="inlineStr">
        <is>
          <t>Selection Mode:</t>
        </is>
      </c>
      <c r="B22" s="100">
        <f>CANON!B70</f>
        <v/>
      </c>
    </row>
    <row r="23" ht="14.25" customHeight="1" s="97">
      <c r="A23" s="100" t="inlineStr">
        <is>
          <t>Selected Option:</t>
        </is>
      </c>
      <c r="B23" s="100">
        <f>IF(CANON!B71="","NONE (INVALID)",IF(CANON!B71="TIE","TIE (UCI required)","OPTION "&amp;CANON!B71))</f>
        <v/>
      </c>
    </row>
    <row r="24" ht="14.25" customHeight="1" s="97">
      <c r="A24" s="100" t="inlineStr">
        <is>
          <t>Selection Basis:</t>
        </is>
      </c>
      <c r="B24" s="161">
        <f>CANON!B72</f>
        <v/>
      </c>
    </row>
    <row r="25" ht="14.25" customHeight="1" s="97">
      <c r="A25" s="99" t="inlineStr">
        <is>
          <t>Weight Profile:</t>
        </is>
      </c>
      <c r="B25" s="156">
        <f>Config!B17</f>
        <v/>
      </c>
    </row>
    <row r="26" ht="14.25" customHeight="1" s="97">
      <c r="A26" s="99" t="inlineStr">
        <is>
          <t>PLSS Scope Note:</t>
        </is>
      </c>
      <c r="B26" s="100">
        <f>IF(Config!B17="PLSS_LOCAL","See PLSS_Local_Scope for q_u and w_u^PLSS","Uniform weights active")</f>
        <v/>
      </c>
    </row>
    <row r="27" ht="14.25" customHeight="1" s="97">
      <c r="A27" s="122" t="inlineStr">
        <is>
          <t>CLAIMABILITY STATUS (from CANON)</t>
        </is>
      </c>
    </row>
    <row r="28" ht="14.25" customHeight="1" s="97">
      <c r="A28" s="100" t="inlineStr">
        <is>
          <t>Claimable Run:</t>
        </is>
      </c>
      <c r="B28" s="100">
        <f>CANON!B81</f>
        <v/>
      </c>
    </row>
    <row r="29" ht="14.25" customHeight="1" s="97">
      <c r="A29" s="156" t="inlineStr">
        <is>
          <t>Invalid Flags:</t>
        </is>
      </c>
      <c r="B29" s="100">
        <f>CANON!B80</f>
        <v/>
      </c>
    </row>
    <row r="30" ht="14.25" customHeight="1" s="97">
      <c r="A30" s="100" t="inlineStr">
        <is>
          <t>C_cat Blank Count:</t>
        </is>
      </c>
      <c r="B30" s="100">
        <f>CANON!B76</f>
        <v/>
      </c>
    </row>
    <row r="31" ht="14.25" customHeight="1" s="97">
      <c r="A31" s="100" t="inlineStr">
        <is>
          <t>Scenario Impact Missing:</t>
        </is>
      </c>
      <c r="B31" s="100">
        <f>IF(CANON!B77=TRUE(),"YES (BLOCKS CLAIM)","NO")</f>
        <v/>
      </c>
    </row>
    <row r="32" ht="13.5" customHeight="1" s="97"/>
    <row r="33" ht="17.25" customHeight="1" s="97">
      <c r="A33" s="122" t="inlineStr">
        <is>
          <t>AUDIT FLAGS SUMMARY</t>
        </is>
      </c>
    </row>
    <row r="34" ht="14.25" customHeight="1" s="97">
      <c r="A34" s="100" t="inlineStr">
        <is>
          <t>Invalid Count:</t>
        </is>
      </c>
      <c r="B34" s="121">
        <f>Audit_Flags!B21</f>
        <v/>
      </c>
    </row>
    <row r="35" ht="14.25" customHeight="1" s="97">
      <c r="A35" s="100" t="inlineStr">
        <is>
          <t>Escalate Count:</t>
        </is>
      </c>
      <c r="B35" s="162">
        <f>Audit_Flags!B22</f>
        <v/>
      </c>
    </row>
    <row r="36" ht="14.25" customHeight="1" s="97">
      <c r="A36" s="100" t="inlineStr">
        <is>
          <t>Review Count:</t>
        </is>
      </c>
      <c r="B36" s="121">
        <f>Audit_Flags!B23</f>
        <v/>
      </c>
    </row>
    <row r="37" ht="14.25" customHeight="1" s="97">
      <c r="A37" s="100" t="inlineStr">
        <is>
          <t>Total Active:</t>
        </is>
      </c>
      <c r="B37" s="121">
        <f>Audit_Flags!B24</f>
        <v/>
      </c>
    </row>
    <row r="38" ht="14.25" customHeight="1" s="97">
      <c r="B38" s="148" t="n"/>
    </row>
    <row r="39" ht="14.25" customHeight="1" s="97">
      <c r="A39" s="100" t="inlineStr">
        <is>
          <t>Triggered Flags:</t>
        </is>
      </c>
      <c r="B39" s="100">
        <f>IF(Audit_Flags!B23&gt;0,"⚠ REVIEW flags present","No REVIEW flags")</f>
        <v/>
      </c>
    </row>
    <row r="40" ht="13.5" customHeight="1" s="97"/>
    <row r="41" ht="14.25" customHeight="1" s="97">
      <c r="A41" s="106" t="n"/>
    </row>
    <row r="42" ht="14.25" customHeight="1" s="97">
      <c r="A42" s="121">
        <f>Audit_Flags!B26</f>
        <v/>
      </c>
      <c r="B42" s="100">
        <f>IF(Audit_Flags!J19="(none)","(none)",Audit_Flags!J19)</f>
        <v/>
      </c>
    </row>
    <row r="43" ht="13.5" customHeight="1" s="97"/>
    <row r="44" ht="13.5" customHeight="1" s="97"/>
    <row r="45" ht="14.25" customHeight="1" s="97">
      <c r="A45" s="100" t="inlineStr">
        <is>
          <t>Audit flags (active)</t>
        </is>
      </c>
      <c r="B45" s="100">
        <f>Audit_Flags!B24</f>
        <v/>
      </c>
    </row>
    <row r="46" ht="13.5" customHeight="1" s="97"/>
    <row r="47" ht="13.5" customHeight="1" s="97"/>
    <row r="48" ht="13.5" customHeight="1" s="97"/>
    <row r="49" ht="14.25" customHeight="1" s="97">
      <c r="A49" s="122" t="inlineStr">
        <is>
          <t>REQUIRED FOLLOW-UP</t>
        </is>
      </c>
    </row>
    <row r="50" ht="14.25" customHeight="1" s="97">
      <c r="A50" s="100" t="inlineStr">
        <is>
          <t>1. ☐ Document judgment call rationale</t>
        </is>
      </c>
    </row>
    <row r="51" ht="14.25" customHeight="1" s="97">
      <c r="A51" s="100" t="inlineStr">
        <is>
          <t>2. ☐ Schedule enhanced monitoring (quarterly)</t>
        </is>
      </c>
    </row>
    <row r="52" ht="14.25" customHeight="1" s="97">
      <c r="A52" s="121" t="inlineStr">
        <is>
          <t>3. ☐ Review date:</t>
        </is>
      </c>
      <c r="B52" s="100">
        <f>TEXT(DATE(2026,2,2)+90,"YYYY-MM-DD")</f>
        <v/>
      </c>
    </row>
    <row r="53" ht="14.25" customHeight="1" s="97">
      <c r="A53" s="100" t="inlineStr">
        <is>
          <t>4. ☐ Consider Tier 3 upgrade if stakes increase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7"/>
  <sheetViews>
    <sheetView showGridLines="1" workbookViewId="0">
      <selection activeCell="A1" sqref="A1"/>
    </sheetView>
  </sheetViews>
  <sheetFormatPr baseColWidth="8" defaultColWidth="8.66796875" defaultRowHeight="14.25"/>
  <cols>
    <col width="25" customWidth="1" style="96" min="1" max="1"/>
    <col width="92" customWidth="1" style="96" min="2" max="2"/>
    <col width="35" customWidth="1" style="96" min="3" max="3"/>
  </cols>
  <sheetData>
    <row r="1" ht="17.25" customHeight="1" s="97">
      <c r="A1" s="105" t="inlineStr">
        <is>
          <t>CANONICAL SINGLE SOURCE OF TRUTH</t>
        </is>
      </c>
    </row>
    <row r="2" ht="15" customHeight="1" s="97">
      <c r="A2" s="96" t="inlineStr">
        <is>
          <t>All other tabs must reference this sheet - no duplicate calculations</t>
        </is>
      </c>
    </row>
    <row r="3" ht="13.5" customHeight="1" s="97"/>
    <row r="4" ht="15" customHeight="1" s="97">
      <c r="A4" s="106" t="inlineStr">
        <is>
          <t>SECTION A: VERSION &amp; IDENTITY</t>
        </is>
      </c>
    </row>
    <row r="5" ht="15" customHeight="1" s="97">
      <c r="A5" s="96" t="inlineStr">
        <is>
          <t>FRAMEWORK_VERSION</t>
        </is>
      </c>
      <c r="B5" s="96" t="inlineStr">
        <is>
          <t>RippleLogic v9.6.4</t>
        </is>
      </c>
    </row>
    <row r="6" ht="15" customHeight="1" s="97">
      <c r="A6" s="96" t="inlineStr">
        <is>
          <t>SGP_VERSION</t>
        </is>
      </c>
      <c r="B6" s="96" t="inlineStr">
        <is>
          <t>SGP v4.7.1</t>
        </is>
      </c>
    </row>
    <row r="7" ht="15" customHeight="1" s="97">
      <c r="A7" s="96" t="inlineStr">
        <is>
          <t>SHEET_VERSION</t>
        </is>
      </c>
      <c r="B7" s="96" t="inlineStr">
        <is>
          <t>v2.5</t>
        </is>
      </c>
    </row>
    <row r="8" ht="13.5" customHeight="1" s="97"/>
    <row r="9" ht="15" customHeight="1" s="97">
      <c r="A9" s="106" t="inlineStr">
        <is>
          <t>SECTION B: CONFIGURATION</t>
        </is>
      </c>
    </row>
    <row r="10" ht="15" customHeight="1" s="97">
      <c r="A10" s="96" t="inlineStr">
        <is>
          <t>TIER</t>
        </is>
      </c>
      <c r="B10" s="96" t="n">
        <v>2</v>
      </c>
      <c r="C10" s="96" t="inlineStr">
        <is>
          <t>(1-3 only; Tier 4 prohibited for claims per v9.6.4)</t>
        </is>
      </c>
    </row>
    <row r="11" ht="15" customHeight="1" s="97">
      <c r="A11" s="96" t="inlineStr">
        <is>
          <t>CONTEXT</t>
        </is>
      </c>
      <c r="B11" s="96" t="inlineStr">
        <is>
          <t>ORG</t>
        </is>
      </c>
      <c r="C11" s="96" t="inlineStr">
        <is>
          <t>(PERS/ORG/REV/IRREV/XRISK)</t>
        </is>
      </c>
    </row>
    <row r="12" ht="15" customHeight="1" s="97">
      <c r="A12" s="96" t="inlineStr">
        <is>
          <t>AI_DEPLOYMENT</t>
        </is>
      </c>
      <c r="B12" s="96" t="inlineStr">
        <is>
          <t>NO</t>
        </is>
      </c>
      <c r="C12" s="96" t="inlineStr">
        <is>
          <t>(YES/NO; affects mandatory tails)</t>
        </is>
      </c>
    </row>
    <row r="13" ht="15" customHeight="1" s="97">
      <c r="A13" s="96" t="inlineStr">
        <is>
          <t>TRC_ACTIVE</t>
        </is>
      </c>
      <c r="B13" s="96" t="n">
        <v>1</v>
      </c>
      <c r="C13" s="96" t="inlineStr">
        <is>
          <t>(TRUE if Tier&gt;=2)</t>
        </is>
      </c>
    </row>
    <row r="14" ht="15" customHeight="1" s="97">
      <c r="A14" s="96" t="inlineStr">
        <is>
          <t>SIGMA_ALLOWED</t>
        </is>
      </c>
      <c r="B14" s="96" t="n">
        <v>1</v>
      </c>
      <c r="C14" s="96" t="inlineStr">
        <is>
          <t>(Tier 2+: allowed)</t>
        </is>
      </c>
    </row>
    <row r="15" ht="15" customHeight="1" s="97">
      <c r="A15" s="96" t="inlineStr">
        <is>
          <t>SIGMA_REQUIRED</t>
        </is>
      </c>
      <c r="B15" s="96" t="n">
        <v>0</v>
      </c>
      <c r="C15" s="96" t="inlineStr">
        <is>
          <t>(Tier 3+: required)</t>
        </is>
      </c>
    </row>
    <row r="16" ht="13.5" customHeight="1" s="97"/>
    <row r="17" ht="15" customHeight="1" s="97">
      <c r="A17" s="106" t="inlineStr">
        <is>
          <t>SECTION C: CANONICAL PARAMETERS</t>
        </is>
      </c>
    </row>
    <row r="18" ht="15" customHeight="1" s="97">
      <c r="A18" s="96" t="inlineStr">
        <is>
          <t>alpha (CVaR confidence)</t>
        </is>
      </c>
      <c r="B18" s="96" t="n">
        <v>0.95</v>
      </c>
    </row>
    <row r="19" ht="15" customHeight="1" s="97">
      <c r="A19" s="96" t="inlineStr">
        <is>
          <t>beta (tail mass)</t>
        </is>
      </c>
      <c r="B19" s="96">
        <f>1-B18</f>
        <v/>
      </c>
    </row>
    <row r="20" ht="15" customHeight="1" s="97">
      <c r="A20" s="96" t="inlineStr">
        <is>
          <t>beta_saturation</t>
        </is>
      </c>
      <c r="B20" s="96" t="n">
        <v>2</v>
      </c>
    </row>
    <row r="21" ht="15" customHeight="1" s="97">
      <c r="A21" s="96" t="inlineStr">
        <is>
          <t>beta_prop</t>
        </is>
      </c>
      <c r="B21" s="96" t="n">
        <v>1</v>
      </c>
    </row>
    <row r="22" ht="15" customHeight="1" s="97">
      <c r="A22" s="96" t="inlineStr">
        <is>
          <t>delta (discrimination)</t>
        </is>
      </c>
      <c r="B22" s="96" t="n">
        <v>2</v>
      </c>
    </row>
    <row r="23" ht="15" customHeight="1" s="97">
      <c r="A23" s="96" t="inlineStr">
        <is>
          <t>theta_pos (containment)</t>
        </is>
      </c>
      <c r="B23" s="96" t="n">
        <v>0.05</v>
      </c>
    </row>
    <row r="24" ht="15" customHeight="1" s="97">
      <c r="A24" s="96" t="inlineStr">
        <is>
          <t>tau_c (containment floor)</t>
        </is>
      </c>
      <c r="B24" s="96" t="n">
        <v>-0.1</v>
      </c>
    </row>
    <row r="25" ht="15" customHeight="1" s="97">
      <c r="A25" s="96" t="inlineStr">
        <is>
          <t>T_ref (time reference)</t>
        </is>
      </c>
      <c r="B25" s="96" t="n">
        <v>25</v>
      </c>
    </row>
    <row r="26" ht="15" customHeight="1" s="97">
      <c r="A26" s="96" t="inlineStr">
        <is>
          <t>sigma_est (RLS uncertainty)</t>
        </is>
      </c>
      <c r="B26" s="96" t="n">
        <v>0.02</v>
      </c>
    </row>
    <row r="27" ht="13.5" customHeight="1" s="97">
      <c r="A27" s="96" t="inlineStr">
        <is>
          <t>t_min (temporal floor)</t>
        </is>
      </c>
      <c r="B27" s="96" t="n">
        <v>0.083</v>
      </c>
      <c r="C27" s="96" t="inlineStr">
        <is>
          <t>(canonical in v9.6.4: prevents near-zero collapse; τ(t_min) ≈ 0.025)</t>
        </is>
      </c>
    </row>
    <row r="28" ht="15" customHeight="1" s="97">
      <c r="A28" s="106" t="inlineStr">
        <is>
          <t>SECTION D: RIGHTS THRESHOLDS (θ_r)</t>
        </is>
      </c>
    </row>
    <row r="29" ht="15" customHeight="1" s="97">
      <c r="A29" s="96" t="inlineStr">
        <is>
          <t>Right</t>
        </is>
      </c>
      <c r="B29" s="96" t="inlineStr">
        <is>
          <t>Rank (anchor order; non-operational)</t>
        </is>
      </c>
      <c r="C29" s="96" t="inlineStr">
        <is>
          <t>θ_r</t>
        </is>
      </c>
    </row>
    <row r="30" ht="15" customHeight="1" s="97">
      <c r="A30" s="96" t="inlineStr">
        <is>
          <t>LIFE</t>
        </is>
      </c>
      <c r="B30" s="96" t="n">
        <v>1</v>
      </c>
      <c r="C30" s="96" t="n">
        <v>-0.9</v>
      </c>
    </row>
    <row r="31" ht="15" customHeight="1" s="97">
      <c r="A31" s="96" t="inlineStr">
        <is>
          <t>BODY</t>
        </is>
      </c>
      <c r="B31" s="96" t="n">
        <v>2</v>
      </c>
      <c r="C31" s="96" t="n">
        <v>-0.7</v>
      </c>
    </row>
    <row r="32" ht="15" customHeight="1" s="97">
      <c r="A32" s="96" t="inlineStr">
        <is>
          <t>LBTY</t>
        </is>
      </c>
      <c r="B32" s="96" t="n">
        <v>3</v>
      </c>
      <c r="C32" s="96" t="n">
        <v>-0.65</v>
      </c>
    </row>
    <row r="33" ht="15" customHeight="1" s="97">
      <c r="A33" s="96" t="inlineStr">
        <is>
          <t>NEED</t>
        </is>
      </c>
      <c r="B33" s="96" t="n">
        <v>4</v>
      </c>
      <c r="C33" s="96" t="n">
        <v>-0.5</v>
      </c>
    </row>
    <row r="34" ht="15" customHeight="1" s="97">
      <c r="A34" s="96" t="inlineStr">
        <is>
          <t>DIGN</t>
        </is>
      </c>
      <c r="B34" s="96" t="n">
        <v>5</v>
      </c>
      <c r="C34" s="96" t="n">
        <v>-0.55</v>
      </c>
    </row>
    <row r="35" ht="15" customHeight="1" s="97">
      <c r="A35" s="96" t="inlineStr">
        <is>
          <t>PROC</t>
        </is>
      </c>
      <c r="B35" s="96" t="n">
        <v>6</v>
      </c>
      <c r="C35" s="96" t="n">
        <v>-0.45</v>
      </c>
    </row>
    <row r="36" ht="15" customHeight="1" s="97">
      <c r="A36" s="96" t="inlineStr">
        <is>
          <t>INFO</t>
        </is>
      </c>
      <c r="B36" s="96" t="n">
        <v>7</v>
      </c>
      <c r="C36" s="96" t="n">
        <v>-0.4</v>
      </c>
    </row>
    <row r="37" ht="15" customHeight="1" s="97">
      <c r="A37" s="96" t="inlineStr">
        <is>
          <t>ECOL</t>
        </is>
      </c>
      <c r="B37" s="96" t="n">
        <v>8</v>
      </c>
      <c r="C37" s="96" t="n">
        <v>-0.65</v>
      </c>
    </row>
    <row r="38" ht="15" customHeight="1" s="97">
      <c r="A38" s="96" t="inlineStr">
        <is>
          <t>RIGHTS_COUNT</t>
        </is>
      </c>
      <c r="B38" s="96">
        <f>COUNTA(A30:A37)</f>
        <v/>
      </c>
      <c r="C38" s="96" t="inlineStr">
        <is>
          <t>(must = 8)</t>
        </is>
      </c>
    </row>
    <row r="39" ht="13.5" customHeight="1" s="97"/>
    <row r="40" ht="15" customHeight="1" s="97">
      <c r="A40" s="106" t="inlineStr">
        <is>
          <t>SECTION E: MANDATORY TAILS</t>
        </is>
      </c>
    </row>
    <row r="41" ht="15" customHeight="1" s="97">
      <c r="A41" s="96" t="inlineStr">
        <is>
          <t>MANDATORY_TAILS_COUNT</t>
        </is>
      </c>
      <c r="B41" s="96">
        <f>IF(B12="YES",6,5)</f>
        <v/>
      </c>
      <c r="C41" s="96" t="inlineStr">
        <is>
          <t>(6 if AI_DEPLOYMENT=YES, else 5)</t>
        </is>
      </c>
    </row>
    <row r="42" ht="15" customHeight="1" s="97">
      <c r="A42" s="96" t="inlineStr">
        <is>
          <t>WTSL Categories</t>
        </is>
      </c>
      <c r="B42" s="96" t="inlineStr">
        <is>
          <t>Required?</t>
        </is>
      </c>
    </row>
    <row r="43" ht="15" customHeight="1" s="97">
      <c r="A43" s="96" t="inlineStr">
        <is>
          <t>WTSL-PAN</t>
        </is>
      </c>
      <c r="B43" s="96" t="inlineStr">
        <is>
          <t>YES</t>
        </is>
      </c>
    </row>
    <row r="44" ht="15" customHeight="1" s="97">
      <c r="A44" s="96" t="inlineStr">
        <is>
          <t>WTSL-CLI</t>
        </is>
      </c>
      <c r="B44" s="96" t="inlineStr">
        <is>
          <t>YES</t>
        </is>
      </c>
    </row>
    <row r="45" ht="15" customHeight="1" s="97">
      <c r="A45" s="96" t="inlineStr">
        <is>
          <t>WTSL-FIN</t>
        </is>
      </c>
      <c r="B45" s="96" t="inlineStr">
        <is>
          <t>YES</t>
        </is>
      </c>
    </row>
    <row r="46" ht="15" customHeight="1" s="97">
      <c r="A46" s="96" t="inlineStr">
        <is>
          <t>WTSL-CON</t>
        </is>
      </c>
      <c r="B46" s="96" t="inlineStr">
        <is>
          <t>YES</t>
        </is>
      </c>
    </row>
    <row r="47" ht="15" customHeight="1" s="97">
      <c r="A47" s="96" t="inlineStr">
        <is>
          <t>WTSL-INF</t>
        </is>
      </c>
      <c r="B47" s="96" t="inlineStr">
        <is>
          <t>YES</t>
        </is>
      </c>
    </row>
    <row r="48" ht="15" customHeight="1" s="97">
      <c r="A48" s="96" t="inlineStr">
        <is>
          <t>WTSL-AIX</t>
        </is>
      </c>
      <c r="B48" s="96">
        <f>IF($B$12="YES","YES","NO")</f>
        <v/>
      </c>
    </row>
    <row r="49" ht="13.5" customHeight="1" s="97"/>
    <row r="50" ht="15" customHeight="1" s="97">
      <c r="A50" s="106" t="inlineStr">
        <is>
          <t>SECTION F: CANONICAL GATE RESULTS</t>
        </is>
      </c>
    </row>
    <row r="51" ht="15" customHeight="1" s="97">
      <c r="A51" s="96" t="inlineStr">
        <is>
          <t>NCRC_PASS_A</t>
        </is>
      </c>
      <c r="B51" s="96">
        <f>NCRC!D18</f>
        <v/>
      </c>
    </row>
    <row r="52" ht="15" customHeight="1" s="97">
      <c r="A52" s="96" t="inlineStr">
        <is>
          <t>NCRC_PASS_B</t>
        </is>
      </c>
      <c r="B52" s="96">
        <f>NCRC!D19</f>
        <v/>
      </c>
    </row>
    <row r="53" ht="13.5" customHeight="1" s="97"/>
    <row r="54" ht="15" customHeight="1" s="97">
      <c r="A54" s="96" t="inlineStr">
        <is>
          <t>CVaR_A</t>
        </is>
      </c>
      <c r="B54" s="96" t="n">
        <v>0.0219</v>
      </c>
    </row>
    <row r="55" ht="15" customHeight="1" s="97">
      <c r="A55" s="96" t="inlineStr">
        <is>
          <t>CVaR_B</t>
        </is>
      </c>
      <c r="B55" s="96" t="n">
        <v>0.0315</v>
      </c>
    </row>
    <row r="56" ht="15" customHeight="1" s="97">
      <c r="A56" s="96" t="inlineStr">
        <is>
          <t>TRC_PASS_A</t>
        </is>
      </c>
      <c r="B56" s="96">
        <f>IF(B54&lt;=B58,"PASS","FAIL")</f>
        <v/>
      </c>
    </row>
    <row r="57" ht="15" customHeight="1" s="97">
      <c r="A57" s="96" t="inlineStr">
        <is>
          <t>TRC_PASS_B</t>
        </is>
      </c>
      <c r="B57" s="96">
        <f>IF(B55&lt;=B58,"PASS","FAIL")</f>
        <v/>
      </c>
    </row>
    <row r="58" ht="15" customHeight="1" s="97">
      <c r="A58" s="96" t="inlineStr">
        <is>
          <t>tau_TRC</t>
        </is>
      </c>
      <c r="B58" s="96" t="n">
        <v>0.2</v>
      </c>
      <c r="C58" s="96" t="inlineStr">
        <is>
          <t>(context-specific threshold)</t>
        </is>
      </c>
    </row>
    <row r="59" ht="13.5" customHeight="1" s="97">
      <c r="A59" s="96" t="inlineStr">
        <is>
          <t>RLS_DECISIVE</t>
        </is>
      </c>
      <c r="B59" s="96">
        <f>IF(ABS(B63-B64)/SQRT(2*B26^2+0.000001)&lt;B22,"NO","YES")</f>
        <v/>
      </c>
    </row>
    <row r="60" ht="15" customHeight="1" s="97">
      <c r="A60" s="96" t="inlineStr">
        <is>
          <t>CONTAINMENT_PASS_A</t>
        </is>
      </c>
      <c r="B60" s="96">
        <f>Containment!K14</f>
        <v/>
      </c>
    </row>
    <row r="61" ht="15" customHeight="1" s="97">
      <c r="A61" s="96" t="inlineStr">
        <is>
          <t>CONTAINMENT_PASS_B</t>
        </is>
      </c>
      <c r="B61" s="96">
        <f>Containment!K15</f>
        <v/>
      </c>
    </row>
    <row r="62" ht="13.5" customHeight="1" s="97"/>
    <row r="63" ht="15" customHeight="1" s="97">
      <c r="A63" s="96" t="inlineStr">
        <is>
          <t>RLS_A</t>
        </is>
      </c>
      <c r="B63" s="107">
        <f>RLS!B5</f>
        <v/>
      </c>
    </row>
    <row r="64" ht="15" customHeight="1" s="97">
      <c r="A64" s="96" t="inlineStr">
        <is>
          <t>RLS_B</t>
        </is>
      </c>
      <c r="B64" s="107">
        <f>RLS!B6</f>
        <v/>
      </c>
    </row>
    <row r="65" ht="13.5" customHeight="1" s="97"/>
    <row r="66" ht="15" customHeight="1" s="97">
      <c r="A66" s="106" t="inlineStr">
        <is>
          <t>SECTION G: SELECTION LOGIC</t>
        </is>
      </c>
    </row>
    <row r="67" ht="15" customHeight="1" s="97">
      <c r="A67" s="96" t="inlineStr">
        <is>
          <t>A_NCRC_COUNT</t>
        </is>
      </c>
      <c r="B67" s="96">
        <f>COUNTIF(B51:B52,"PASS")</f>
        <v/>
      </c>
      <c r="C67" s="96" t="inlineStr">
        <is>
          <t>(Options passing NCRC)</t>
        </is>
      </c>
    </row>
    <row r="68" ht="15" customHeight="1" s="97">
      <c r="A68" s="96" t="inlineStr">
        <is>
          <t>A_ADM_COUNT</t>
        </is>
      </c>
      <c r="B68" s="96">
        <f>COUNTIFS(B51:B52,"PASS",B56:B57,"PASS")</f>
        <v/>
      </c>
      <c r="C68" s="96" t="inlineStr">
        <is>
          <t>(Options passing NCRC+TRC)</t>
        </is>
      </c>
    </row>
    <row r="69" ht="13.5" customHeight="1" s="97"/>
    <row r="70" ht="15" customHeight="1" s="97">
      <c r="A70" s="96" t="inlineStr">
        <is>
          <t>SELECTION_MODE</t>
        </is>
      </c>
      <c r="B70" s="96">
        <f>IF(B67=0,"EMERGENCY_MODE",IF(AND(B67&gt;0,B68=0),"TRC_FALLBACK","NORMAL"))</f>
        <v/>
      </c>
    </row>
    <row r="71" ht="15" customHeight="1" s="97">
      <c r="A71" s="96" t="inlineStr">
        <is>
          <t>SELECTED_OPTION</t>
        </is>
      </c>
      <c r="B71" s="96">
        <f>IF(B70="EMERGENCY_MODE","",IF(B70="TRC_FALLBACK",IF(B54&lt;=B55,"A","B"),IF(AND(B51="PASS",B56="PASS",OR(B52&lt;&gt;"PASS",B57&lt;&gt;"PASS")),"A",IF(AND(B52="PASS",B57="PASS",OR(B51&lt;&gt;"PASS",B56&lt;&gt;"PASS")),"B",IF(B63&gt;B64,"A",IF(B64&gt;B63,"B","TIE"))))))</f>
        <v/>
      </c>
    </row>
    <row r="72" ht="15" customHeight="1" s="97">
      <c r="A72" s="96" t="inlineStr">
        <is>
          <t>SELECTION_BASIS</t>
        </is>
      </c>
      <c r="B72" s="96">
        <f>IF(B70="EMERGENCY_MODE","No rights-admissible options",IF(B70="TRC_FALLBACK","Min CVaR (TRC fallback)",IF(B59="NO",IF(B63&gt;B64,"Non-decisive RLS lead; judgment call documented",IF(B64&gt;B63,"Non-decisive RLS lead; judgment call documented","RLS tie - requires UCI")),IF(B71="TIE","RLS tie - requires UCI","RLS comparison"))))</f>
        <v/>
      </c>
    </row>
    <row r="73" ht="15" customHeight="1" s="97">
      <c r="A73" s="96" t="inlineStr">
        <is>
          <t>ESCALATION_REQUIRED</t>
        </is>
      </c>
      <c r="B73" s="96">
        <f>IF(OR(B70="EMERGENCY_MODE",B70="TRC_FALLBACK"),"YES","NO")</f>
        <v/>
      </c>
    </row>
    <row r="74" ht="13.5" customHeight="1" s="97"/>
    <row r="75" ht="15" customHeight="1" s="97">
      <c r="A75" s="106" t="inlineStr">
        <is>
          <t>SECTION H: CATASTROPHE INPUT VALIDATION</t>
        </is>
      </c>
    </row>
    <row r="76" ht="15" customHeight="1" s="97">
      <c r="A76" s="96" t="inlineStr">
        <is>
          <t>CCAT_BLANK_COUNT</t>
        </is>
      </c>
      <c r="B76" s="96" t="n">
        <v>0</v>
      </c>
      <c r="C76" s="96" t="inlineStr">
        <is>
          <t>(Must be 0 when TRC active)</t>
        </is>
      </c>
    </row>
    <row r="77" ht="15" customHeight="1" s="97">
      <c r="A77" s="96" t="inlineStr">
        <is>
          <t>SCENARIO_IMPACT_MISSING</t>
        </is>
      </c>
      <c r="B77" s="96" t="n">
        <v>0</v>
      </c>
    </row>
    <row r="78" ht="13.5" customHeight="1" s="97"/>
    <row r="79" ht="15" customHeight="1" s="97">
      <c r="A79" s="106" t="inlineStr">
        <is>
          <t>SECTION I: CLAIMABILITY</t>
        </is>
      </c>
    </row>
    <row r="80" ht="15" customHeight="1" s="97">
      <c r="A80" s="96" t="inlineStr">
        <is>
          <t>INVALID_FLAGS_COUNT</t>
        </is>
      </c>
      <c r="B80" s="108">
        <f>Audit_Flags!B21</f>
        <v/>
      </c>
      <c r="C80" s="96" t="inlineStr">
        <is>
          <t>(computed from Audit_Flags)</t>
        </is>
      </c>
    </row>
    <row r="81" ht="15" customHeight="1" s="97">
      <c r="A81" s="96" t="inlineStr">
        <is>
          <t>CLAIMABLE_RUN</t>
        </is>
      </c>
      <c r="B81" s="108">
        <f>IF(OR(B71="",B71="TIE"),"NO",IF(B71="A",IF(AND(B51="PASS",B56="PASS",B60="PASS",B80=0,OR(B85="YES",B84="YES")),"YES","NO"),IF(B71="B",IF(AND(B52="PASS",B57="PASS",B61="PASS",B80=0,OR(B85="YES",B84="YES")),"YES","NO"),"NO")))</f>
        <v/>
      </c>
    </row>
    <row r="82" ht="14.25" customHeight="1" s="97">
      <c r="A82" s="96" t="inlineStr">
        <is>
          <t>WORKBOOK_MODE</t>
        </is>
      </c>
      <c r="B82" s="96" t="inlineStr">
        <is>
          <t>WORKED_RUN</t>
        </is>
      </c>
      <c r="C82" s="96" t="inlineStr">
        <is>
          <t>(TEMPLATE or WORKED_RUN)</t>
        </is>
      </c>
    </row>
    <row r="83" ht="14.25" customHeight="1" s="97">
      <c r="A83" s="96" t="inlineStr">
        <is>
          <t>PUBLISH_READY_SUMMARY</t>
        </is>
      </c>
      <c r="B83" s="96">
        <f>B118</f>
        <v/>
      </c>
      <c r="C83" s="96" t="inlineStr">
        <is>
          <t>(summary alias to master publish gate at B118)</t>
        </is>
      </c>
    </row>
    <row r="84" ht="13.5" customHeight="1" s="97">
      <c r="A84" s="104" t="inlineStr">
        <is>
          <t>NO_PARTIAL_TESTS</t>
        </is>
      </c>
      <c r="B84" s="104" t="inlineStr">
        <is>
          <t>YES</t>
        </is>
      </c>
      <c r="C84" s="104" t="inlineStr">
        <is>
          <t>Worked-run companion does not carry unresolved wrapper-level Partial tests.</t>
        </is>
      </c>
    </row>
    <row r="85" ht="14.25" customHeight="1" s="97">
      <c r="A85" s="109" t="inlineStr">
        <is>
          <t>WAIVER_APPROVED</t>
        </is>
      </c>
      <c r="B85" s="104" t="inlineStr">
        <is>
          <t>NO</t>
        </is>
      </c>
      <c r="C85" s="104" t="inlineStr">
        <is>
          <t>No waiver used in this worked-run exemplar.</t>
        </is>
      </c>
    </row>
    <row r="86" ht="42" customHeight="1" s="97">
      <c r="A86" s="96" t="inlineStr">
        <is>
          <t>CLAIMABILITY_RULE</t>
        </is>
      </c>
      <c r="B86" s="110" t="inlineStr">
        <is>
          <t>Selected option must pass NCRC, TRC, and Containment; INVALID_FLAGS_COUNT must equal 0; and either WAIVER_APPROVED=YES or NO_PARTIAL_TESTS=YES.</t>
        </is>
      </c>
      <c r="C86" s="104" t="inlineStr">
        <is>
          <t>Deterministic worked-run claimability predicate.</t>
        </is>
      </c>
    </row>
    <row r="87" ht="14.25" customHeight="1" s="97">
      <c r="D87" s="111" t="n"/>
    </row>
    <row r="88" ht="14.25" customHeight="1" s="97">
      <c r="A88" s="96" t="inlineStr">
        <is>
          <t>Field</t>
        </is>
      </c>
      <c r="B88" s="96" t="inlineStr">
        <is>
          <t>Value</t>
        </is>
      </c>
      <c r="C88" s="96" t="inlineStr">
        <is>
          <t>Expected Type</t>
        </is>
      </c>
      <c r="D88" s="111" t="inlineStr">
        <is>
          <t>Status</t>
        </is>
      </c>
    </row>
    <row r="89" ht="14.25" customHeight="1" s="97">
      <c r="A89" s="96" t="inlineStr">
        <is>
          <t>TIER</t>
        </is>
      </c>
      <c r="B89" s="96">
        <f>B10</f>
        <v/>
      </c>
      <c r="C89" s="96" t="inlineStr">
        <is>
          <t>integer 1-3</t>
        </is>
      </c>
      <c r="D89" s="111">
        <f>IF(AND(ISNUMBER(B89),B89=INT(B89),B89&gt;=1,B89&lt;=3),"PASS","FAIL")</f>
        <v/>
      </c>
    </row>
    <row r="90" ht="14.25" customHeight="1" s="97">
      <c r="A90" s="96" t="inlineStr">
        <is>
          <t>alpha</t>
        </is>
      </c>
      <c r="B90" s="96">
        <f>B18</f>
        <v/>
      </c>
      <c r="C90" s="96" t="inlineStr">
        <is>
          <t>decimal 0-1</t>
        </is>
      </c>
      <c r="D90" s="111">
        <f>IF(AND(ISNUMBER(B90),B90&gt;=0,B90&lt;=1),"PASS","FAIL")</f>
        <v/>
      </c>
    </row>
    <row r="91" ht="14.25" customHeight="1" s="97">
      <c r="A91" s="96" t="inlineStr">
        <is>
          <t>beta</t>
        </is>
      </c>
      <c r="B91" s="96">
        <f>B19</f>
        <v/>
      </c>
      <c r="C91" s="96" t="inlineStr">
        <is>
          <t>decimal 0-1</t>
        </is>
      </c>
      <c r="D91" s="111">
        <f>IF(AND(ISNUMBER(B91),B91&gt;=0,B91&lt;=1),"PASS","FAIL")</f>
        <v/>
      </c>
    </row>
    <row r="92" ht="14.25" customHeight="1" s="97">
      <c r="A92" s="96" t="inlineStr">
        <is>
          <t>beta_saturation</t>
        </is>
      </c>
      <c r="B92" s="96">
        <f>B20</f>
        <v/>
      </c>
      <c r="C92" s="96" t="inlineStr">
        <is>
          <t>positive integer</t>
        </is>
      </c>
      <c r="D92" s="111">
        <f>IF(AND(ISNUMBER(B92),B92=INT(B92),B92&gt;0),"PASS","FAIL")</f>
        <v/>
      </c>
    </row>
    <row r="93" ht="14.25" customHeight="1" s="97">
      <c r="A93" s="96" t="inlineStr">
        <is>
          <t>beta_prop</t>
        </is>
      </c>
      <c r="B93" s="96">
        <f>B21</f>
        <v/>
      </c>
      <c r="C93" s="96" t="inlineStr">
        <is>
          <t>binary 0/1</t>
        </is>
      </c>
      <c r="D93" s="111">
        <f>IF(OR(B93=0,B93=1),"PASS","FAIL")</f>
        <v/>
      </c>
    </row>
    <row r="94" ht="14.25" customHeight="1" s="97">
      <c r="A94" s="96" t="inlineStr">
        <is>
          <t>delta</t>
        </is>
      </c>
      <c r="B94" s="96">
        <f>B22</f>
        <v/>
      </c>
      <c r="C94" s="96" t="inlineStr">
        <is>
          <t>positive number</t>
        </is>
      </c>
      <c r="D94" s="111">
        <f>IF(AND(ISNUMBER(B94),B94&gt;0),"PASS","FAIL")</f>
        <v/>
      </c>
    </row>
    <row r="95" ht="14.25" customHeight="1" s="97">
      <c r="A95" s="96" t="inlineStr">
        <is>
          <t>theta_pos</t>
        </is>
      </c>
      <c r="B95" s="96">
        <f>B23</f>
        <v/>
      </c>
      <c r="C95" s="96" t="inlineStr">
        <is>
          <t>decimal 0-1</t>
        </is>
      </c>
      <c r="D95" s="111">
        <f>IF(AND(ISNUMBER(B95),B95&gt;=0,B95&lt;=1),"PASS","FAIL")</f>
        <v/>
      </c>
    </row>
    <row r="96" ht="14.25" customHeight="1" s="97">
      <c r="A96" s="96" t="inlineStr">
        <is>
          <t>tau_c</t>
        </is>
      </c>
      <c r="B96" s="96">
        <f>B24</f>
        <v/>
      </c>
      <c r="C96" s="96" t="inlineStr">
        <is>
          <t>negative number</t>
        </is>
      </c>
      <c r="D96" s="111">
        <f>IF(AND(ISNUMBER(B96),B96&lt;0),"PASS","FAIL")</f>
        <v/>
      </c>
    </row>
    <row r="97" ht="14.25" customHeight="1" s="97">
      <c r="A97" s="96" t="inlineStr">
        <is>
          <t>T_ref</t>
        </is>
      </c>
      <c r="B97" s="96">
        <f>B25</f>
        <v/>
      </c>
      <c r="C97" s="96" t="inlineStr">
        <is>
          <t>positive integer</t>
        </is>
      </c>
      <c r="D97" s="111">
        <f>IF(AND(ISNUMBER(B97),B97=INT(B97),B97&gt;0),"PASS","FAIL")</f>
        <v/>
      </c>
    </row>
    <row r="98" ht="14.25" customHeight="1" s="97">
      <c r="A98" s="96" t="inlineStr">
        <is>
          <t>sigma_est</t>
        </is>
      </c>
      <c r="B98" s="96">
        <f>B26</f>
        <v/>
      </c>
      <c r="C98" s="96" t="inlineStr">
        <is>
          <t>decimal &gt;=0</t>
        </is>
      </c>
      <c r="D98" s="111">
        <f>IF(AND(ISNUMBER(B98),B98&gt;=0),"PASS","FAIL")</f>
        <v/>
      </c>
    </row>
    <row r="99" ht="14.25" customHeight="1" s="97">
      <c r="A99" s="96" t="inlineStr">
        <is>
          <t>TRC_ACTIVE</t>
        </is>
      </c>
      <c r="B99" s="96">
        <f>B13</f>
        <v/>
      </c>
      <c r="C99" s="96" t="inlineStr">
        <is>
          <t>binary 0/1</t>
        </is>
      </c>
      <c r="D99" s="111">
        <f>IF(OR(B99=0,B99=1),"PASS","FAIL")</f>
        <v/>
      </c>
    </row>
    <row r="100" ht="14.25" customHeight="1" s="97">
      <c r="A100" s="96" t="inlineStr">
        <is>
          <t>SIGMA_ALLOWED</t>
        </is>
      </c>
      <c r="B100" s="96">
        <f>B14</f>
        <v/>
      </c>
      <c r="C100" s="96" t="inlineStr">
        <is>
          <t>binary 0/1</t>
        </is>
      </c>
      <c r="D100" s="111">
        <f>IF(OR(B100=0,B100=1),"PASS","FAIL")</f>
        <v/>
      </c>
    </row>
    <row r="101" ht="14.25" customHeight="1" s="97">
      <c r="A101" s="96" t="inlineStr">
        <is>
          <t>SIGMA_REQUIRED</t>
        </is>
      </c>
      <c r="B101" s="96">
        <f>B15</f>
        <v/>
      </c>
      <c r="C101" s="96" t="inlineStr">
        <is>
          <t>binary 0/1</t>
        </is>
      </c>
      <c r="D101" s="111">
        <f>IF(OR(B101=0,B101=1),"PASS","FAIL")</f>
        <v/>
      </c>
    </row>
    <row r="102" ht="14.25" customHeight="1" s="97">
      <c r="A102" s="96" t="inlineStr">
        <is>
          <t>RIGHTS_COUNT</t>
        </is>
      </c>
      <c r="B102" s="96">
        <f>B38</f>
        <v/>
      </c>
      <c r="C102" s="96" t="inlineStr">
        <is>
          <t>integer = 8</t>
        </is>
      </c>
      <c r="D102" s="111">
        <f>IF(AND(ISNUMBER(B102),B102=INT(B102),B102=8),"PASS","FAIL")</f>
        <v/>
      </c>
    </row>
    <row r="103" ht="14.25" customHeight="1" s="97">
      <c r="A103" s="96" t="inlineStr">
        <is>
          <t>Note: MANDATORY_TAILS_COUNT canonical location is B41</t>
        </is>
      </c>
      <c r="B103" s="96">
        <f>B41</f>
        <v/>
      </c>
      <c r="C103" s="96" t="inlineStr">
        <is>
          <t>integer 5-6</t>
        </is>
      </c>
      <c r="D103" s="111">
        <f>IF(AND(ISNUMBER(B103),B103=INT(B103),B103&gt;=5,B103&lt;=6),"PASS","FAIL")</f>
        <v/>
      </c>
    </row>
    <row r="104" ht="14.25" customHeight="1" s="97">
      <c r="A104" s="96" t="inlineStr">
        <is>
          <t>CVaR_A</t>
        </is>
      </c>
      <c r="B104" s="96">
        <f>B54</f>
        <v/>
      </c>
      <c r="C104" s="96" t="inlineStr">
        <is>
          <t>decimal &gt;=0</t>
        </is>
      </c>
      <c r="D104" s="111">
        <f>IF(AND(ISNUMBER(B104),B104&gt;=0),"PASS","FAIL")</f>
        <v/>
      </c>
    </row>
    <row r="105" ht="14.25" customHeight="1" s="97">
      <c r="A105" s="96" t="inlineStr">
        <is>
          <t>CVaR_B</t>
        </is>
      </c>
      <c r="B105" s="96">
        <f>B55</f>
        <v/>
      </c>
      <c r="C105" s="96" t="inlineStr">
        <is>
          <t>decimal &gt;=0</t>
        </is>
      </c>
      <c r="D105" s="111">
        <f>IF(AND(ISNUMBER(B105),B105&gt;=0),"PASS","FAIL")</f>
        <v/>
      </c>
    </row>
    <row r="106" ht="14.25" customHeight="1" s="97">
      <c r="A106" s="96" t="inlineStr">
        <is>
          <t>tau_TRC</t>
        </is>
      </c>
      <c r="B106" s="96">
        <f>B58</f>
        <v/>
      </c>
      <c r="C106" s="96" t="inlineStr">
        <is>
          <t>decimal 0-1</t>
        </is>
      </c>
      <c r="D106" s="111">
        <f>IF(AND(ISNUMBER(B106),B106&gt;=0,B106&lt;=1),"PASS","FAIL")</f>
        <v/>
      </c>
    </row>
    <row r="107" ht="14.25" customHeight="1" s="97">
      <c r="A107" s="96" t="inlineStr">
        <is>
          <t>RLS_A</t>
        </is>
      </c>
      <c r="B107" s="107">
        <f>B63</f>
        <v/>
      </c>
      <c r="C107" s="96" t="inlineStr">
        <is>
          <t>decimal</t>
        </is>
      </c>
      <c r="D107" s="111">
        <f>IF(ISNUMBER(B107),"PASS","FAIL")</f>
        <v/>
      </c>
    </row>
    <row r="108" ht="14.25" customHeight="1" s="97">
      <c r="A108" s="96" t="inlineStr">
        <is>
          <t>RLS_B</t>
        </is>
      </c>
      <c r="B108" s="107">
        <f>B64</f>
        <v/>
      </c>
      <c r="C108" s="96" t="inlineStr">
        <is>
          <t>decimal</t>
        </is>
      </c>
      <c r="D108" s="111">
        <f>IF(ISNUMBER(B108),"PASS","FAIL")</f>
        <v/>
      </c>
    </row>
    <row r="109" ht="14.25" customHeight="1" s="97">
      <c r="A109" s="96" t="inlineStr">
        <is>
          <t>A_NCRC_COUNT</t>
        </is>
      </c>
      <c r="B109" s="96">
        <f>B67</f>
        <v/>
      </c>
      <c r="C109" s="96" t="inlineStr">
        <is>
          <t>nonneg integer</t>
        </is>
      </c>
      <c r="D109" s="111">
        <f>IF(AND(ISNUMBER(B109),B109=INT(B109),B109&gt;=0),"PASS","FAIL")</f>
        <v/>
      </c>
    </row>
    <row r="110" ht="14.25" customHeight="1" s="97">
      <c r="A110" s="96" t="inlineStr">
        <is>
          <t>A_ADM_COUNT</t>
        </is>
      </c>
      <c r="B110" s="96">
        <f>B68</f>
        <v/>
      </c>
      <c r="C110" s="96" t="inlineStr">
        <is>
          <t>nonneg integer</t>
        </is>
      </c>
      <c r="D110" s="111">
        <f>IF(AND(ISNUMBER(B110),B110=INT(B110),B110&gt;=0),"PASS","FAIL")</f>
        <v/>
      </c>
    </row>
    <row r="111" ht="14.25" customHeight="1" s="97">
      <c r="A111" s="96" t="inlineStr">
        <is>
          <t>CCAT_BLANK_COUNT</t>
        </is>
      </c>
      <c r="B111" s="96">
        <f>B76</f>
        <v/>
      </c>
      <c r="C111" s="96" t="inlineStr">
        <is>
          <t>nonneg integer</t>
        </is>
      </c>
      <c r="D111" s="111">
        <f>IF(AND(ISNUMBER(B111),B111=INT(B111),B111&gt;=0),"PASS","FAIL")</f>
        <v/>
      </c>
    </row>
    <row r="112" ht="14.25" customHeight="1" s="97">
      <c r="A112" s="96" t="inlineStr">
        <is>
          <t>INVALID_FLAGS</t>
        </is>
      </c>
      <c r="B112" s="96">
        <f>B80</f>
        <v/>
      </c>
      <c r="C112" s="96" t="inlineStr">
        <is>
          <t>nonneg integer</t>
        </is>
      </c>
      <c r="D112" s="111">
        <f>IF(AND(ISNUMBER(B112),B112=INT(B112),B112&gt;=0),"PASS","FAIL")</f>
        <v/>
      </c>
    </row>
    <row r="113" ht="13.5" customHeight="1" s="97"/>
    <row r="114" ht="14.25" customHeight="1" s="97">
      <c r="A114" s="109" t="inlineStr">
        <is>
          <t>SCHEMA ROLLUP</t>
        </is>
      </c>
    </row>
    <row r="115" ht="14.25" customHeight="1" s="97">
      <c r="A115" s="109" t="inlineStr">
        <is>
          <t>PUBLISH GATES (computed)</t>
        </is>
      </c>
      <c r="B115" s="111" t="n">
        <v>0</v>
      </c>
      <c r="C115" s="96" t="inlineStr">
        <is>
          <t>must be 0</t>
        </is>
      </c>
    </row>
    <row r="116" ht="14.25" customHeight="1" s="97">
      <c r="A116" s="96" t="inlineStr">
        <is>
          <t>SCHEMA_FAIL_COUNT</t>
        </is>
      </c>
      <c r="B116" s="111">
        <f>COUNTIF(D89:D112,"FAIL")</f>
        <v/>
      </c>
      <c r="C116" s="96" t="inlineStr">
        <is>
          <t>(must be 0)</t>
        </is>
      </c>
    </row>
    <row r="117" ht="14.25" customHeight="1" s="97">
      <c r="A117" s="96" t="inlineStr">
        <is>
          <t>PLACEHOLDER_COUNT</t>
        </is>
      </c>
      <c r="B117" s="108">
        <f>COUNTIF(Dashboard!A1:Z100,"*[[]*")+COUNTIF(Dashboard!A1:Z100,"*PLACEHOLDER*")</f>
        <v/>
      </c>
      <c r="C117" s="96" t="inlineStr">
        <is>
          <t>(scans Dashboard for [ bracket placeholders; ID brackets removed for clarity)</t>
        </is>
      </c>
    </row>
    <row r="118" ht="14.25" customHeight="1" s="97">
      <c r="A118" s="96" t="inlineStr">
        <is>
          <t>PUBLISH_READY</t>
        </is>
      </c>
      <c r="B118" s="108">
        <f>IF(OR(Audit_Flags!B21&gt;0,Audit_Flags!B12="YES",Audit_Flags!B18="YES",CANON!B116&gt;0,CANON!B117&gt;0,CANON!B80&gt;0,Scenario_Impacts!N5="FAIL",Scenario_Impacts!N7="FAIL",Sanity_Checklist!G4="FAIL"),"NO","YES")</f>
        <v/>
      </c>
      <c r="C118" s="96" t="inlineStr">
        <is>
          <t>(master publish gate)</t>
        </is>
      </c>
    </row>
    <row r="119" ht="13.5" customHeight="1" s="97"/>
    <row r="120" ht="14.25" customHeight="1" s="97">
      <c r="A120" s="109">
        <f>"RELEASE INTEGRITY PANEL ("&amp;B7&amp;")"</f>
        <v/>
      </c>
    </row>
    <row r="121" ht="14.25" customHeight="1" s="97">
      <c r="A121" s="96" t="inlineStr">
        <is>
          <t>sanity_fail_count:</t>
        </is>
      </c>
      <c r="B121" s="108">
        <f>Sanity_Checklist!B40</f>
        <v/>
      </c>
    </row>
    <row r="122" ht="14.25" customHeight="1" s="97">
      <c r="A122" s="96" t="inlineStr">
        <is>
          <t>invalid_count:</t>
        </is>
      </c>
      <c r="B122" s="108">
        <f>Audit_Flags!B21</f>
        <v/>
      </c>
    </row>
    <row r="123" ht="14.25" customHeight="1" s="97">
      <c r="A123" s="96" t="inlineStr">
        <is>
          <t>manual_override:</t>
        </is>
      </c>
      <c r="B123" s="108">
        <f>Audit_Flags!B18</f>
        <v/>
      </c>
    </row>
    <row r="124" ht="14.25" customHeight="1" s="97">
      <c r="A124" s="96" t="inlineStr">
        <is>
          <t>placeholder_count:</t>
        </is>
      </c>
      <c r="B124" s="108">
        <f>B117</f>
        <v/>
      </c>
    </row>
    <row r="125" ht="14.25" customHeight="1" s="97">
      <c r="A125" s="96" t="inlineStr">
        <is>
          <t>publish_ready_master:</t>
        </is>
      </c>
      <c r="B125" s="108">
        <f>B118</f>
        <v/>
      </c>
    </row>
    <row r="126" ht="13.5" customHeight="1" s="97"/>
    <row r="127" ht="14.25" customHeight="1" s="97">
      <c r="A127" s="96" t="inlineStr">
        <is>
          <t>AUDIT CHECK:</t>
        </is>
      </c>
      <c r="B127" s="108">
        <f>IF(AND(B121=0,B122=0,B123="NO",B125="YES"),"✓ PUBLISH OK","❌ REVIEW NEEDED")</f>
        <v/>
      </c>
    </row>
    <row r="128" ht="13.5" customHeight="1" s="97"/>
    <row r="129" ht="15" customHeight="1" s="97">
      <c r="A129" s="112" t="inlineStr">
        <is>
          <t>SECTION G: v9.6.4 REPRESENTATION LAYER</t>
        </is>
      </c>
      <c r="B129" s="113" t="n"/>
      <c r="C129" s="113" t="n"/>
    </row>
    <row r="130" ht="13.5" customHeight="1" s="97">
      <c r="A130" s="114" t="inlineStr">
        <is>
          <t>SCI_LEVEL</t>
        </is>
      </c>
      <c r="B130" s="114" t="n">
        <v>1</v>
      </c>
      <c r="C130" s="115" t="inlineStr">
        <is>
          <t>SCI-0..SCI-4; Tier 2 minimum = SCI-1</t>
        </is>
      </c>
    </row>
    <row r="131" ht="13.5" customHeight="1" s="97">
      <c r="A131" s="114" t="inlineStr">
        <is>
          <t>SCI_JUSTIFICATION</t>
        </is>
      </c>
      <c r="B131" s="114" t="inlineStr">
        <is>
          <t>Key stakeholders identified; roles mapped to scopes; coverage documented</t>
        </is>
      </c>
      <c r="C131" s="113" t="n"/>
    </row>
    <row r="132" ht="13.5" customHeight="1" s="97">
      <c r="A132" s="114" t="inlineStr">
        <is>
          <t>SCI_NEXT_RUN_UPGRADE</t>
        </is>
      </c>
      <c r="B132" s="114" t="inlineStr">
        <is>
          <t>Expand to SCI-2: structured discovery protocol with evidence refs</t>
        </is>
      </c>
      <c r="C132" s="115" t="inlineStr">
        <is>
          <t>REQUIRED when SCI equals tier minimum</t>
        </is>
      </c>
    </row>
    <row r="133" ht="13.5" customHeight="1" s="97">
      <c r="A133" s="114" t="inlineStr">
        <is>
          <t>SCOPE_COVERAGE_MODE</t>
        </is>
      </c>
      <c r="B133" s="114" t="inlineStr">
        <is>
          <t>FULL</t>
        </is>
      </c>
      <c r="C133" s="115" t="inlineStr">
        <is>
          <t>FULL or REDUCED; if REDUCED: ScopeCoverage declaration REQUIRED</t>
        </is>
      </c>
    </row>
    <row r="134" ht="13.5" customHeight="1" s="97">
      <c r="A134" s="114" t="inlineStr">
        <is>
          <t>ACTIVE_SCOPES</t>
        </is>
      </c>
      <c r="B134" s="114" t="inlineStr">
        <is>
          <t>U1,U2,U3,U4,U5,U6,U7</t>
        </is>
      </c>
      <c r="C134" s="113" t="n"/>
    </row>
    <row r="135" ht="13.5" customHeight="1" s="97">
      <c r="A135" s="114" t="inlineStr">
        <is>
          <t>OMITTED_SCOPES</t>
        </is>
      </c>
      <c r="B135" s="114" t="inlineStr">
        <is>
          <t>NONE</t>
        </is>
      </c>
      <c r="C135" s="113" t="n"/>
    </row>
    <row r="136" ht="13.5" customHeight="1" s="97">
      <c r="A136" s="114" t="inlineStr">
        <is>
          <t>SDP_PERFORMED</t>
        </is>
      </c>
      <c r="B136" s="114" t="inlineStr">
        <is>
          <t>YES</t>
        </is>
      </c>
      <c r="C136" s="115" t="inlineStr">
        <is>
          <t>Stakeholder Discovery Protocol (v9.6.4 Section 2.2A)</t>
        </is>
      </c>
    </row>
    <row r="137" ht="33.75" customHeight="1" s="97">
      <c r="A137" s="114" t="inlineStr">
        <is>
          <t>UNCERTAINTY_METHOD</t>
        </is>
      </c>
      <c r="B137" s="114" t="inlineStr">
        <is>
          <t>C</t>
        </is>
      </c>
      <c r="C137" s="116" t="inlineStr">
        <is>
          <t>Method C worked-run profile: a constant σ exemplar is used for all active welfare cells in this workbook for demonstration and replay clarity. This is a worked-run simplification, not a production-calibrated uncertainty model.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L50"/>
  <sheetViews>
    <sheetView showGridLines="1" workbookViewId="0">
      <selection activeCell="A1" sqref="A1"/>
    </sheetView>
  </sheetViews>
  <sheetFormatPr baseColWidth="8" defaultColWidth="8.66796875" defaultRowHeight="14.25"/>
  <cols>
    <col width="30" customWidth="1" style="96" min="1" max="1"/>
    <col width="14" customWidth="1" style="96" min="2" max="3"/>
    <col width="60" customWidth="1" style="96" min="4" max="4"/>
    <col width="32" customWidth="1" style="96" min="5" max="5"/>
    <col width="18" customWidth="1" style="104" min="6" max="6"/>
    <col width="16" customWidth="1" style="104" min="7" max="8"/>
    <col width="22" customWidth="1" style="104" min="9" max="9"/>
    <col width="26" customWidth="1" style="104" min="10" max="10"/>
  </cols>
  <sheetData>
    <row r="1" ht="14.25" customHeight="1" s="97">
      <c r="A1" s="99" t="inlineStr">
        <is>
          <t>AUDIT FLAGS - FORMULA-DRIVEN SSOT (v2.5)</t>
        </is>
      </c>
    </row>
    <row r="2" ht="14.25" customHeight="1" s="97">
      <c r="A2" s="100" t="inlineStr">
        <is>
          <t>ALL Triggered cells (B5:B17) are FORMULAS - zero typed values</t>
        </is>
      </c>
    </row>
    <row r="3" ht="14.25" customHeight="1" s="97">
      <c r="A3" s="122" t="inlineStr">
        <is>
          <t>Manual override detector (B18) catches any tampering</t>
        </is>
      </c>
      <c r="B3" s="106" t="n"/>
      <c r="C3" s="106" t="n"/>
      <c r="D3" s="106" t="n"/>
      <c r="E3" s="106" t="n"/>
    </row>
    <row r="4" ht="14.25" customHeight="1" s="97">
      <c r="A4" s="99" t="inlineStr">
        <is>
          <t>Flag_ID</t>
        </is>
      </c>
      <c r="B4" s="99" t="inlineStr">
        <is>
          <t>Triggered</t>
        </is>
      </c>
      <c r="C4" s="163" t="inlineStr">
        <is>
          <t>Severity</t>
        </is>
      </c>
      <c r="D4" s="99" t="inlineStr">
        <is>
          <t>Description</t>
        </is>
      </c>
      <c r="E4" s="99" t="inlineStr">
        <is>
          <t>Formula Logic</t>
        </is>
      </c>
      <c r="F4" s="99" t="inlineStr">
        <is>
          <t>Source</t>
        </is>
      </c>
      <c r="G4" s="99" t="inlineStr">
        <is>
          <t>Helper_Flag</t>
        </is>
      </c>
      <c r="H4" s="99" t="inlineStr">
        <is>
          <t>Helper_Sev</t>
        </is>
      </c>
    </row>
    <row r="5" ht="14.25" customHeight="1" s="97">
      <c r="A5" s="100" t="inlineStr">
        <is>
          <t>CATASTROPHE_CELL_OMITTED_INVALID</t>
        </is>
      </c>
      <c r="B5" s="121">
        <f>IF(AND(CANON!B13=1,CANON!B76&gt;0),"YES","NO")</f>
        <v/>
      </c>
      <c r="C5" s="164" t="inlineStr">
        <is>
          <t>INVALID</t>
        </is>
      </c>
      <c r="D5" s="100" t="inlineStr">
        <is>
          <t>Any catastrophe cell in C_cat used in TRC loss computation/disclosure is omitted/excluded/not disclosed such that TRC CVaR cannot be independently recomputed (e.g., C_cat blank when TRC active).</t>
        </is>
      </c>
      <c r="E5" s="100">
        <f>IF(AND(CANON!$B$13=1,CANON!$B$76&gt;0),"YES","NO")</f>
        <v/>
      </c>
      <c r="F5" s="100" t="inlineStr">
        <is>
          <t>CANON!B13,B76</t>
        </is>
      </c>
      <c r="G5" s="100">
        <f>IF(B5="YES",A5,"")</f>
        <v/>
      </c>
      <c r="H5" s="100">
        <f>IF(B5="YES",C5,"")</f>
        <v/>
      </c>
      <c r="I5" s="100">
        <f>IF($H5="INVALID",$G5,"")</f>
        <v/>
      </c>
      <c r="J5" s="100">
        <f>IF($H5="ESCALATE",$G5,"")</f>
        <v/>
      </c>
      <c r="K5" s="100">
        <f>IF($H5="REVIEW",$G5,"")</f>
        <v/>
      </c>
      <c r="L5" s="100">
        <f>IF($G5&lt;&gt;"",$G5&amp;" ("&amp;$H5&amp;")","")</f>
        <v/>
      </c>
    </row>
    <row r="6" ht="14.25" customHeight="1" s="97">
      <c r="A6" s="100" t="inlineStr">
        <is>
          <t>MANDATORY_TAIL_CATEGORY_MISSING</t>
        </is>
      </c>
      <c r="B6" s="121">
        <f>IF(WTSL_Categories!$B$17 &lt; WTSL_Categories!$B$16,"YES","NO")</f>
        <v/>
      </c>
      <c r="C6" s="164" t="inlineStr">
        <is>
          <t>ESCALATE</t>
        </is>
      </c>
      <c r="D6" s="100" t="inlineStr">
        <is>
          <t>Missing mandatory tail category (required WTSL category not covered at p_floor).</t>
        </is>
      </c>
      <c r="E6" s="100">
        <f>IF(WTSL_Categories!$B$17 &lt; WTSL_Categories!$B$16,"YES","NO")</f>
        <v/>
      </c>
      <c r="F6" s="100" t="inlineStr">
        <is>
          <t>WTSL_Categories!B16,B17</t>
        </is>
      </c>
      <c r="G6" s="100">
        <f>IF(B6="YES",A6,"")</f>
        <v/>
      </c>
      <c r="H6" s="100">
        <f>IF(B6="YES",C6,"")</f>
        <v/>
      </c>
      <c r="I6" s="100">
        <f>IF($H6="INVALID",$G6,"")</f>
        <v/>
      </c>
      <c r="J6" s="100">
        <f>IF($H6="ESCALATE",$G6,"")</f>
        <v/>
      </c>
      <c r="K6" s="100">
        <f>IF($H6="REVIEW",$G6,"")</f>
        <v/>
      </c>
      <c r="L6" s="100">
        <f>IF($G6&lt;&gt;"",$G6&amp;" ("&amp;$H6&amp;")","")</f>
        <v/>
      </c>
    </row>
    <row r="7" ht="14.25" customHeight="1" s="97">
      <c r="A7" s="100" t="inlineStr">
        <is>
          <t>CONFIG_DRIFT</t>
        </is>
      </c>
      <c r="B7" s="121">
        <f>IF(Config!B2&lt;&gt;CANON!B7,"YES","NO")</f>
        <v/>
      </c>
      <c r="C7" s="164" t="inlineStr">
        <is>
          <t>INVALID</t>
        </is>
      </c>
      <c r="D7" s="100" t="inlineStr">
        <is>
          <t>Config version &lt;&gt; CANON</t>
        </is>
      </c>
      <c r="E7" s="100" t="inlineStr">
        <is>
          <t>Config!B2&lt;&gt;CANON!B7</t>
        </is>
      </c>
      <c r="F7" s="100" t="inlineStr">
        <is>
          <t>Config!B2</t>
        </is>
      </c>
      <c r="G7" s="100">
        <f>IF(B7="YES",A7,"")</f>
        <v/>
      </c>
      <c r="H7" s="100">
        <f>IF(B7="YES",C7,"")</f>
        <v/>
      </c>
      <c r="I7" s="100">
        <f>IF($H7="INVALID",$G7,"")</f>
        <v/>
      </c>
      <c r="J7" s="100">
        <f>IF($H7="ESCALATE",$G7,"")</f>
        <v/>
      </c>
      <c r="K7" s="100">
        <f>IF($H7="REVIEW",$G7,"")</f>
        <v/>
      </c>
      <c r="L7" s="100">
        <f>IF($G7&lt;&gt;"",$G7&amp;" ("&amp;$H7&amp;")","")</f>
        <v/>
      </c>
    </row>
    <row r="8" ht="14.25" customHeight="1" s="97">
      <c r="A8" s="100" t="inlineStr">
        <is>
          <t>RIGHTS_COUNT_MISMATCH</t>
        </is>
      </c>
      <c r="B8" s="121">
        <f>IF(CANON!B38&lt;&gt;8,"YES","NO")</f>
        <v/>
      </c>
      <c r="C8" s="164" t="inlineStr">
        <is>
          <t>INVALID</t>
        </is>
      </c>
      <c r="D8" s="100" t="inlineStr">
        <is>
          <t>Rights count &lt;&gt; 8</t>
        </is>
      </c>
      <c r="E8" s="100" t="inlineStr">
        <is>
          <t>CANON!B38&lt;&gt;8</t>
        </is>
      </c>
      <c r="F8" s="100" t="inlineStr">
        <is>
          <t>CANON!B38</t>
        </is>
      </c>
      <c r="G8" s="100">
        <f>IF(B8="YES",A8,"")</f>
        <v/>
      </c>
      <c r="H8" s="100">
        <f>IF(B8="YES",C8,"")</f>
        <v/>
      </c>
      <c r="I8" s="100">
        <f>IF($H8="INVALID",$G8,"")</f>
        <v/>
      </c>
      <c r="J8" s="100">
        <f>IF($H8="ESCALATE",$G8,"")</f>
        <v/>
      </c>
      <c r="K8" s="100">
        <f>IF($H8="REVIEW",$G8,"")</f>
        <v/>
      </c>
      <c r="L8" s="100">
        <f>IF($G8&lt;&gt;"",$G8&amp;" ("&amp;$H8&amp;")","")</f>
        <v/>
      </c>
    </row>
    <row r="9" ht="14.25" customHeight="1" s="97">
      <c r="A9" s="100" t="inlineStr">
        <is>
          <t>SELECTION_INVALID</t>
        </is>
      </c>
      <c r="B9" s="121">
        <f>IF(OR(CANON!B71="",CANON!B71="NONE"),"YES","NO")</f>
        <v/>
      </c>
      <c r="C9" s="165" t="inlineStr">
        <is>
          <t>INVALID</t>
        </is>
      </c>
      <c r="D9" s="100" t="inlineStr">
        <is>
          <t>No valid selection</t>
        </is>
      </c>
      <c r="E9" s="100" t="inlineStr">
        <is>
          <t>SELECTED_OPTION blank</t>
        </is>
      </c>
      <c r="F9" s="100" t="inlineStr">
        <is>
          <t>CANON!B71</t>
        </is>
      </c>
      <c r="G9" s="100">
        <f>IF(B9="YES",A9,"")</f>
        <v/>
      </c>
      <c r="H9" s="100">
        <f>IF(B9="YES",C9,"")</f>
        <v/>
      </c>
      <c r="I9" s="100">
        <f>IF($H9="INVALID",$G9,"")</f>
        <v/>
      </c>
      <c r="J9" s="100">
        <f>IF($H9="ESCALATE",$G9,"")</f>
        <v/>
      </c>
      <c r="K9" s="100">
        <f>IF($H9="REVIEW",$G9,"")</f>
        <v/>
      </c>
      <c r="L9" s="100">
        <f>IF($G9&lt;&gt;"",$G9&amp;" ("&amp;$H9&amp;")","")</f>
        <v/>
      </c>
    </row>
    <row r="10" ht="14.25" customHeight="1" s="97">
      <c r="A10" s="100" t="inlineStr">
        <is>
          <t>TRC_FALLBACK_INVOKED</t>
        </is>
      </c>
      <c r="B10" s="121">
        <f>IF(AND(CANON!B67&gt;0,CANON!B68=0),"YES","NO")</f>
        <v/>
      </c>
      <c r="C10" s="165" t="inlineStr">
        <is>
          <t>ESCALATE</t>
        </is>
      </c>
      <c r="D10" s="100" t="inlineStr">
        <is>
          <t>TRC failed for admissible</t>
        </is>
      </c>
      <c r="E10" s="100" t="inlineStr">
        <is>
          <t>A_NCRC&gt;0 AND A_ADM=0</t>
        </is>
      </c>
      <c r="F10" s="100" t="inlineStr">
        <is>
          <t>CANON!B67,B68</t>
        </is>
      </c>
      <c r="G10" s="100">
        <f>IF(B10="YES",A10,"")</f>
        <v/>
      </c>
      <c r="H10" s="100">
        <f>IF(B10="YES",C10,"")</f>
        <v/>
      </c>
      <c r="I10" s="100">
        <f>IF($H10="INVALID",$G10,"")</f>
        <v/>
      </c>
      <c r="J10" s="100">
        <f>IF($H10="ESCALATE",$G10,"")</f>
        <v/>
      </c>
      <c r="K10" s="100">
        <f>IF($H10="REVIEW",$G10,"")</f>
        <v/>
      </c>
      <c r="L10" s="100">
        <f>IF($G10&lt;&gt;"",$G10&amp;" ("&amp;$H10&amp;")","")</f>
        <v/>
      </c>
    </row>
    <row r="11" ht="14.25" customHeight="1" s="97">
      <c r="A11" s="100" t="inlineStr">
        <is>
          <t>EMERGENCY_MODE_INVOKED</t>
        </is>
      </c>
      <c r="B11" s="121">
        <f>IF(CANON!B67=0,"YES","NO")</f>
        <v/>
      </c>
      <c r="C11" s="165" t="inlineStr">
        <is>
          <t>ESCALATE</t>
        </is>
      </c>
      <c r="D11" s="100" t="inlineStr">
        <is>
          <t>No rights-admissible options</t>
        </is>
      </c>
      <c r="E11" s="100" t="inlineStr">
        <is>
          <t>A_NCRC_COUNT=0</t>
        </is>
      </c>
      <c r="F11" s="100" t="inlineStr">
        <is>
          <t>CANON!B67</t>
        </is>
      </c>
      <c r="G11" s="100">
        <f>IF(B11="YES",A11,"")</f>
        <v/>
      </c>
      <c r="H11" s="100">
        <f>IF(B11="YES",C11,"")</f>
        <v/>
      </c>
      <c r="I11" s="100">
        <f>IF($H11="INVALID",$G11,"")</f>
        <v/>
      </c>
      <c r="J11" s="100">
        <f>IF($H11="ESCALATE",$G11,"")</f>
        <v/>
      </c>
      <c r="K11" s="100">
        <f>IF($H11="REVIEW",$G11,"")</f>
        <v/>
      </c>
      <c r="L11" s="100">
        <f>IF($G11&lt;&gt;"",$G11&amp;" ("&amp;$H11&amp;")","")</f>
        <v/>
      </c>
    </row>
    <row r="12" ht="14.25" customHeight="1" s="97">
      <c r="A12" s="100" t="inlineStr">
        <is>
          <t>ESCALATION_REQUIRED</t>
        </is>
      </c>
      <c r="B12" s="121">
        <f>IF(CANON!B73="YES","YES","NO")</f>
        <v/>
      </c>
      <c r="C12" s="165" t="inlineStr">
        <is>
          <t>ESCALATE</t>
        </is>
      </c>
      <c r="D12" s="100" t="inlineStr">
        <is>
          <t>Escalation required</t>
        </is>
      </c>
      <c r="E12" s="100" t="inlineStr">
        <is>
          <t>CANON!B73=YES</t>
        </is>
      </c>
      <c r="F12" s="100" t="inlineStr">
        <is>
          <t>CANON!B73</t>
        </is>
      </c>
      <c r="G12" s="100">
        <f>IF(B12="YES",A12,"")</f>
        <v/>
      </c>
      <c r="H12" s="100">
        <f>IF(B12="YES",C12,"")</f>
        <v/>
      </c>
      <c r="I12" s="100">
        <f>IF($H12="INVALID",$G12,"")</f>
        <v/>
      </c>
      <c r="J12" s="100">
        <f>IF($H12="ESCALATE",$G12,"")</f>
        <v/>
      </c>
      <c r="K12" s="100">
        <f>IF($H12="REVIEW",$G12,"")</f>
        <v/>
      </c>
      <c r="L12" s="100">
        <f>IF($G12&lt;&gt;"",$G12&amp;" ("&amp;$H12&amp;")","")</f>
        <v/>
      </c>
    </row>
    <row r="13" ht="14.25" customHeight="1" s="97">
      <c r="A13" s="100" t="inlineStr">
        <is>
          <t>SIGMA_MISSING_REQUIRED</t>
        </is>
      </c>
      <c r="B13" s="121">
        <f>IF(AND(CANON!$B$10&gt;=2,OR(CANON!$B$137="",CANON!$B$26="",CANON!$B$26&lt;=0)),"YES","NO")</f>
        <v/>
      </c>
      <c r="C13" s="166" t="inlineStr">
        <is>
          <t>ESCALATE</t>
        </is>
      </c>
      <c r="D13" s="100" t="inlineStr">
        <is>
          <t>Uncertainty σ required for Tier 2+ but missing/invalid (method or sigma_est not declared).</t>
        </is>
      </c>
      <c r="E13" s="100">
        <f>IF(AND(CANON!$B$10&gt;=2,OR(CANON!$B$137="",CANON!$B$26="",CANON!$B$26&lt;=0)),"YES","NO")</f>
        <v/>
      </c>
      <c r="F13" s="100" t="inlineStr">
        <is>
          <t>CANON!B10,B26,B137</t>
        </is>
      </c>
      <c r="G13" s="100">
        <f>IF(B13="YES",A13,"")</f>
        <v/>
      </c>
      <c r="H13" s="100">
        <f>IF(B13="YES",C13,"")</f>
        <v/>
      </c>
      <c r="I13" s="100">
        <f>IF($H13="INVALID",$G13,"")</f>
        <v/>
      </c>
      <c r="J13" s="100">
        <f>IF($H13="ESCALATE",$G13,"")</f>
        <v/>
      </c>
      <c r="K13" s="100">
        <f>IF($H13="REVIEW",$G13,"")</f>
        <v/>
      </c>
      <c r="L13" s="100">
        <f>IF($G13&lt;&gt;"",$G13&amp;" ("&amp;$H13&amp;")","")</f>
        <v/>
      </c>
    </row>
    <row r="14" ht="14.25" customHeight="1" s="97">
      <c r="A14" s="100" t="inlineStr">
        <is>
          <t>SUBGROUP_LIMITATION</t>
        </is>
      </c>
      <c r="B14" s="121">
        <f>IF(AND(Subgroup_Overrides!B17=0,Subgroup_Analysis!B46=0),"YES","NO")</f>
        <v/>
      </c>
      <c r="C14" s="166" t="inlineStr">
        <is>
          <t>REVIEW</t>
        </is>
      </c>
      <c r="D14" s="100" t="inlineStr">
        <is>
          <t>No subgroup override entries AND no documented subgroup analysis</t>
        </is>
      </c>
      <c r="E14" s="100" t="inlineStr">
        <is>
          <t>Overrides=0 AND analysis_done=0</t>
        </is>
      </c>
      <c r="F14" s="100" t="inlineStr">
        <is>
          <t>Subgroup_Overrides!B17 + Subgroup_Analysis!B46</t>
        </is>
      </c>
      <c r="G14" s="100">
        <f>IF(B14="YES",A14,"")</f>
        <v/>
      </c>
      <c r="H14" s="100">
        <f>IF(B14="YES",C14,"")</f>
        <v/>
      </c>
      <c r="I14" s="100">
        <f>IF($H14="INVALID",$G14,"")</f>
        <v/>
      </c>
      <c r="J14" s="100">
        <f>IF($H14="ESCALATE",$G14,"")</f>
        <v/>
      </c>
      <c r="K14" s="100">
        <f>IF($H14="REVIEW",$G14,"")</f>
        <v/>
      </c>
      <c r="L14" s="100">
        <f>IF($G14&lt;&gt;"",$G14&amp;" ("&amp;$H14&amp;")","")</f>
        <v/>
      </c>
    </row>
    <row r="15" ht="14.25" customHeight="1" s="97">
      <c r="A15" s="100" t="inlineStr">
        <is>
          <t>NONDECISIVE_GAP_REVIEW</t>
        </is>
      </c>
      <c r="B15" s="121">
        <f>IF(ABS(CANON!B63-CANON!B64)/SQRT(2*CANON!B26^2+0.000001)&lt;CANON!B22,"YES","NO")</f>
        <v/>
      </c>
      <c r="C15" s="166" t="inlineStr">
        <is>
          <t>REVIEW</t>
        </is>
      </c>
      <c r="D15" s="100" t="inlineStr">
        <is>
          <t>RLS discrimination band indicates a non-decisive gap (Gap ≤ δ / RLS!B38 = NON-DECISIVE), requiring reviewer attention / UCI.</t>
        </is>
      </c>
      <c r="E15" s="100">
        <f>IF(ABS(CANON!$B$63-CANON!$B$64)/SQRT(2*CANON!$B$26^2+0.000001)&lt;CANON!$B$22,"YES","NO")</f>
        <v/>
      </c>
      <c r="F15" s="100" t="inlineStr">
        <is>
          <t>CANON!B10,RLS!B38,CANON!B94</t>
        </is>
      </c>
      <c r="G15" s="100">
        <f>IF(B15="YES",A15,"")</f>
        <v/>
      </c>
      <c r="H15" s="100">
        <f>IF(B15="YES",C15,"")</f>
        <v/>
      </c>
      <c r="I15" s="100">
        <f>IF($H15="INVALID",$G15,"")</f>
        <v/>
      </c>
      <c r="J15" s="100">
        <f>IF($H15="ESCALATE",$G15,"")</f>
        <v/>
      </c>
      <c r="K15" s="100">
        <f>IF($H15="REVIEW",$G15,"")</f>
        <v/>
      </c>
      <c r="L15" s="100">
        <f>IF($G15&lt;&gt;"",$G15&amp;" ("&amp;$H15&amp;")","")</f>
        <v/>
      </c>
    </row>
    <row r="16" ht="14.25" customHeight="1" s="97">
      <c r="A16" s="100" t="inlineStr">
        <is>
          <t>UCI_SOURCE_UNVERIFIED</t>
        </is>
      </c>
      <c r="B16" s="121">
        <f>IF(CANON!B10&gt;=3,"YES","NO")</f>
        <v/>
      </c>
      <c r="C16" s="100" t="inlineStr">
        <is>
          <t>REVIEW</t>
        </is>
      </c>
      <c r="D16" s="100" t="inlineStr">
        <is>
          <t>UCI unverified (Tier 3+)</t>
        </is>
      </c>
      <c r="E16" s="100" t="inlineStr">
        <is>
          <t>TIER&gt;=3</t>
        </is>
      </c>
      <c r="F16" s="100" t="inlineStr">
        <is>
          <t>CANON!B10</t>
        </is>
      </c>
      <c r="G16" s="100">
        <f>IF(B16="YES",A16,"")</f>
        <v/>
      </c>
      <c r="H16" s="100">
        <f>IF(B16="YES",C16,"")</f>
        <v/>
      </c>
      <c r="I16" s="100">
        <f>IF($H16="INVALID",$G16,"")</f>
        <v/>
      </c>
      <c r="J16" s="100">
        <f>IF($H16="ESCALATE",$G16,"")</f>
        <v/>
      </c>
      <c r="K16" s="100">
        <f>IF($H16="REVIEW",$G16,"")</f>
        <v/>
      </c>
      <c r="L16" s="100">
        <f>IF($G16&lt;&gt;"",$G16&amp;" ("&amp;$H16&amp;")","")</f>
        <v/>
      </c>
    </row>
    <row r="17" ht="14.25" customHeight="1" s="97">
      <c r="A17" s="100" t="inlineStr">
        <is>
          <t>SENSITIVITY_NOT_RUN</t>
        </is>
      </c>
      <c r="B17" s="121">
        <f>IF(Sensitivity_Analysis!B3="NOT PERFORMED","YES","NO")</f>
        <v/>
      </c>
      <c r="C17" s="100" t="inlineStr">
        <is>
          <t>REVIEW</t>
        </is>
      </c>
      <c r="D17" s="100" t="inlineStr">
        <is>
          <t>Sensitivity not executed</t>
        </is>
      </c>
      <c r="E17" s="100" t="inlineStr">
        <is>
          <t>Status=NOT PERFORMED</t>
        </is>
      </c>
      <c r="F17" s="100" t="inlineStr">
        <is>
          <t>Sensitivity_Analysis!B3</t>
        </is>
      </c>
      <c r="G17" s="100">
        <f>IF(B17="YES",A17,"")</f>
        <v/>
      </c>
      <c r="H17" s="100">
        <f>IF(B17="YES",C17,"")</f>
        <v/>
      </c>
      <c r="I17" s="100">
        <f>IF($H17="INVALID",$G17,"")</f>
        <v/>
      </c>
      <c r="J17" s="100">
        <f>IF($H17="ESCALATE",$G17,"")</f>
        <v/>
      </c>
      <c r="K17" s="100">
        <f>IF($H17="REVIEW",$G17,"")</f>
        <v/>
      </c>
      <c r="L17" s="100">
        <f>IF($G17&lt;&gt;"",$G17&amp;" ("&amp;$H17&amp;")","")</f>
        <v/>
      </c>
    </row>
    <row r="18" ht="14.25" customHeight="1" s="97">
      <c r="A18" s="122" t="inlineStr">
        <is>
          <t>MANUAL_FLAG_OVERRIDE</t>
        </is>
      </c>
      <c r="B18" s="121">
        <f>IF(SUMPRODUCT(--((B5:B17&lt;&gt;"YES")*(B5:B17&lt;&gt;"NO")))+SUMPRODUCT(--((B25:B33&lt;&gt;"YES")*(B25:B33&lt;&gt;"NO")))&gt;0,"YES","NO")</f>
        <v/>
      </c>
      <c r="C18" s="100" t="inlineStr">
        <is>
          <t>INVALID</t>
        </is>
      </c>
      <c r="D18" s="100" t="inlineStr">
        <is>
          <t>Manual override detected</t>
        </is>
      </c>
      <c r="E18" s="100" t="inlineStr">
        <is>
          <t>Triggers if any flag trigger cell is not an explicit YES/NO (format break / potential manual overwrite).</t>
        </is>
      </c>
      <c r="F18" s="100" t="inlineStr">
        <is>
          <t>Self-check</t>
        </is>
      </c>
      <c r="G18" s="100">
        <f>IF(B18="YES",A18,"")</f>
        <v/>
      </c>
      <c r="H18" s="100">
        <f>IF(B18="YES",C18,"")</f>
        <v/>
      </c>
      <c r="I18" s="100">
        <f>IF($H18="INVALID",$G18,"")</f>
        <v/>
      </c>
      <c r="J18" s="100">
        <f>IF($H18="ESCALATE",$G18,"")</f>
        <v/>
      </c>
      <c r="K18" s="100">
        <f>IF($H18="REVIEW",$G18,"")</f>
        <v/>
      </c>
      <c r="L18" s="100">
        <f>IF($G18&lt;&gt;"",$G18&amp;" ("&amp;$H18&amp;")","")</f>
        <v/>
      </c>
    </row>
    <row r="19" ht="14.25" customHeight="1" s="97">
      <c r="I19" s="100" t="inlineStr">
        <is>
          <t>ACTIVE_FLAG_DETAILS</t>
        </is>
      </c>
      <c r="J19" s="100">
        <f>IF((IF($L$5&lt;&gt;"",", "&amp;$L$5,"")&amp;IF($L$6&lt;&gt;"",", "&amp;$L$6,"")&amp;IF($L$7&lt;&gt;"",", "&amp;$L$7,"")&amp;IF($L$8&lt;&gt;"",", "&amp;$L$8,"")&amp;IF($L$9&lt;&gt;"",", "&amp;$L$9,"")&amp;IF($L$10&lt;&gt;"",", "&amp;$L$10,"")&amp;IF($L$11&lt;&gt;"",", "&amp;$L$11,"")&amp;IF($L$12&lt;&gt;"",", "&amp;$L$12,"")&amp;IF($L$13&lt;&gt;"",", "&amp;$L$13,"")&amp;IF($L$14&lt;&gt;"",", "&amp;$L$14,"")&amp;IF($L$15&lt;&gt;"",", "&amp;$L$15,"")&amp;IF($L$16&lt;&gt;"",", "&amp;$L$16,"")&amp;IF($L$17&lt;&gt;"",", "&amp;$L$17,"")&amp;IF($L$18&lt;&gt;"",", "&amp;$L$18,"")&amp;IF($L$25&lt;&gt;"",", "&amp;$L$25,"")&amp;IF($L$26&lt;&gt;"",", "&amp;$L$26,"")&amp;IF($L$27&lt;&gt;"",", "&amp;$L$27,"")&amp;IF($L$28&lt;&gt;"",", "&amp;$L$28,"")&amp;IF($L$29&lt;&gt;"",", "&amp;$L$29,"")&amp;IF($L$30&lt;&gt;"",", "&amp;$L$30,"")&amp;IF($L$31&lt;&gt;"",", "&amp;$L$31,"")&amp;IF($L$32&lt;&gt;"",", "&amp;$L$32,"")&amp;IF($L$33&lt;&gt;"",", "&amp;$L$33,""))="","(none)",MID(IF($L$5&lt;&gt;"",", "&amp;$L$5,"")&amp;IF($L$6&lt;&gt;"",", "&amp;$L$6,"")&amp;IF($L$7&lt;&gt;"",", "&amp;$L$7,"")&amp;IF($L$8&lt;&gt;"",", "&amp;$L$8,"")&amp;IF($L$9&lt;&gt;"",", "&amp;$L$9,"")&amp;IF($L$10&lt;&gt;"",", "&amp;$L$10,"")&amp;IF($L$11&lt;&gt;"",", "&amp;$L$11,"")&amp;IF($L$12&lt;&gt;"",", "&amp;$L$12,"")&amp;IF($L$13&lt;&gt;"",", "&amp;$L$13,"")&amp;IF($L$14&lt;&gt;"",", "&amp;$L$14,"")&amp;IF($L$15&lt;&gt;"",", "&amp;$L$15,"")&amp;IF($L$16&lt;&gt;"",", "&amp;$L$16,"")&amp;IF($L$17&lt;&gt;"",", "&amp;$L$17,"")&amp;IF($L$18&lt;&gt;"",", "&amp;$L$18,"")&amp;IF($L$25&lt;&gt;"",", "&amp;$L$25,"")&amp;IF($L$26&lt;&gt;"",", "&amp;$L$26,"")&amp;IF($L$27&lt;&gt;"",", "&amp;$L$27,"")&amp;IF($L$28&lt;&gt;"",", "&amp;$L$28,"")&amp;IF($L$29&lt;&gt;"",", "&amp;$L$29,"")&amp;IF($L$30&lt;&gt;"",", "&amp;$L$30,"")&amp;IF($L$31&lt;&gt;"",", "&amp;$L$31,"")&amp;IF($L$32&lt;&gt;"",", "&amp;$L$32,"")&amp;IF($L$33&lt;&gt;"",", "&amp;$L$33,""),3,32767))</f>
        <v/>
      </c>
    </row>
    <row r="20" ht="14.25" customHeight="1" s="97">
      <c r="A20" s="99" t="inlineStr">
        <is>
          <t>COMPUTED SUMMARY (COUNTIFS formulas)</t>
        </is>
      </c>
      <c r="I20" s="100" t="inlineStr">
        <is>
          <t>INVALID_FLAGS_LIST</t>
        </is>
      </c>
      <c r="J20" s="100">
        <f>IF((IF($I$5&lt;&gt;"",", "&amp;$I$5,"")&amp;IF($I$6&lt;&gt;"",", "&amp;$I$6,"")&amp;IF($I$7&lt;&gt;"",", "&amp;$I$7,"")&amp;IF($I$8&lt;&gt;"",", "&amp;$I$8,"")&amp;IF($I$9&lt;&gt;"",", "&amp;$I$9,"")&amp;IF($I$10&lt;&gt;"",", "&amp;$I$10,"")&amp;IF($I$11&lt;&gt;"",", "&amp;$I$11,"")&amp;IF($I$12&lt;&gt;"",", "&amp;$I$12,"")&amp;IF($I$13&lt;&gt;"",", "&amp;$I$13,"")&amp;IF($I$14&lt;&gt;"",", "&amp;$I$14,"")&amp;IF($I$15&lt;&gt;"",", "&amp;$I$15,"")&amp;IF($I$16&lt;&gt;"",", "&amp;$I$16,"")&amp;IF($I$17&lt;&gt;"",", "&amp;$I$17,"")&amp;IF($I$18&lt;&gt;"",", "&amp;$I$18,"")&amp;IF($I$25&lt;&gt;"",", "&amp;$I$25,"")&amp;IF($I$26&lt;&gt;"",", "&amp;$I$26,"")&amp;IF($I$27&lt;&gt;"",", "&amp;$I$27,"")&amp;IF($I$28&lt;&gt;"",", "&amp;$I$28,"")&amp;IF($I$29&lt;&gt;"",", "&amp;$I$29,"")&amp;IF($I$30&lt;&gt;"",", "&amp;$I$30,"")&amp;IF($I$31&lt;&gt;"",", "&amp;$I$31,"")&amp;IF($I$32&lt;&gt;"",", "&amp;$I$32,"")&amp;IF($I$33&lt;&gt;"",", "&amp;$I$33,""))="","(none)",MID(IF($I$5&lt;&gt;"",", "&amp;$I$5,"")&amp;IF($I$6&lt;&gt;"",", "&amp;$I$6,"")&amp;IF($I$7&lt;&gt;"",", "&amp;$I$7,"")&amp;IF($I$8&lt;&gt;"",", "&amp;$I$8,"")&amp;IF($I$9&lt;&gt;"",", "&amp;$I$9,"")&amp;IF($I$10&lt;&gt;"",", "&amp;$I$10,"")&amp;IF($I$11&lt;&gt;"",", "&amp;$I$11,"")&amp;IF($I$12&lt;&gt;"",", "&amp;$I$12,"")&amp;IF($I$13&lt;&gt;"",", "&amp;$I$13,"")&amp;IF($I$14&lt;&gt;"",", "&amp;$I$14,"")&amp;IF($I$15&lt;&gt;"",", "&amp;$I$15,"")&amp;IF($I$16&lt;&gt;"",", "&amp;$I$16,"")&amp;IF($I$17&lt;&gt;"",", "&amp;$I$17,"")&amp;IF($I$18&lt;&gt;"",", "&amp;$I$18,"")&amp;IF($I$25&lt;&gt;"",", "&amp;$I$25,"")&amp;IF($I$26&lt;&gt;"",", "&amp;$I$26,"")&amp;IF($I$27&lt;&gt;"",", "&amp;$I$27,"")&amp;IF($I$28&lt;&gt;"",", "&amp;$I$28,"")&amp;IF($I$29&lt;&gt;"",", "&amp;$I$29,"")&amp;IF($I$30&lt;&gt;"",", "&amp;$I$30,"")&amp;IF($I$31&lt;&gt;"",", "&amp;$I$31,"")&amp;IF($I$32&lt;&gt;"",", "&amp;$I$32,"")&amp;IF($I$33&lt;&gt;"",", "&amp;$I$33,""),3,32767))</f>
        <v/>
      </c>
    </row>
    <row r="21" ht="14.25" customHeight="1" s="97">
      <c r="A21" s="100" t="inlineStr">
        <is>
          <t>INVALID_COUNT</t>
        </is>
      </c>
      <c r="B21" s="167">
        <f>SUMPRODUCT(--(B5:B18="YES"),--(C5:C18="INVALID"))+SUMPRODUCT(--(B25:B33="YES"),--(C25:C33="INVALID"))</f>
        <v/>
      </c>
      <c r="C21" s="100" t="inlineStr">
        <is>
          <t>Formula</t>
        </is>
      </c>
      <c r="I21" s="100" t="inlineStr">
        <is>
          <t>ESCALATE_FLAGS_LIST</t>
        </is>
      </c>
      <c r="J21" s="100">
        <f>IF((IF($J$5&lt;&gt;"",", "&amp;$J$5,"")&amp;IF($J$6&lt;&gt;"",", "&amp;$J$6,"")&amp;IF($J$7&lt;&gt;"",", "&amp;$J$7,"")&amp;IF($J$8&lt;&gt;"",", "&amp;$J$8,"")&amp;IF($J$9&lt;&gt;"",", "&amp;$J$9,"")&amp;IF($J$10&lt;&gt;"",", "&amp;$J$10,"")&amp;IF($J$11&lt;&gt;"",", "&amp;$J$11,"")&amp;IF($J$12&lt;&gt;"",", "&amp;$J$12,"")&amp;IF($J$13&lt;&gt;"",", "&amp;$J$13,"")&amp;IF($J$14&lt;&gt;"",", "&amp;$J$14,"")&amp;IF($J$15&lt;&gt;"",", "&amp;$J$15,"")&amp;IF($J$16&lt;&gt;"",", "&amp;$J$16,"")&amp;IF($J$17&lt;&gt;"",", "&amp;$J$17,"")&amp;IF($J$18&lt;&gt;"",", "&amp;$J$18,"")&amp;IF($J$25&lt;&gt;"",", "&amp;$J$25,"")&amp;IF($J$26&lt;&gt;"",", "&amp;$J$26,"")&amp;IF($J$27&lt;&gt;"",", "&amp;$J$27,"")&amp;IF($J$28&lt;&gt;"",", "&amp;$J$28,"")&amp;IF($J$29&lt;&gt;"",", "&amp;$J$29,"")&amp;IF($J$30&lt;&gt;"",", "&amp;$J$30,"")&amp;IF($J$31&lt;&gt;"",", "&amp;$J$31,"")&amp;IF($J$32&lt;&gt;"",", "&amp;$J$32,"")&amp;IF($J$33&lt;&gt;"",", "&amp;$J$33,""))="","(none)",MID(IF($J$5&lt;&gt;"",", "&amp;$J$5,"")&amp;IF($J$6&lt;&gt;"",", "&amp;$J$6,"")&amp;IF($J$7&lt;&gt;"",", "&amp;$J$7,"")&amp;IF($J$8&lt;&gt;"",", "&amp;$J$8,"")&amp;IF($J$9&lt;&gt;"",", "&amp;$J$9,"")&amp;IF($J$10&lt;&gt;"",", "&amp;$J$10,"")&amp;IF($J$11&lt;&gt;"",", "&amp;$J$11,"")&amp;IF($J$12&lt;&gt;"",", "&amp;$J$12,"")&amp;IF($J$13&lt;&gt;"",", "&amp;$J$13,"")&amp;IF($J$14&lt;&gt;"",", "&amp;$J$14,"")&amp;IF($J$15&lt;&gt;"",", "&amp;$J$15,"")&amp;IF($J$16&lt;&gt;"",", "&amp;$J$16,"")&amp;IF($J$17&lt;&gt;"",", "&amp;$J$17,"")&amp;IF($J$18&lt;&gt;"",", "&amp;$J$18,"")&amp;IF($J$25&lt;&gt;"",", "&amp;$J$25,"")&amp;IF($J$26&lt;&gt;"",", "&amp;$J$26,"")&amp;IF($J$27&lt;&gt;"",", "&amp;$J$27,"")&amp;IF($J$28&lt;&gt;"",", "&amp;$J$28,"")&amp;IF($J$29&lt;&gt;"",", "&amp;$J$29,"")&amp;IF($J$30&lt;&gt;"",", "&amp;$J$30,"")&amp;IF($J$31&lt;&gt;"",", "&amp;$J$31,"")&amp;IF($J$32&lt;&gt;"",", "&amp;$J$32,"")&amp;IF($J$33&lt;&gt;"",", "&amp;$J$33,""),3,32767))</f>
        <v/>
      </c>
    </row>
    <row r="22" ht="14.25" customHeight="1" s="97">
      <c r="A22" s="100" t="inlineStr">
        <is>
          <t>ESCALATE_COUNT</t>
        </is>
      </c>
      <c r="B22" s="167">
        <f>SUMPRODUCT(--(B5:B18="YES"),--(C5:C18="ESCALATE"))+SUMPRODUCT(--(B25:B33="YES"),--(C25:C33="ESCALATE"))</f>
        <v/>
      </c>
      <c r="C22" s="100" t="inlineStr">
        <is>
          <t>Formula</t>
        </is>
      </c>
      <c r="I22" s="100" t="inlineStr">
        <is>
          <t>REVIEW_FLAGS_LIST</t>
        </is>
      </c>
      <c r="J22" s="100">
        <f>IF((IF($K$5&lt;&gt;"",", "&amp;$K$5,"")&amp;IF($K$6&lt;&gt;"",", "&amp;$K$6,"")&amp;IF($K$7&lt;&gt;"",", "&amp;$K$7,"")&amp;IF($K$8&lt;&gt;"",", "&amp;$K$8,"")&amp;IF($K$9&lt;&gt;"",", "&amp;$K$9,"")&amp;IF($K$10&lt;&gt;"",", "&amp;$K$10,"")&amp;IF($K$11&lt;&gt;"",", "&amp;$K$11,"")&amp;IF($K$12&lt;&gt;"",", "&amp;$K$12,"")&amp;IF($K$13&lt;&gt;"",", "&amp;$K$13,"")&amp;IF($K$14&lt;&gt;"",", "&amp;$K$14,"")&amp;IF($K$15&lt;&gt;"",", "&amp;$K$15,"")&amp;IF($K$16&lt;&gt;"",", "&amp;$K$16,"")&amp;IF($K$17&lt;&gt;"",", "&amp;$K$17,"")&amp;IF($K$18&lt;&gt;"",", "&amp;$K$18,"")&amp;IF($K$25&lt;&gt;"",", "&amp;$K$25,"")&amp;IF($K$26&lt;&gt;"",", "&amp;$K$26,"")&amp;IF($K$27&lt;&gt;"",", "&amp;$K$27,"")&amp;IF($K$28&lt;&gt;"",", "&amp;$K$28,"")&amp;IF($K$29&lt;&gt;"",", "&amp;$K$29,"")&amp;IF($K$30&lt;&gt;"",", "&amp;$K$30,"")&amp;IF($K$31&lt;&gt;"",", "&amp;$K$31,"")&amp;IF($K$32&lt;&gt;"",", "&amp;$K$32,"")&amp;IF($K$33&lt;&gt;"",", "&amp;$K$33,""))="","(none)",MID(IF($K$5&lt;&gt;"",", "&amp;$K$5,"")&amp;IF($K$6&lt;&gt;"",", "&amp;$K$6,"")&amp;IF($K$7&lt;&gt;"",", "&amp;$K$7,"")&amp;IF($K$8&lt;&gt;"",", "&amp;$K$8,"")&amp;IF($K$9&lt;&gt;"",", "&amp;$K$9,"")&amp;IF($K$10&lt;&gt;"",", "&amp;$K$10,"")&amp;IF($K$11&lt;&gt;"",", "&amp;$K$11,"")&amp;IF($K$12&lt;&gt;"",", "&amp;$K$12,"")&amp;IF($K$13&lt;&gt;"",", "&amp;$K$13,"")&amp;IF($K$14&lt;&gt;"",", "&amp;$K$14,"")&amp;IF($K$15&lt;&gt;"",", "&amp;$K$15,"")&amp;IF($K$16&lt;&gt;"",", "&amp;$K$16,"")&amp;IF($K$17&lt;&gt;"",", "&amp;$K$17,"")&amp;IF($K$18&lt;&gt;"",", "&amp;$K$18,"")&amp;IF($K$25&lt;&gt;"",", "&amp;$K$25,"")&amp;IF($K$26&lt;&gt;"",", "&amp;$K$26,"")&amp;IF($K$27&lt;&gt;"",", "&amp;$K$27,"")&amp;IF($K$28&lt;&gt;"",", "&amp;$K$28,"")&amp;IF($K$29&lt;&gt;"",", "&amp;$K$29,"")&amp;IF($K$30&lt;&gt;"",", "&amp;$K$30,"")&amp;IF($K$31&lt;&gt;"",", "&amp;$K$31,"")&amp;IF($K$32&lt;&gt;"",", "&amp;$K$32,"")&amp;IF($K$33&lt;&gt;"",", "&amp;$K$33,""),3,32767))</f>
        <v/>
      </c>
    </row>
    <row r="23" ht="14.25" customHeight="1" s="97">
      <c r="A23" s="100" t="inlineStr">
        <is>
          <t>REVIEW_COUNT</t>
        </is>
      </c>
      <c r="B23" s="167">
        <f>SUMPRODUCT(--(B5:B18="YES"),--(C5:C18="REVIEW"))+SUMPRODUCT(--(B25:B33="YES"),--(C25:C33="REVIEW"))</f>
        <v/>
      </c>
      <c r="C23" s="100" t="inlineStr">
        <is>
          <t>Formula</t>
        </is>
      </c>
      <c r="J23" s="104" t="n"/>
    </row>
    <row r="24" ht="14.25" customHeight="1" s="97">
      <c r="A24" s="100" t="inlineStr">
        <is>
          <t>TOTAL_ACTIVE</t>
        </is>
      </c>
      <c r="B24" s="167">
        <f>SUMPRODUCT(--(B5:B18="YES"))+SUMPRODUCT(--(B25:B33="YES"))</f>
        <v/>
      </c>
      <c r="C24" s="100" t="inlineStr">
        <is>
          <t>Formula</t>
        </is>
      </c>
      <c r="J24" s="104" t="n"/>
    </row>
    <row r="25" ht="13.5" customHeight="1" s="97">
      <c r="A25" s="168" t="inlineStr">
        <is>
          <t>SCOPE_COVERAGE_REDUCED</t>
        </is>
      </c>
      <c r="B25" s="168">
        <f>IF(AND(CANON!B133="REDUCED",OR(CANON!B134="NONE",CANON!B134="")),"YES","NO")</f>
        <v/>
      </c>
      <c r="C25" s="168" t="inlineStr">
        <is>
          <t>REVIEW</t>
        </is>
      </c>
      <c r="D25" s="168" t="inlineStr">
        <is>
          <t>Reduced-scope used without ScopeCoverage declaration</t>
        </is>
      </c>
      <c r="E25" s="168" t="inlineStr">
        <is>
          <t>SCOPE_COVERAGE_MODE=REDUCED AND (OmittedScopes=NONE or blank)</t>
        </is>
      </c>
      <c r="F25" s="168" t="inlineStr">
        <is>
          <t>CANON v9.6.4 fields</t>
        </is>
      </c>
      <c r="G25" s="100">
        <f>IF(B25="YES",A25,"")</f>
        <v/>
      </c>
      <c r="H25" s="100">
        <f>IF(B25="YES",C25,"")</f>
        <v/>
      </c>
      <c r="I25" s="100">
        <f>IF($H25="INVALID",$G25,"")</f>
        <v/>
      </c>
      <c r="J25" s="100">
        <f>IF($H25="ESCALATE",$G25,"")</f>
        <v/>
      </c>
      <c r="K25" s="100">
        <f>IF($H25="REVIEW",$G25,"")</f>
        <v/>
      </c>
      <c r="L25" s="100">
        <f>IF($G25&lt;&gt;"",$G25&amp;" ("&amp;$H25&amp;")","")</f>
        <v/>
      </c>
    </row>
    <row r="26" ht="14.25" customHeight="1" s="97">
      <c r="A26" s="168" t="inlineStr">
        <is>
          <t>SCI_BELOW_MINIMUM</t>
        </is>
      </c>
      <c r="B26" s="168">
        <f>IF(AND(CANON!$B$10&gt;=2,CANON!B130&lt;IF(CANON!$B$10=2,1,IF(CANON!$B$10=3,2,0))),"YES","NO")</f>
        <v/>
      </c>
      <c r="C26" s="168" t="inlineStr">
        <is>
          <t>ESCALATE</t>
        </is>
      </c>
      <c r="D26" s="168" t="inlineStr">
        <is>
          <t>SCI below tier minimum (Tier 2: SCI≥1; Tier 3: SCI≥2)</t>
        </is>
      </c>
      <c r="E26" s="168" t="inlineStr">
        <is>
          <t>TIER&gt;=2 AND SCI_LEVEL &lt; tier_minimum</t>
        </is>
      </c>
      <c r="F26" s="168" t="inlineStr">
        <is>
          <t>CANON v9.6.4 SCI fields</t>
        </is>
      </c>
      <c r="G26" s="100">
        <f>IF(B26="YES",A26,"")</f>
        <v/>
      </c>
      <c r="H26" s="100">
        <f>IF(B26="YES",C26,"")</f>
        <v/>
      </c>
      <c r="I26" s="100">
        <f>IF($H26="INVALID",$G26,"")</f>
        <v/>
      </c>
      <c r="J26" s="100">
        <f>IF($H26="ESCALATE",$G26,"")</f>
        <v/>
      </c>
      <c r="K26" s="100">
        <f>IF($H26="REVIEW",$G26,"")</f>
        <v/>
      </c>
      <c r="L26" s="100">
        <f>IF($G26&lt;&gt;"",$G26&amp;" ("&amp;$H26&amp;")","")</f>
        <v/>
      </c>
    </row>
    <row r="27" ht="14.25" customHeight="1" s="97">
      <c r="A27" s="168" t="inlineStr">
        <is>
          <t>SCI_AT_MINIMUM_NO_UPGRADE</t>
        </is>
      </c>
      <c r="B27" s="168">
        <f>IF(AND(CANON!$B$10&gt;=2,CANON!B130=IF(CANON!$B$10=2,1,IF(CANON!$B$10=3,2,0)),CANON!B131=""),"YES","NO")</f>
        <v/>
      </c>
      <c r="C27" s="168" t="inlineStr">
        <is>
          <t>REVIEW</t>
        </is>
      </c>
      <c r="D27" s="168" t="inlineStr">
        <is>
          <t>SCI at tier minimum but no NextRunUpgrade action declared</t>
        </is>
      </c>
      <c r="E27" s="168" t="inlineStr">
        <is>
          <t>SCI=tier_min AND SCI_NEXT_RUN_UPGRADE blank</t>
        </is>
      </c>
      <c r="F27" s="168" t="inlineStr">
        <is>
          <t>CANON v9.6.4 SCI fields</t>
        </is>
      </c>
      <c r="G27" s="100">
        <f>IF(B27="YES",A27,"")</f>
        <v/>
      </c>
      <c r="H27" s="100">
        <f>IF(B27="YES",C27,"")</f>
        <v/>
      </c>
      <c r="I27" s="100">
        <f>IF($H27="INVALID",$G27,"")</f>
        <v/>
      </c>
      <c r="J27" s="100">
        <f>IF($H27="ESCALATE",$G27,"")</f>
        <v/>
      </c>
      <c r="K27" s="100">
        <f>IF($H27="REVIEW",$G27,"")</f>
        <v/>
      </c>
      <c r="L27" s="100">
        <f>IF($G27&lt;&gt;"",$G27&amp;" ("&amp;$H27&amp;")","")</f>
        <v/>
      </c>
    </row>
    <row r="28" ht="13.5" customHeight="1" s="97">
      <c r="A28" s="168" t="inlineStr">
        <is>
          <t>UNCERTAINTY_NOT_DECLARED</t>
        </is>
      </c>
      <c r="B28" s="168">
        <f>IF(AND(CANON!$B$10&gt;=2,OR(CANON!B137="",CANON!B137=0)),"YES","NO")</f>
        <v/>
      </c>
      <c r="C28" s="168" t="inlineStr">
        <is>
          <t>INVALID</t>
        </is>
      </c>
      <c r="D28" s="168" t="inlineStr">
        <is>
          <t>Tier 2+ requires uncertainty method (A/B/C) per v9.6.4</t>
        </is>
      </c>
      <c r="E28" s="168" t="inlineStr">
        <is>
          <t>TIER&gt;=2 AND UNCERTAINTY_METHOD blank</t>
        </is>
      </c>
      <c r="F28" s="168" t="inlineStr">
        <is>
          <t>CANON v9.6.4 UNCERTAINTY_METHOD</t>
        </is>
      </c>
      <c r="G28" s="100">
        <f>IF(B28="YES",A28,"")</f>
        <v/>
      </c>
      <c r="H28" s="100">
        <f>IF(B28="YES",C28,"")</f>
        <v/>
      </c>
      <c r="I28" s="100">
        <f>IF($H28="INVALID",$G28,"")</f>
        <v/>
      </c>
      <c r="J28" s="100">
        <f>IF($H28="ESCALATE",$G28,"")</f>
        <v/>
      </c>
      <c r="K28" s="100">
        <f>IF($H28="REVIEW",$G28,"")</f>
        <v/>
      </c>
      <c r="L28" s="100">
        <f>IF($G28&lt;&gt;"",$G28&amp;" ("&amp;$H28&amp;")","")</f>
        <v/>
      </c>
    </row>
    <row r="29" ht="14.25" customHeight="1" s="97">
      <c r="A29" s="96" t="inlineStr">
        <is>
          <t>EK_NONDEFAULT_TIER2_INVALID</t>
        </is>
      </c>
      <c r="B29" s="96">
        <f>IF(AND(CANON!B10=2,COUNTIFS(Impact_Input!A7:A200,"&lt;&gt;",Impact_Input!K7:K200,"&lt;&gt;1")&gt;0),"YES","NO")</f>
        <v/>
      </c>
      <c r="C29" s="96" t="inlineStr">
        <is>
          <t>INVALID</t>
        </is>
      </c>
      <c r="D29" s="96" t="inlineStr">
        <is>
          <t>Tier 2 run uses e_k ≠ 1.00 without a charter-approved named instrument explicitly declared in the PCC.</t>
        </is>
      </c>
      <c r="E29" s="96" t="inlineStr">
        <is>
          <t>Tier=2 AND any nonblank e_k differs from 1.00</t>
        </is>
      </c>
      <c r="F29" s="104" t="inlineStr">
        <is>
          <t>Impact_Input!A7:K200</t>
        </is>
      </c>
      <c r="G29" s="100">
        <f>IF(B29="YES",A29,"")</f>
        <v/>
      </c>
      <c r="H29" s="100">
        <f>IF(B29="YES",C29,"")</f>
        <v/>
      </c>
      <c r="I29" s="100">
        <f>IF($H29="INVALID",$G29,"")</f>
        <v/>
      </c>
      <c r="J29" s="100">
        <f>IF($H29="ESCALATE",$G29,"")</f>
        <v/>
      </c>
      <c r="K29" s="100">
        <f>IF($H29="REVIEW",$G29,"")</f>
        <v/>
      </c>
      <c r="L29" s="100">
        <f>IF($G29&lt;&gt;"",$G29&amp;" ("&amp;$H29&amp;")","")</f>
        <v/>
      </c>
    </row>
    <row r="30" ht="14.25" customHeight="1" s="97">
      <c r="A30" s="96" t="inlineStr">
        <is>
          <t>UNCERTAINTY_PROVENANCE_MISSING</t>
        </is>
      </c>
      <c r="B30" s="96">
        <f>IF(AND(CANON!B10&gt;=2,OR(PCC!B27="",PCC!B28="")),"YES","NO")</f>
        <v/>
      </c>
      <c r="C30" s="96" t="inlineStr">
        <is>
          <t>INVALID</t>
        </is>
      </c>
      <c r="D30" s="96" t="inlineStr">
        <is>
          <t>Required uncertainty method, source, cell-confidence aggregation rule, or calibration table is missing or incomplete for active cells.</t>
        </is>
      </c>
      <c r="E30" s="96" t="inlineStr">
        <is>
          <t>Tier 2+ and uncertainty provenance incomplete</t>
        </is>
      </c>
      <c r="F30" s="104" t="inlineStr">
        <is>
          <t>PCC!B27:B28</t>
        </is>
      </c>
      <c r="G30" s="100">
        <f>IF(B30="YES",A30,"")</f>
        <v/>
      </c>
      <c r="H30" s="100">
        <f>IF(B30="YES",C30,"")</f>
        <v/>
      </c>
      <c r="I30" s="100">
        <f>IF($H30="INVALID",$G30,"")</f>
        <v/>
      </c>
      <c r="J30" s="100">
        <f>IF($H30="ESCALATE",$G30,"")</f>
        <v/>
      </c>
      <c r="K30" s="100">
        <f>IF($H30="REVIEW",$G30,"")</f>
        <v/>
      </c>
      <c r="L30" s="100">
        <f>IF($G30&lt;&gt;"",$G30&amp;" ("&amp;$H30&amp;")","")</f>
        <v/>
      </c>
    </row>
    <row r="31" ht="14.25" customHeight="1" s="97">
      <c r="A31" s="104" t="inlineStr">
        <is>
          <t>NORMATIVE_INPUT_PROVENANCE_MISSING</t>
        </is>
      </c>
      <c r="B31" s="104">
        <f>IF(OR(PCC!B173&lt;&gt;"YES",COUNTBLANK(PCC!B174:B186)&gt;0),"YES","NO")</f>
        <v/>
      </c>
      <c r="C31" s="104" t="inlineStr">
        <is>
          <t>INVALID</t>
        </is>
      </c>
      <c r="D31" s="104" t="inlineStr">
        <is>
          <t>Required Normative Input Register is missing or incomplete for decision-material analyst-entered parameters that can steer admissibility, selection, or tie-breaks.</t>
        </is>
      </c>
      <c r="E31" s="104" t="inlineStr">
        <is>
          <t>NormativeInputRegister absent/incomplete in PCC Section 18</t>
        </is>
      </c>
      <c r="F31" s="104" t="inlineStr">
        <is>
          <t>PCC!B173:B186</t>
        </is>
      </c>
      <c r="G31" s="104">
        <f>IF(B31="YES",A31,"")</f>
        <v/>
      </c>
      <c r="H31" s="104">
        <f>IF(B31="YES",C31,"")</f>
        <v/>
      </c>
      <c r="I31" s="104">
        <f>IF($H31="INVALID",$G31,"")</f>
        <v/>
      </c>
      <c r="J31" s="104">
        <f>IF($H31="ESCALATE",$G31,"")</f>
        <v/>
      </c>
      <c r="K31" s="104">
        <f>IF($H31="REVIEW",$G31,"")</f>
        <v/>
      </c>
      <c r="L31" s="104">
        <f>IF($G31&lt;&gt;"",$G31&amp;" ("&amp;$H31&amp;")","")</f>
        <v/>
      </c>
    </row>
    <row r="32" ht="13.5" customHeight="1" s="97">
      <c r="A32" s="96" t="inlineStr">
        <is>
          <t>UNCERTAINTY_DECISIVENESS_SENSITIVE</t>
        </is>
      </c>
      <c r="B32" s="96" t="inlineStr">
        <is>
          <t>NO</t>
        </is>
      </c>
      <c r="C32" s="96" t="inlineStr">
        <is>
          <t>ESCALATE</t>
        </is>
      </c>
      <c r="D32" s="96" t="inlineStr">
        <is>
          <t>Required uncertainty stress tests change whether the lead is decisive.</t>
        </is>
      </c>
      <c r="E32" s="96" t="inlineStr">
        <is>
          <t>Reserved for Tier 3 / extended uncertainty sensitivity surface</t>
        </is>
      </c>
      <c r="F32" s="104" t="inlineStr">
        <is>
          <t>No live stress-test block in worked-run workbook</t>
        </is>
      </c>
      <c r="G32" s="100">
        <f>IF(B32="YES",A32,"")</f>
        <v/>
      </c>
      <c r="H32" s="100">
        <f>IF(B32="YES",C32,"")</f>
        <v/>
      </c>
      <c r="I32" s="100">
        <f>IF($H32="INVALID",$G32,"")</f>
        <v/>
      </c>
      <c r="J32" s="100">
        <f>IF($H32="ESCALATE",$G32,"")</f>
        <v/>
      </c>
      <c r="K32" s="100">
        <f>IF($H32="REVIEW",$G32,"")</f>
        <v/>
      </c>
      <c r="L32" s="100">
        <f>IF($G32&lt;&gt;"",$G32&amp;" ("&amp;$H32&amp;")","")</f>
        <v/>
      </c>
    </row>
    <row r="33" ht="14.25" customHeight="1" s="97">
      <c r="A33" s="96" t="inlineStr">
        <is>
          <t>PLSS_PROMINENCE_SENSITIVE</t>
        </is>
      </c>
      <c r="B33" s="96" t="inlineStr">
        <is>
          <t>NO</t>
        </is>
      </c>
      <c r="C33" s="96" t="inlineStr">
        <is>
          <t>ESCALATE</t>
        </is>
      </c>
      <c r="D33" s="96" t="inlineStr">
        <is>
          <t>Valid alternative PLSS prominence constructions materially change the ranking order of selectable options or the selected option.</t>
        </is>
      </c>
      <c r="E33" s="96" t="inlineStr">
        <is>
          <t>Reserved for extended PLSS sensitivity surface</t>
        </is>
      </c>
      <c r="F33" s="104" t="inlineStr">
        <is>
          <t>No alternative prominence reruns in worked-run workbook</t>
        </is>
      </c>
      <c r="G33" s="100">
        <f>IF(B33="YES",A33,"")</f>
        <v/>
      </c>
      <c r="H33" s="100">
        <f>IF(B33="YES",C33,"")</f>
        <v/>
      </c>
      <c r="I33" s="100">
        <f>IF($H33="INVALID",$G33,"")</f>
        <v/>
      </c>
      <c r="J33" s="100">
        <f>IF($H33="ESCALATE",$G33,"")</f>
        <v/>
      </c>
      <c r="K33" s="100">
        <f>IF($H33="REVIEW",$G33,"")</f>
        <v/>
      </c>
      <c r="L33" s="100">
        <f>IF($G33&lt;&gt;"",$G33&amp;" ("&amp;$H33&amp;")","")</f>
        <v/>
      </c>
    </row>
    <row r="34" ht="14.25" customHeight="1" s="97">
      <c r="A34" s="99" t="inlineStr">
        <is>
          <t>CANON LINK VERIFICATION</t>
        </is>
      </c>
    </row>
    <row r="35" ht="41.25" customHeight="1" s="97">
      <c r="A35" s="100" t="inlineStr">
        <is>
          <t>CANON!B80 must equal B21</t>
        </is>
      </c>
    </row>
    <row r="36" ht="13.5" customHeight="1" s="97">
      <c r="A36" s="100" t="inlineStr">
        <is>
          <t>Match:</t>
        </is>
      </c>
    </row>
    <row r="37" ht="14.25" customHeight="1" s="97"/>
    <row r="38" ht="28.5" customHeight="1" s="97"/>
    <row r="39" ht="28.5" customHeight="1" s="97">
      <c r="A39" s="99" t="inlineStr">
        <is>
          <t>FLAG TAXONOMY NOTE (v9.6.4)</t>
        </is>
      </c>
    </row>
    <row r="40" ht="14.25" customHeight="1" s="97">
      <c r="A40" s="100" t="inlineStr">
        <is>
          <t>This workbook emits two kinds of flags: (1) Canon-aligned audit flags intended to correspond to RippleLogic v9.6.4 Appendix H.3 reviewer actions, and (2) Tool-local integrity flags that protect the calculator/PCC emitter itself. Tool-local flags are marked TOOL_LOCAL below and SHOULD NOT be interpreted as new RippleLogic normative audit taxonomy.</t>
        </is>
      </c>
    </row>
    <row r="41" ht="28.5" customHeight="1" s="97"/>
    <row r="42" ht="28.5" customHeight="1" s="97">
      <c r="A42" s="169" t="inlineStr">
        <is>
          <t>Flag_ID</t>
        </is>
      </c>
      <c r="B42" s="169" t="inlineStr">
        <is>
          <t>Classification</t>
        </is>
      </c>
      <c r="C42" s="169" t="inlineStr">
        <is>
          <t>Canonical reference / mapping</t>
        </is>
      </c>
      <c r="D42" s="169" t="inlineStr">
        <is>
          <t>Reviewer note</t>
        </is>
      </c>
    </row>
    <row r="43" ht="28.5" customHeight="1" s="97">
      <c r="A43" s="170" t="inlineStr">
        <is>
          <t>CONFIG_DRIFT</t>
        </is>
      </c>
      <c r="B43" s="170" t="inlineStr">
        <is>
          <t>TOOL_LOCAL</t>
        </is>
      </c>
      <c r="C43" s="170" t="inlineStr">
        <is>
          <t>(none)</t>
        </is>
      </c>
      <c r="D43" s="170" t="inlineStr">
        <is>
          <t>Workbook config/version mismatch; treat as INVALID for this emitter.</t>
        </is>
      </c>
    </row>
    <row r="44" ht="28.5" customHeight="1" s="97">
      <c r="A44" s="170" t="inlineStr">
        <is>
          <t>RIGHTS_COUNT_MISMATCH</t>
        </is>
      </c>
      <c r="B44" s="170" t="inlineStr">
        <is>
          <t>TOOL_LOCAL</t>
        </is>
      </c>
      <c r="C44" s="170" t="inlineStr">
        <is>
          <t>(none)</t>
        </is>
      </c>
      <c r="D44" s="170" t="inlineStr">
        <is>
          <t>Workbook sanity check; not a RippleLogic audit flag.</t>
        </is>
      </c>
    </row>
    <row r="45" ht="14.25" customHeight="1" s="97">
      <c r="A45" s="170" t="inlineStr">
        <is>
          <t>SELECTION_INVALID</t>
        </is>
      </c>
      <c r="B45" s="170" t="inlineStr">
        <is>
          <t>TOOL_LOCAL</t>
        </is>
      </c>
      <c r="C45" s="170" t="inlineStr">
        <is>
          <t>(none)</t>
        </is>
      </c>
      <c r="D45" s="170" t="inlineStr">
        <is>
          <t>No selected option; tool integrity failure.</t>
        </is>
      </c>
    </row>
    <row r="46" ht="54.75" customHeight="1" s="97">
      <c r="A46" s="170" t="inlineStr">
        <is>
          <t>MANUAL_FLAG_OVERRIDE</t>
        </is>
      </c>
      <c r="B46" s="170" t="inlineStr">
        <is>
          <t>TOOL_LOCAL</t>
        </is>
      </c>
      <c r="C46" s="170" t="inlineStr">
        <is>
          <t>(none)</t>
        </is>
      </c>
      <c r="D46" s="170" t="inlineStr">
        <is>
          <t>Manual edits detected in trigger cells; invalidate run output.</t>
        </is>
      </c>
    </row>
    <row r="47" ht="41.25" customHeight="1" s="97">
      <c r="A47" s="170" t="inlineStr">
        <is>
          <t>NONDECISIVE_GAP_REVIEW</t>
        </is>
      </c>
      <c r="B47" s="170" t="inlineStr">
        <is>
          <t>TOOL_LOCAL</t>
        </is>
      </c>
      <c r="C47" s="170" t="inlineStr">
        <is>
          <t>Maps to: REVIEW (underdetermined)</t>
        </is>
      </c>
      <c r="D47" s="170" t="inlineStr">
        <is>
          <t>Indicates discrimination band / non-decisive gap; triggers reviewer attention.</t>
        </is>
      </c>
    </row>
    <row r="48" ht="41.25" customHeight="1" s="97">
      <c r="A48" s="170" t="inlineStr">
        <is>
          <t>UCI_SOURCE_UNVERIFIED</t>
        </is>
      </c>
      <c r="B48" s="170" t="inlineStr">
        <is>
          <t>TOOL_LOCAL</t>
        </is>
      </c>
      <c r="C48" s="170" t="inlineStr">
        <is>
          <t>Maps to: REVIEW (evidence)</t>
        </is>
      </c>
      <c r="D48" s="170" t="inlineStr">
        <is>
          <t>Source provenance for UCI/HOI inputs not documented in this workbook.</t>
        </is>
      </c>
    </row>
    <row r="49" ht="27.75" customHeight="1" s="97">
      <c r="A49" s="170" t="inlineStr">
        <is>
          <t>SENSITIVITY_NOT_RUN</t>
        </is>
      </c>
      <c r="B49" s="170" t="inlineStr">
        <is>
          <t>TOOL_LOCAL</t>
        </is>
      </c>
      <c r="C49" s="170" t="inlineStr">
        <is>
          <t>Maps to: REVIEW (sensitivity)</t>
        </is>
      </c>
      <c r="D49" s="170" t="inlineStr">
        <is>
          <t>Sensitivity analysis not executed or not documented for this run.</t>
        </is>
      </c>
    </row>
    <row r="50" ht="28.35000038146973" customHeight="1" s="97">
      <c r="A50" s="170" t="inlineStr">
        <is>
          <t>SCOPE_COVERAGE_REDUCED</t>
        </is>
      </c>
      <c r="B50" s="170" t="inlineStr">
        <is>
          <t>TOOL_LOCAL</t>
        </is>
      </c>
      <c r="C50" s="170" t="inlineStr">
        <is>
          <t>Maps to: REVIEW (scope)</t>
        </is>
      </c>
      <c r="D50" s="170" t="inlineStr">
        <is>
          <t>Scope coverage reduced; ensure disclosure in PCC.</t>
        </is>
      </c>
    </row>
  </sheetData>
  <mergeCells count="2">
    <mergeCell ref="A34:F34"/>
    <mergeCell ref="A35:F3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186"/>
  <sheetViews>
    <sheetView showGridLines="1" workbookViewId="0">
      <selection activeCell="A1" sqref="A1"/>
    </sheetView>
  </sheetViews>
  <sheetFormatPr baseColWidth="8" defaultColWidth="8.66796875" defaultRowHeight="12.75"/>
  <cols>
    <col width="28" customWidth="1" style="104" min="1" max="1"/>
    <col width="32" customWidth="1" style="104" min="2" max="2"/>
    <col width="72" customWidth="1" style="104" min="3" max="3"/>
  </cols>
  <sheetData>
    <row r="1" ht="14.25" customHeight="1" s="97">
      <c r="A1" s="120" t="inlineStr">
        <is>
          <t>PROVENANCE AND COMPLIANCE CERTIFICATE (PCC)</t>
        </is>
      </c>
    </row>
    <row r="2" ht="13.5" customHeight="1" s="97"/>
    <row r="3" ht="14.25" customHeight="1" s="97">
      <c r="A3" s="122" t="inlineStr">
        <is>
          <t>SECTION 1: DECISION METADATA</t>
        </is>
      </c>
    </row>
    <row r="4" ht="14.25" customHeight="1" s="97">
      <c r="A4" s="100" t="inlineStr">
        <is>
          <t>Decision_ID</t>
        </is>
      </c>
      <c r="B4" s="100" t="inlineStr">
        <is>
          <t>ORG-2026-001</t>
        </is>
      </c>
    </row>
    <row r="5" ht="14.25" customHeight="1" s="97">
      <c r="A5" s="100" t="inlineStr">
        <is>
          <t>Decision_Name</t>
        </is>
      </c>
      <c r="B5" s="100" t="inlineStr">
        <is>
          <t>Remote Work Policy Implementation</t>
        </is>
      </c>
    </row>
    <row r="6" ht="14.25" customHeight="1" s="97">
      <c r="A6" s="100" t="inlineStr">
        <is>
          <t>Date</t>
        </is>
      </c>
      <c r="B6" s="100" t="inlineStr">
        <is>
          <t>2026-02-01</t>
        </is>
      </c>
    </row>
    <row r="7" ht="14.25" customHeight="1" s="97">
      <c r="A7" s="100" t="inlineStr">
        <is>
          <t>Evaluator</t>
        </is>
      </c>
      <c r="B7" s="100" t="inlineStr">
        <is>
          <t>James McGaughran, Lead Architect, MathGov Institute</t>
        </is>
      </c>
    </row>
    <row r="8" ht="14.25" customHeight="1" s="97">
      <c r="A8" s="100" t="inlineStr">
        <is>
          <t>Reviewer</t>
        </is>
      </c>
      <c r="B8" s="100" t="inlineStr">
        <is>
          <t>N/A (Tier 2 - independent review optional)</t>
        </is>
      </c>
    </row>
    <row r="9" ht="14.25" customHeight="1" s="97">
      <c r="A9" s="100" t="inlineStr">
        <is>
          <t>Tier_Level</t>
        </is>
      </c>
      <c r="B9" s="100" t="inlineStr">
        <is>
          <t>2 (Core)</t>
        </is>
      </c>
    </row>
    <row r="10" ht="14.25" customHeight="1" s="97">
      <c r="A10" s="100" t="inlineStr">
        <is>
          <t>Context_Type</t>
        </is>
      </c>
      <c r="B10" s="100" t="inlineStr">
        <is>
          <t>ORG</t>
        </is>
      </c>
    </row>
    <row r="11" ht="14.25" customHeight="1" s="97">
      <c r="A11" s="100" t="inlineStr">
        <is>
          <t>Sheet_Version</t>
        </is>
      </c>
      <c r="B11" s="121">
        <f>CANON!B7</f>
        <v/>
      </c>
    </row>
    <row r="12" ht="14.25" customHeight="1" s="97">
      <c r="A12" s="100" t="inlineStr">
        <is>
          <t>Framework_Version</t>
        </is>
      </c>
      <c r="B12" s="100">
        <f>CANON!B5</f>
        <v/>
      </c>
    </row>
    <row r="13" ht="14.25" customHeight="1" s="97">
      <c r="A13" s="100" t="inlineStr">
        <is>
          <t>SGP_Version</t>
        </is>
      </c>
      <c r="B13" s="100">
        <f>CANON!B6</f>
        <v/>
      </c>
    </row>
    <row r="14" ht="14.25" customHeight="1" s="97">
      <c r="B14" s="100" t="inlineStr">
        <is>
          <t>YES</t>
        </is>
      </c>
    </row>
    <row r="15" ht="14.25" customHeight="1" s="97">
      <c r="A15" s="100" t="inlineStr">
        <is>
          <t>CLAIMABLE_RUN</t>
        </is>
      </c>
      <c r="B15" s="100">
        <f>IF(CANON!B81="YES","YES (Tier 2 Conformant, "&amp;CANON!B7&amp;")","NO")</f>
        <v/>
      </c>
    </row>
    <row r="16" ht="14.25" customHeight="1" s="97">
      <c r="A16" s="122" t="inlineStr">
        <is>
          <t>SECTION 2: CONFIGURATION</t>
        </is>
      </c>
    </row>
    <row r="17" ht="14.25" customHeight="1" s="97">
      <c r="A17" s="100" t="inlineStr">
        <is>
          <t>Weight_Profile</t>
        </is>
      </c>
      <c r="B17" s="100">
        <f>IF(Config!B17="PLSS_LOCAL","PLSS_LOCAL (floor-preserving local scope profile)","UNIFORM (1/7 each)")</f>
        <v/>
      </c>
    </row>
    <row r="18" ht="14.25" customHeight="1" s="97">
      <c r="A18" s="100" t="inlineStr">
        <is>
          <t>Propagation_Mode</t>
        </is>
      </c>
      <c r="B18" s="100" t="inlineStr">
        <is>
          <t>NONE</t>
        </is>
      </c>
    </row>
    <row r="19" ht="14.25" customHeight="1" s="97">
      <c r="A19" s="100" t="inlineStr">
        <is>
          <t>Kernel_Status</t>
        </is>
      </c>
      <c r="B19" s="100" t="inlineStr">
        <is>
          <t>Not used</t>
        </is>
      </c>
    </row>
    <row r="20" ht="14.25" customHeight="1" s="97">
      <c r="A20" s="100" t="inlineStr">
        <is>
          <t>β_saturation</t>
        </is>
      </c>
      <c r="B20" s="96" t="n">
        <v>2</v>
      </c>
    </row>
    <row r="21" ht="14.25" customHeight="1" s="97">
      <c r="A21" s="100" t="inlineStr">
        <is>
          <t>δ_discrimination</t>
        </is>
      </c>
      <c r="B21" s="96" t="n">
        <v>2</v>
      </c>
    </row>
    <row r="22" ht="14.25" customHeight="1" s="97">
      <c r="A22" s="100" t="inlineStr">
        <is>
          <t>τ_c_containment</t>
        </is>
      </c>
      <c r="B22" s="96" t="n">
        <v>-0.1</v>
      </c>
    </row>
    <row r="23" ht="14.25" customHeight="1" s="97">
      <c r="A23" s="100" t="inlineStr">
        <is>
          <t>θ_pos</t>
        </is>
      </c>
      <c r="B23" s="96" t="n">
        <v>0.05</v>
      </c>
    </row>
    <row r="24" ht="14.25" customHeight="1" s="97">
      <c r="A24" s="100" t="inlineStr">
        <is>
          <t>T_ref</t>
        </is>
      </c>
      <c r="B24" s="96" t="n">
        <v>25</v>
      </c>
    </row>
    <row r="25" ht="14.25" customHeight="1" s="97">
      <c r="A25" s="100" t="inlineStr">
        <is>
          <t>α_CVaR</t>
        </is>
      </c>
      <c r="B25" s="100">
        <f>CANON!B18</f>
        <v/>
      </c>
    </row>
    <row r="26" ht="14.25" customHeight="1" s="97">
      <c r="A26" s="100" t="inlineStr">
        <is>
          <t>τ_TRC</t>
        </is>
      </c>
      <c r="B26" s="100">
        <f>CANON!B58</f>
        <v/>
      </c>
    </row>
    <row r="27" ht="13.5" customHeight="1" s="97">
      <c r="A27" s="100" t="inlineStr">
        <is>
          <t>Uncertainty_Method</t>
        </is>
      </c>
      <c r="B27" s="100">
        <f>CANON!B137</f>
        <v/>
      </c>
      <c r="C27" s="100" t="inlineStr">
        <is>
          <t>Method C worked-run profile: a constant σ exemplar is used for all active welfare cells in this workbook for demonstration and replay clarity. This is a worked-run simplification, not a production-calibrated uncertainty model.</t>
        </is>
      </c>
    </row>
    <row r="28" ht="13.5" customHeight="1" s="97">
      <c r="A28" s="100" t="inlineStr">
        <is>
          <t>Sigma_AllActiveCells</t>
        </is>
      </c>
      <c r="B28" s="100">
        <f>CANON!B26</f>
        <v/>
      </c>
      <c r="C28" s="100" t="inlineStr">
        <is>
          <t>σ used for discrimination band ε/δ checks and nondecisive-gap detection (Tier 2 worked run).</t>
        </is>
      </c>
    </row>
    <row r="29" ht="14.25" customHeight="1" s="97">
      <c r="A29" s="122" t="inlineStr">
        <is>
          <t>SECTION 3: RIGHTS CONFIGURATION</t>
        </is>
      </c>
    </row>
    <row r="30" ht="14.25" customHeight="1" s="97">
      <c r="A30" s="100" t="inlineStr">
        <is>
          <t>Rights_Coverage_Version</t>
        </is>
      </c>
      <c r="B30" s="100" t="inlineStr">
        <is>
          <t>v9.6.4 Canonical</t>
        </is>
      </c>
    </row>
    <row r="31" ht="14.25" customHeight="1" s="97">
      <c r="A31" s="100" t="inlineStr">
        <is>
          <t>Rights_Checked</t>
        </is>
      </c>
      <c r="B31" s="100" t="inlineStr">
        <is>
          <t>8 (LIFE,BODY,ECOL,LBTY,NEED,DIGN,PROC,INFO)</t>
        </is>
      </c>
    </row>
    <row r="32" ht="14.25" customHeight="1" s="97">
      <c r="A32" s="100" t="inlineStr">
        <is>
          <t>Coverage_Sets_Count</t>
        </is>
      </c>
      <c r="B32" s="171">
        <f>COUNTA(Rights_Coverage!$B$7:$B$76)</f>
        <v/>
      </c>
    </row>
    <row r="33" ht="42" customHeight="1" s="97">
      <c r="A33" s="100" t="inlineStr">
        <is>
          <t>Subgroup_Policy</t>
        </is>
      </c>
      <c r="B33" s="100" t="inlineStr">
        <is>
          <t>Conservative subgroup fallback is active by default for negative rights-covered cells: I_rights = MAX(-1, γ_subgroup × I_prop), with explicit values in Subgroup_Overrides taking precedence where documented worst-off impacts exist.</t>
        </is>
      </c>
    </row>
    <row r="34" ht="13.5" customHeight="1" s="97">
      <c r="A34" s="100" t="inlineStr">
        <is>
          <t>BaselineType_Welfare</t>
        </is>
      </c>
      <c r="B34" s="100" t="inlineStr">
        <is>
          <t>STATUS_QUO</t>
        </is>
      </c>
      <c r="C34" s="100" t="inlineStr">
        <is>
          <t>Welfare deltas are measured relative to the declared status-quo baseline (not the rights-floor reference).</t>
        </is>
      </c>
    </row>
    <row r="35" ht="13.5" customHeight="1" s="97">
      <c r="A35" s="100" t="inlineStr">
        <is>
          <t>BaselineReference_Welfare</t>
        </is>
      </c>
      <c r="B35" s="100" t="inlineStr">
        <is>
          <t>RL v9.6.4 Sections 6–9 (welfare deltas) + Appendix P conventions</t>
        </is>
      </c>
      <c r="C35" s="100" t="inlineStr">
        <is>
          <t>Explicit declaration for auditability: welfare baseline is STATUS_QUO unless otherwise stated.</t>
        </is>
      </c>
    </row>
    <row r="36" ht="14.25" customHeight="1" s="97">
      <c r="A36" s="100" t="inlineStr">
        <is>
          <t>BaselineType_Gates</t>
        </is>
      </c>
      <c r="B36" s="100" t="inlineStr">
        <is>
          <t>FLOOR_REFERENCE</t>
        </is>
      </c>
      <c r="C36" s="100" t="inlineStr">
        <is>
          <t>Rights/catastrophe gating baseline is the rights floor (not status quo).</t>
        </is>
      </c>
    </row>
    <row r="37" ht="14.25" customHeight="1" s="97">
      <c r="A37" s="100" t="inlineStr">
        <is>
          <t>BaselineReference_Gates</t>
        </is>
      </c>
      <c r="B37" s="100" t="inlineStr">
        <is>
          <t>RL v9.6.4 Section 5.1A</t>
        </is>
      </c>
      <c r="C37" s="100" t="inlineStr">
        <is>
          <t>Gate comparisons reference θ_r (rights floors) and declared catastrophe constraints.</t>
        </is>
      </c>
    </row>
    <row r="38" ht="14.25" customHeight="1" s="97">
      <c r="A38" s="122" t="inlineStr">
        <is>
          <t>SECTION 4: TRC CONFIGURATION</t>
        </is>
      </c>
    </row>
    <row r="39" ht="14.25" customHeight="1" s="97">
      <c r="A39" s="100" t="inlineStr">
        <is>
          <t>C_cat_Set</t>
        </is>
      </c>
    </row>
    <row r="40" ht="14.25" customHeight="1" s="97">
      <c r="A40" s="100" t="inlineStr">
        <is>
          <t>C_cat_Weights</t>
        </is>
      </c>
      <c r="B40" s="100" t="inlineStr">
        <is>
          <t>PASS</t>
        </is>
      </c>
    </row>
    <row r="41" ht="14.25" customHeight="1" s="97">
      <c r="A41" s="100" t="inlineStr">
        <is>
          <t>C_cat_Extended</t>
        </is>
      </c>
      <c r="B41" s="100" t="inlineStr">
        <is>
          <t>PASS</t>
        </is>
      </c>
    </row>
    <row r="42" ht="14.25" customHeight="1" s="97">
      <c r="A42" s="100" t="inlineStr">
        <is>
          <t>Scenario_Count</t>
        </is>
      </c>
      <c r="B42" s="100" t="inlineStr">
        <is>
          <t>7</t>
        </is>
      </c>
    </row>
    <row r="43" ht="13.5" customHeight="1" s="97">
      <c r="A43" s="100" t="inlineStr">
        <is>
          <t>All_WTSL_Covered</t>
        </is>
      </c>
      <c r="B43" s="100" t="inlineStr">
        <is>
          <t>YES (5/5 mandatory)</t>
        </is>
      </c>
    </row>
    <row r="44" ht="14.25" customHeight="1" s="97">
      <c r="A44" s="100" t="inlineStr">
        <is>
          <t>All_p_floors_Met</t>
        </is>
      </c>
      <c r="B44" s="100">
        <f>IF(WTSL_Categories!$B$17&gt;=WTSL_Categories!$B$16,"YES","NO")</f>
        <v/>
      </c>
    </row>
    <row r="46" ht="14.25" customHeight="1" s="97">
      <c r="B46" s="100" t="inlineStr">
        <is>
          <t>PASS</t>
        </is>
      </c>
    </row>
    <row r="47" ht="14.25" customHeight="1" s="97">
      <c r="A47" s="122" t="inlineStr">
        <is>
          <t>SECTION 5: CASCADE RESULTS</t>
        </is>
      </c>
      <c r="B47" s="100" t="inlineStr">
        <is>
          <t>PASS</t>
        </is>
      </c>
    </row>
    <row r="48" ht="14.25" customHeight="1" s="97">
      <c r="A48" s="100" t="inlineStr">
        <is>
          <t>NCRC_Status_A</t>
        </is>
      </c>
      <c r="B48" s="171" t="inlineStr">
        <is>
          <t>PASS</t>
        </is>
      </c>
    </row>
    <row r="49" ht="14.25" customHeight="1" s="97">
      <c r="A49" s="100" t="inlineStr">
        <is>
          <t>NCRC_Status_B</t>
        </is>
      </c>
      <c r="B49" s="171" t="inlineStr">
        <is>
          <t>PASS</t>
        </is>
      </c>
    </row>
    <row r="50" ht="14.25" customHeight="1" s="97">
      <c r="A50" s="100" t="inlineStr">
        <is>
          <t>Emergency_Mode</t>
        </is>
      </c>
      <c r="B50" s="156" t="inlineStr">
        <is>
          <t>NOT INVOKED</t>
        </is>
      </c>
    </row>
    <row r="51" ht="14.25" customHeight="1" s="97">
      <c r="A51" s="100" t="inlineStr">
        <is>
          <t>CVaR_A</t>
        </is>
      </c>
      <c r="B51" s="148" t="n">
        <v>0.0219</v>
      </c>
    </row>
    <row r="52" ht="14.25" customHeight="1" s="97">
      <c r="A52" s="100" t="inlineStr">
        <is>
          <t>CVaR_B</t>
        </is>
      </c>
      <c r="B52" s="148" t="n">
        <v>0.0315</v>
      </c>
    </row>
    <row r="53" ht="14.25" customHeight="1" s="97">
      <c r="A53" s="100" t="inlineStr">
        <is>
          <t>A_adm</t>
        </is>
      </c>
      <c r="B53" s="161" t="inlineStr">
        <is>
          <t>{A, B}</t>
        </is>
      </c>
    </row>
    <row r="54" ht="14.25" customHeight="1" s="97">
      <c r="A54" s="100" t="inlineStr">
        <is>
          <t>TRC_Fallback</t>
        </is>
      </c>
      <c r="B54" s="156" t="inlineStr">
        <is>
          <t>NO</t>
        </is>
      </c>
    </row>
    <row r="55" ht="14.25" customHeight="1" s="97">
      <c r="A55" s="100" t="inlineStr">
        <is>
          <t>Containment_A</t>
        </is>
      </c>
      <c r="B55" s="171">
        <f>CANON!B60</f>
        <v/>
      </c>
      <c r="C55" s="100" t="inlineStr">
        <is>
          <t>Tier 2: containment proxy display (union-score diagnostic). Tier 3+: implement full ΔUCI containment per Section 9.0.</t>
        </is>
      </c>
    </row>
    <row r="56" ht="14.25" customHeight="1" s="97">
      <c r="A56" s="100" t="inlineStr">
        <is>
          <t>Containment_B</t>
        </is>
      </c>
      <c r="B56" s="171">
        <f>CANON!B61</f>
        <v/>
      </c>
      <c r="C56" s="100" t="inlineStr">
        <is>
          <t>Tier 2: containment proxy display (union-score diagnostic). Tier 3+: implement full ΔUCI containment per Section 9.0.</t>
        </is>
      </c>
    </row>
    <row r="57" ht="14.25" customHeight="1" s="97">
      <c r="A57" s="100" t="inlineStr">
        <is>
          <t>RLS_A</t>
        </is>
      </c>
      <c r="B57" s="100">
        <f>CANON!B63</f>
        <v/>
      </c>
    </row>
    <row r="58" ht="13.5" customHeight="1" s="97">
      <c r="A58" s="100" t="inlineStr">
        <is>
          <t>RLS_B</t>
        </is>
      </c>
      <c r="B58" s="100">
        <f>CANON!B64</f>
        <v/>
      </c>
    </row>
    <row r="59" ht="14.25" customHeight="1" s="97">
      <c r="A59" s="100" t="inlineStr">
        <is>
          <t>RLS_Decisive</t>
        </is>
      </c>
      <c r="B59" s="100" t="inlineStr">
        <is>
          <t>NO</t>
        </is>
      </c>
    </row>
    <row r="61" ht="14.25" customHeight="1" s="97">
      <c r="A61" s="104" t="inlineStr">
        <is>
          <t>SECTION 6: DECISION</t>
        </is>
      </c>
      <c r="B61" s="96" t="n"/>
    </row>
    <row r="62" ht="14.25" customHeight="1" s="97">
      <c r="A62" s="122" t="n"/>
      <c r="B62" s="96" t="n"/>
    </row>
    <row r="63" ht="14.25" customHeight="1" s="97">
      <c r="A63" s="100" t="inlineStr">
        <is>
          <t>Selection_Mode</t>
        </is>
      </c>
      <c r="B63" s="100">
        <f>CANON!B70</f>
        <v/>
      </c>
    </row>
    <row r="64" ht="14.25" customHeight="1" s="97">
      <c r="A64" s="100" t="inlineStr">
        <is>
          <t>Selection_Basis</t>
        </is>
      </c>
      <c r="B64" s="100">
        <f>CANON!B72</f>
        <v/>
      </c>
    </row>
    <row r="65" ht="14.25" customHeight="1" s="97">
      <c r="A65" s="100" t="inlineStr">
        <is>
          <t>Recommended_Option</t>
        </is>
      </c>
      <c r="B65" s="159">
        <f>IF(CANON!B71="","None",CANON!B71)</f>
        <v/>
      </c>
    </row>
    <row r="66" ht="14.25" customHeight="1" s="97">
      <c r="A66" s="100" t="inlineStr">
        <is>
          <t>CVaR_Deficit</t>
        </is>
      </c>
      <c r="B66" s="100">
        <f>IF(Dashboard!$B$36="YES",TEXT(MIN(TRC!$H$15,TRC!$H$28)-Config!$B$12,"0.000")&amp;" above τ_TRC","0.000")</f>
        <v/>
      </c>
    </row>
    <row r="67" ht="14.25" customHeight="1" s="97">
      <c r="A67" s="100" t="inlineStr">
        <is>
          <t>Confidence</t>
        </is>
      </c>
      <c r="B67" s="100" t="inlineStr">
        <is>
          <t>MEDIUM</t>
        </is>
      </c>
    </row>
    <row r="68" ht="14.25" customHeight="1" s="97">
      <c r="A68" s="100" t="inlineStr">
        <is>
          <t>Escalation_Required</t>
        </is>
      </c>
      <c r="B68" s="100">
        <f>CANON!B73</f>
        <v/>
      </c>
    </row>
    <row r="69" ht="14.25" customHeight="1" s="97">
      <c r="A69" s="100" t="inlineStr">
        <is>
          <t>Escalation_Path</t>
        </is>
      </c>
      <c r="B69" s="100" t="inlineStr">
        <is>
          <t>A</t>
        </is>
      </c>
    </row>
    <row r="70" ht="14.25" customHeight="1" s="97">
      <c r="A70" s="100" t="inlineStr">
        <is>
          <t>Admissible_Options</t>
        </is>
      </c>
      <c r="B70" s="100" t="inlineStr">
        <is>
          <t>{A, B}</t>
        </is>
      </c>
    </row>
    <row r="71" ht="14.25" customHeight="1" s="97">
      <c r="A71" s="100" t="inlineStr">
        <is>
          <t>Rights_Admissible</t>
        </is>
      </c>
      <c r="B71" s="100" t="inlineStr">
        <is>
          <t>{A, B}</t>
        </is>
      </c>
    </row>
    <row r="72" ht="14.25" customHeight="1" s="97">
      <c r="B72" s="100" t="inlineStr">
        <is>
          <t>YES</t>
        </is>
      </c>
    </row>
    <row r="73" ht="14.25" customHeight="1" s="97">
      <c r="A73" s="99" t="inlineStr">
        <is>
          <t>SECTION 7: AUDIT FLAGS</t>
        </is>
      </c>
    </row>
    <row r="74" ht="14.25" customHeight="1" s="97">
      <c r="A74" s="122" t="inlineStr">
        <is>
          <t>Active Flags (INVALID, canon-aligned):</t>
        </is>
      </c>
      <c r="B74" s="100">
        <f>Audit_Flags!B21</f>
        <v/>
      </c>
    </row>
    <row r="75" ht="14.25" customHeight="1" s="97">
      <c r="A75" s="100" t="inlineStr">
        <is>
          <t>Active Flags (ESCALATE, canon-aligned):</t>
        </is>
      </c>
      <c r="B75" s="100">
        <f>Audit_Flags!B22</f>
        <v/>
      </c>
    </row>
    <row r="76" ht="14.25" customHeight="1" s="97">
      <c r="A76" s="156" t="inlineStr">
        <is>
          <t>Active Flags (REVIEW, canon-aligned):</t>
        </is>
      </c>
      <c r="B76" s="100">
        <f>Audit_Flags!B23</f>
        <v/>
      </c>
      <c r="C76" s="100" t="inlineStr">
        <is>
          <t>Mitigation required</t>
        </is>
      </c>
    </row>
    <row r="77" ht="13.5" customHeight="1" s="97">
      <c r="A77" s="100" t="inlineStr">
        <is>
          <t>Active Flag Details (including TOOL_LOCAL if any):</t>
        </is>
      </c>
      <c r="B77" s="100" t="inlineStr">
        <is>
          <t>NONDECISIVE_GAP_REVIEW (TOOL_LOCAL REVIEW)</t>
        </is>
      </c>
    </row>
    <row r="78" ht="14.25" customHeight="1" s="97">
      <c r="B78" s="100" t="inlineStr">
        <is>
          <t>Note: REVIEW flags do not block claimability but require documentation.</t>
        </is>
      </c>
    </row>
    <row r="80" ht="14.25" customHeight="1" s="97">
      <c r="A80" s="99" t="inlineStr">
        <is>
          <t>SECTION 8: FIVE-SENTENCE PUBLIC RATIONALE (5SPR)</t>
        </is>
      </c>
    </row>
    <row r="81" ht="14.25" customHeight="1" s="97">
      <c r="A81" s="122" t="inlineStr">
        <is>
          <t>1. CONTEXT:</t>
        </is>
      </c>
      <c r="B81" s="100" t="inlineStr">
        <is>
          <t>Organization evaluating remote work policy (Option A: implement remote; Option B: retain in-office). ORG context, Tier 2.</t>
        </is>
      </c>
    </row>
    <row r="82" ht="14.25" customHeight="1" s="97">
      <c r="A82" s="100" t="inlineStr">
        <is>
          <t>2. OPTIONS:</t>
        </is>
      </c>
      <c r="B82" s="100" t="inlineStr">
        <is>
          <t>Option A: flexibility, reduced emissions, less cohesion. Option B: team bonds, facility costs, commute burden.</t>
        </is>
      </c>
    </row>
    <row r="83" ht="14.25" customHeight="1" s="97">
      <c r="A83" s="100" t="inlineStr">
        <is>
          <t>3. CONSTRAINTS:</t>
        </is>
      </c>
      <c r="B83" s="100" t="inlineStr">
        <is>
          <t>Both pass NCRC (8 rights) and TRC (CVaR_A=0.0219, CVaR_B=0.0315 ≤ 0.20). WTSL-AIX voluntary.</t>
        </is>
      </c>
    </row>
    <row r="84" ht="14.25" customHeight="1" s="97">
      <c r="A84" s="100" t="inlineStr">
        <is>
          <t>4. SELECTION:</t>
        </is>
      </c>
      <c r="B84" s="100" t="inlineStr">
        <is>
          <t>Option A selected via non-decisive RLS lead (judgment call documented).</t>
        </is>
      </c>
    </row>
    <row r="85" ht="13.5" customHeight="1" s="97">
      <c r="A85" s="100" t="inlineStr">
        <is>
          <t>5. MONITORING:</t>
        </is>
      </c>
      <c r="B85" s="100" t="inlineStr">
        <is>
          <t>NCAR quarterly. TOOL_LOCAL REVIEW flags: YES (NONDECISIVE_GAP_REVIEW). Reflect: review cohesion, retention, appeal outcomes, and drift indicators at the scheduled NCAR review date.</t>
        </is>
      </c>
    </row>
    <row r="86" ht="13.5" customHeight="1" s="97">
      <c r="A86" s="100" t="inlineStr">
        <is>
          <t>Monitoring (snapshot):</t>
        </is>
      </c>
      <c r="B86" s="100" t="inlineStr">
        <is>
          <t>Run NCAR (Notice–Choose–Act–Reflect) monitoring on a 30–90 day cadence, review any REVIEW flags, collect outcome indicators, and record adjustments or mitigations in the PCC log.</t>
        </is>
      </c>
    </row>
    <row r="89" ht="14.25" customHeight="1" s="97">
      <c r="A89" s="122" t="inlineStr">
        <is>
          <t>SECTION 9: RISK MITIGATION PLAN</t>
        </is>
      </c>
    </row>
    <row r="90" ht="14.25" customHeight="1" s="97">
      <c r="A90" s="100">
        <f>IF(Dashboard!$B$36="YES","Objective: Reduce selected option CVaR ("&amp;TEXT(MIN(TRC!$H$15,TRC!$H$28),"0.000")&amp;") to ≤ τ_TRC ("&amp;TEXT(Config!$B$12,"0.00")&amp;") via mitigation within a defined timeline.","Objective: Maintain CVaR ≤ τ_TRC ("&amp;TEXT(Config!$B$12,"0.00")&amp;") and monitor tail-risk assumptions.")</f>
        <v/>
      </c>
    </row>
    <row r="91" ht="14.25" customHeight="1" s="97">
      <c r="A91" s="100" t="inlineStr">
        <is>
          <t>M1</t>
        </is>
      </c>
      <c r="B91" s="100" t="inlineStr">
        <is>
          <t>Hybrid work pandemic contingency</t>
        </is>
      </c>
      <c r="C91" s="100" t="inlineStr">
        <is>
          <t>Qualitative (Tier-2 exemplar: no numeric CVaR delta claimed)</t>
        </is>
      </c>
    </row>
    <row r="92" ht="14.25" customHeight="1" s="97">
      <c r="A92" s="100" t="inlineStr">
        <is>
          <t>M2</t>
        </is>
      </c>
      <c r="B92" s="100" t="inlineStr">
        <is>
          <t>Infrastructure backup systems</t>
        </is>
      </c>
      <c r="C92" s="100" t="inlineStr">
        <is>
          <t>Qualitative (Tier-2 exemplar: no numeric CVaR delta claimed)</t>
        </is>
      </c>
    </row>
    <row r="93" ht="14.25" customHeight="1" s="97">
      <c r="A93" s="100" t="inlineStr">
        <is>
          <t>M3</t>
        </is>
      </c>
      <c r="B93" s="100" t="inlineStr">
        <is>
          <t>Community resilience fund</t>
        </is>
      </c>
      <c r="C93" s="100" t="inlineStr">
        <is>
          <t>Qualitative (Tier-2 exemplar: no numeric CVaR delta claimed)</t>
        </is>
      </c>
    </row>
    <row r="94" ht="14.25" customHeight="1" s="97">
      <c r="A94" s="100" t="inlineStr">
        <is>
          <t>M4</t>
        </is>
      </c>
      <c r="B94" s="100" t="inlineStr">
        <is>
          <t>Climate adaptation plan</t>
        </is>
      </c>
      <c r="C94" s="100" t="inlineStr">
        <is>
          <t>Qualitative (Tier-2 exemplar: no numeric CVaR delta claimed)</t>
        </is>
      </c>
    </row>
    <row r="95" ht="14.25" customHeight="1" s="97">
      <c r="A95" s="100" t="inlineStr">
        <is>
          <t>M5</t>
        </is>
      </c>
      <c r="B95" s="100" t="inlineStr">
        <is>
          <t>AI system audit/fallbacks</t>
        </is>
      </c>
      <c r="C95" s="100" t="inlineStr">
        <is>
          <t>Qualitative (Tier-2 exemplar: no numeric CVaR delta claimed)</t>
        </is>
      </c>
    </row>
    <row r="96" ht="13.5" customHeight="1" s="97">
      <c r="A96" s="100" t="inlineStr">
        <is>
          <t>TOTAL</t>
        </is>
      </c>
      <c r="B96" s="100" t="inlineStr">
        <is>
          <t>Tail-risk posture</t>
        </is>
      </c>
      <c r="C96" s="100">
        <f>IF(Dashboard!$B$36="YES","Mitigation required (CVaR above τ_TRC).","Headroom = "&amp;TEXT(CANON!$B$106-IF(CANON!$B$71="A",CANON!$B$104,IF(CANON!$B$71="B",CANON!$B$105,"")),"0.000")&amp;" (τ_TRC - CVaR_selected). Monitor assumptions + rerun TRC on change.")</f>
        <v/>
      </c>
      <c r="D96" s="100">
        <f>CANON!B106-IF(CANON!B71="A",CANON!B104,CANON!B105)</f>
        <v/>
      </c>
    </row>
    <row r="97" ht="14.25" customHeight="1" s="97">
      <c r="A97" s="100" t="inlineStr">
        <is>
          <t>Audit_Flags_Active (canon-aligned unless TOOL_LOCAL; see Audit_Flags mapping note)</t>
        </is>
      </c>
      <c r="B97" s="100">
        <f>Audit_Flags!$F$2</f>
        <v/>
      </c>
    </row>
    <row r="99" ht="14.25" customHeight="1" s="97">
      <c r="A99" s="122" t="inlineStr">
        <is>
          <t>SECTION 10: NCAR SCHEDULE</t>
        </is>
      </c>
    </row>
    <row r="100" ht="14.25" customHeight="1" s="97">
      <c r="A100" s="100" t="inlineStr">
        <is>
          <t>Notice: Complete (this PCC)</t>
        </is>
      </c>
    </row>
    <row r="101" ht="14.25" customHeight="1" s="97">
      <c r="A101" s="100" t="inlineStr">
        <is>
          <t>Choose: Complete (Option A via normal cascade)</t>
        </is>
      </c>
      <c r="B101" s="100" t="inlineStr">
        <is>
          <t>Option A via normal cascade</t>
        </is>
      </c>
    </row>
    <row r="102" ht="14.25" customHeight="1" s="97">
      <c r="A102" s="100" t="inlineStr">
        <is>
          <t>Act: Begins upon sign-off</t>
        </is>
      </c>
    </row>
    <row r="103" ht="13.5" customHeight="1" s="97">
      <c r="A103" s="100" t="inlineStr">
        <is>
          <t>2026-05-03</t>
        </is>
      </c>
    </row>
    <row r="104" ht="13.5" customHeight="1" s="97">
      <c r="A104" s="100" t="inlineStr">
        <is>
          <t>Reflect: Scheduled</t>
        </is>
      </c>
      <c r="B104" s="121">
        <f>TEXT(DATE(2026,2,2)+90,"YYYY-MM-DD")</f>
        <v/>
      </c>
    </row>
    <row r="105" ht="13.5" customHeight="1" s="97"/>
    <row r="106" ht="13.5" customHeight="1" s="97">
      <c r="A106" s="100" t="inlineStr">
        <is>
          <t>SECTION 11: STEWARDSHIP COMPLIANCE (v9.6.4 Section 14.7, Appendix N)</t>
        </is>
      </c>
    </row>
    <row r="107" ht="30" customHeight="1" s="97">
      <c r="A107" s="100" t="inlineStr">
        <is>
          <t>Stewardship_Profile</t>
        </is>
      </c>
      <c r="B107" s="100" t="inlineStr">
        <is>
          <t>N/A (Tier 2 worked run; stewardship applies only for AI-agent deployments at MODE 2+;
see Agent System v9.2 §8.7 and RippleLogic v9.6.4 Appendix N.)</t>
        </is>
      </c>
    </row>
    <row r="108" ht="30" customHeight="1" s="97">
      <c r="A108" s="100" t="inlineStr">
        <is>
          <t>Conditional_Stewardship_Active</t>
        </is>
      </c>
      <c r="B108" s="100" t="inlineStr">
        <is>
          <t>FALSE</t>
        </is>
      </c>
      <c r="C108" s="100" t="inlineStr">
        <is>
          <t>(In agent deployments, Stw_req defaults FALSE for MODE 0–1 and TRUE for MODE 2+;
see Agent System v9.2 §8.7.)</t>
        </is>
      </c>
    </row>
    <row r="109" ht="15" customHeight="1" s="97">
      <c r="A109" s="100" t="inlineStr">
        <is>
          <t>Stewardship_Note</t>
        </is>
      </c>
      <c r="B109" s="100" t="inlineStr">
        <is>
          <t>This worked run involves no AI agent deployment. Stewardship requirements apply when AI agents operate at MODE 2+.</t>
        </is>
      </c>
    </row>
    <row r="110" ht="13.5" customHeight="1" s="97"/>
    <row r="111" ht="13.5" customHeight="1" s="97">
      <c r="A111" s="172" t="inlineStr">
        <is>
          <t>SECTION 12: SCOPE COVERAGE (v9.6.4)</t>
        </is>
      </c>
    </row>
    <row r="112" ht="13.5" customHeight="1" s="97">
      <c r="A112" s="168" t="inlineStr">
        <is>
          <t>ScopeCoverage.Mode</t>
        </is>
      </c>
      <c r="B112" s="168">
        <f>CANON!B133</f>
        <v/>
      </c>
      <c r="C112" s="173" t="inlineStr">
        <is>
          <t>FULL or REDUCED</t>
        </is>
      </c>
    </row>
    <row r="113" ht="13.5" customHeight="1" s="97">
      <c r="A113" s="168" t="inlineStr">
        <is>
          <t>ScopeCoverage.ActiveScopes</t>
        </is>
      </c>
      <c r="B113" s="168">
        <f>CANON!B134</f>
        <v/>
      </c>
      <c r="C113" s="113" t="n"/>
    </row>
    <row r="114" ht="13.5" customHeight="1" s="97">
      <c r="A114" s="168" t="inlineStr">
        <is>
          <t>ScopeCoverage.OmittedScopes</t>
        </is>
      </c>
      <c r="B114" s="168">
        <f>CANON!B135</f>
        <v/>
      </c>
      <c r="C114" s="113" t="n"/>
    </row>
    <row r="115" ht="13.5" customHeight="1" s="97">
      <c r="A115" s="168" t="inlineStr">
        <is>
          <t>ScopeCoverage.OmissionRationale</t>
        </is>
      </c>
      <c r="B115" s="168" t="inlineStr">
        <is>
          <t>N/A (all scopes active)</t>
        </is>
      </c>
      <c r="C115" s="113" t="n"/>
    </row>
    <row r="116" ht="14.25" customHeight="1" s="97">
      <c r="A116" s="168" t="inlineStr">
        <is>
          <t>ScopeCoverage.BlindSpotStatement</t>
        </is>
      </c>
      <c r="B116" s="168" t="inlineStr">
        <is>
          <t>No known blind spots for Tier 2 ORG context. Biosphere and cosmic pathways are minimal for this decision scope.</t>
        </is>
      </c>
      <c r="C116" s="113" t="n"/>
    </row>
    <row r="117" ht="13.5" customHeight="1" s="97">
      <c r="A117" s="168" t="inlineStr">
        <is>
          <t>ScopeCoverage.EscalationTrigger</t>
        </is>
      </c>
      <c r="B117" s="168" t="inlineStr">
        <is>
          <t>Rerun if externalities beyond ORG scope are identified (e.g., supply chain, biosphere pathway).</t>
        </is>
      </c>
      <c r="C117" s="113" t="n"/>
    </row>
    <row r="118" ht="13.5" customHeight="1" s="97"/>
    <row r="119" ht="14.25" customHeight="1" s="97">
      <c r="A119" s="174" t="inlineStr">
        <is>
          <t>ADMISSIBILITY GUARD (v9.6.4 Section 2.2A):</t>
        </is>
      </c>
    </row>
    <row r="120" ht="15" customHeight="1" s="97">
      <c r="A120" s="173" t="inlineStr">
        <is>
          <t>Reduced-scope mode SHALL NOT remove any non-maskable cells or required scope rows from NCRC, TRC, or Containment computation.</t>
        </is>
      </c>
    </row>
    <row r="121" ht="13.5" customHeight="1" s="97"/>
    <row r="122" ht="13.5" customHeight="1" s="97">
      <c r="A122" s="172" t="inlineStr">
        <is>
          <t>SECTION 13: INSTANCE MAP (v9.6.4)</t>
        </is>
      </c>
    </row>
    <row r="123" ht="14.25" customHeight="1" s="97">
      <c r="A123" s="173" t="inlineStr">
        <is>
          <t>Reference: RippleLogic v9.6.4 Section 2.2A + Appendix H</t>
        </is>
      </c>
      <c r="B123" s="100" t="inlineStr">
        <is>
          <t>Reference: RippleLogic v9.6.4 Section 2.2A + Appendix H</t>
        </is>
      </c>
    </row>
    <row r="124" ht="13.5" customHeight="1" s="97">
      <c r="A124" s="173" t="inlineStr">
        <is>
          <t>Tier 2: REQUIRED when mapping triggers hold; otherwise recommended</t>
        </is>
      </c>
    </row>
    <row r="125" ht="13.5" customHeight="1" s="97"/>
    <row r="126" ht="13.5" customHeight="1" s="97">
      <c r="A126" s="175" t="inlineStr">
        <is>
          <t>instance_id</t>
        </is>
      </c>
      <c r="B126" s="175" t="inlineStr">
        <is>
          <t>instance_label</t>
        </is>
      </c>
      <c r="C126" s="175" t="inlineStr">
        <is>
          <t>stakeholder_class</t>
        </is>
      </c>
      <c r="D126" s="175" t="inlineStr">
        <is>
          <t>role_context</t>
        </is>
      </c>
      <c r="E126" s="175" t="inlineStr">
        <is>
          <t>mapped_scopes</t>
        </is>
      </c>
      <c r="F126" s="175" t="inlineStr">
        <is>
          <t>mapping_rationale</t>
        </is>
      </c>
      <c r="G126" s="175" t="inlineStr">
        <is>
          <t>rights_exposure</t>
        </is>
      </c>
      <c r="H126" s="175" t="inlineStr">
        <is>
          <t>redundancy_method</t>
        </is>
      </c>
    </row>
    <row r="127" ht="13.5" customHeight="1" s="97">
      <c r="A127" s="168" t="inlineStr">
        <is>
          <t>INST-01</t>
        </is>
      </c>
      <c r="B127" s="168" t="inlineStr">
        <is>
          <t>Office employees (current)</t>
        </is>
      </c>
      <c r="C127" s="168" t="inlineStr">
        <is>
          <t>Individual</t>
        </is>
      </c>
      <c r="D127" s="168" t="inlineStr">
        <is>
          <t>Employee, direct impact</t>
        </is>
      </c>
      <c r="E127" s="168" t="inlineStr">
        <is>
          <t>U1, U3</t>
        </is>
      </c>
      <c r="F127" s="168" t="inlineStr">
        <is>
          <t>Primary affected class; Self + Community scope</t>
        </is>
      </c>
      <c r="G127" s="168" t="inlineStr">
        <is>
          <t>LBTY (U1-D5), DIGN (U1-D3)</t>
        </is>
      </c>
      <c r="H127" s="168" t="inlineStr">
        <is>
          <t>N/A</t>
        </is>
      </c>
    </row>
    <row r="128" ht="13.5" customHeight="1" s="97">
      <c r="A128" s="168" t="inlineStr">
        <is>
          <t>INST-02</t>
        </is>
      </c>
      <c r="B128" s="168" t="inlineStr">
        <is>
          <t>Employee households</t>
        </is>
      </c>
      <c r="C128" s="168" t="inlineStr">
        <is>
          <t>Household</t>
        </is>
      </c>
      <c r="D128" s="168" t="inlineStr">
        <is>
          <t>Family members, indirect</t>
        </is>
      </c>
      <c r="E128" s="168" t="inlineStr">
        <is>
          <t>U2</t>
        </is>
      </c>
      <c r="F128" s="168" t="inlineStr">
        <is>
          <t>Household scope: income, commute, family time</t>
        </is>
      </c>
      <c r="G128" s="168" t="inlineStr">
        <is>
          <t>NEED (U2-D1)</t>
        </is>
      </c>
      <c r="H128" s="168" t="inlineStr">
        <is>
          <t>N/A</t>
        </is>
      </c>
    </row>
    <row r="129" ht="13.5" customHeight="1" s="97">
      <c r="A129" s="168" t="inlineStr">
        <is>
          <t>INST-03</t>
        </is>
      </c>
      <c r="B129" s="168" t="inlineStr">
        <is>
          <t>Team/department cohesion</t>
        </is>
      </c>
      <c r="C129" s="168" t="inlineStr">
        <is>
          <t>Community</t>
        </is>
      </c>
      <c r="D129" s="168" t="inlineStr">
        <is>
          <t>Organizational community</t>
        </is>
      </c>
      <c r="E129" s="168" t="inlineStr">
        <is>
          <t>U3</t>
        </is>
      </c>
      <c r="F129" s="168" t="inlineStr">
        <is>
          <t>Community social fabric affected</t>
        </is>
      </c>
      <c r="G129" s="168" t="inlineStr">
        <is>
          <t>LBTY (U3-D3), DIGN (U3-D3)</t>
        </is>
      </c>
      <c r="H129" s="168" t="inlineStr">
        <is>
          <t>N/A</t>
        </is>
      </c>
    </row>
    <row r="130" ht="14.25" customHeight="1" s="97">
      <c r="A130" s="168" t="inlineStr">
        <is>
          <t>INST-04</t>
        </is>
      </c>
      <c r="B130" s="168" t="inlineStr">
        <is>
          <t>Organization operations</t>
        </is>
      </c>
      <c r="C130" s="168" t="inlineStr">
        <is>
          <t>Organization</t>
        </is>
      </c>
      <c r="D130" s="168" t="inlineStr">
        <is>
          <t>Employer, decision owner</t>
        </is>
      </c>
      <c r="E130" s="168" t="inlineStr">
        <is>
          <t>U4</t>
        </is>
      </c>
      <c r="F130" s="168" t="inlineStr">
        <is>
          <t>Organizational scope: costs, productivity</t>
        </is>
      </c>
      <c r="G130" s="168" t="inlineStr">
        <is>
          <t>PROC (U4-D5)</t>
        </is>
      </c>
      <c r="H130" s="168" t="inlineStr">
        <is>
          <t>N/A</t>
        </is>
      </c>
    </row>
    <row r="131" ht="13.5" customHeight="1" s="97">
      <c r="A131" s="168" t="inlineStr">
        <is>
          <t>INST-05</t>
        </is>
      </c>
      <c r="B131" s="168" t="inlineStr">
        <is>
          <t>Local service economy</t>
        </is>
      </c>
      <c r="C131" s="168" t="inlineStr">
        <is>
          <t>Community</t>
        </is>
      </c>
      <c r="D131" s="168" t="inlineStr">
        <is>
          <t>External community, indirect</t>
        </is>
      </c>
      <c r="E131" s="168" t="inlineStr">
        <is>
          <t>U3, U5</t>
        </is>
      </c>
      <c r="F131" s="168" t="inlineStr">
        <is>
          <t>Cross-scope: local businesses affected by commuter reduction</t>
        </is>
      </c>
      <c r="G131" s="168" t="inlineStr">
        <is>
          <t>NEED (U3-D1)</t>
        </is>
      </c>
      <c r="H131" s="168" t="inlineStr">
        <is>
          <t>EMERGENT_SCALE_JUSTIFICATION</t>
        </is>
      </c>
    </row>
    <row r="132" ht="13.5" customHeight="1" s="97"/>
    <row r="133" ht="14.25" customHeight="1" s="97">
      <c r="A133" s="174" t="inlineStr">
        <is>
          <t>BRIDGE NOTE (v9.6.4 Section 5.2):</t>
        </is>
      </c>
    </row>
    <row r="134" ht="15" customHeight="1" s="97">
      <c r="A134" s="173" t="inlineStr">
        <is>
          <t>InstanceMap specifies who is represented (stakeholders-in-context). Impact instances k∈𝓘(u,d,a) specify how impacts occur (pathways) within a Scope×Dimension cell. These are distinct objects and MUST NOT be conflated.</t>
        </is>
      </c>
    </row>
    <row r="135" ht="13.5" customHeight="1" s="97"/>
    <row r="136" ht="13.5" customHeight="1" s="97">
      <c r="A136" s="172" t="inlineStr">
        <is>
          <t>SECTION 14: STAKEHOLDER COVERAGE INDEX (v9.6.4)</t>
        </is>
      </c>
    </row>
    <row r="137" ht="13.5" customHeight="1" s="97">
      <c r="A137" s="173" t="inlineStr">
        <is>
          <t>Reference: RippleLogic v9.6.4 Section 5.0.1</t>
        </is>
      </c>
      <c r="B137" s="100" t="inlineStr">
        <is>
          <t>Reference: RippleLogic v9.6.4 Section 5.0.1</t>
        </is>
      </c>
    </row>
    <row r="138" ht="13.5" customHeight="1" s="97">
      <c r="A138" s="168" t="inlineStr">
        <is>
          <t>SCI.Level</t>
        </is>
      </c>
      <c r="B138" s="168">
        <f>CANON!B130</f>
        <v/>
      </c>
      <c r="C138" s="173" t="inlineStr">
        <is>
          <t>SCI-0: None | SCI-1: Key identified | SCI-2: Structured discovery | SCI-3: Independent challenge | SCI-4: Longitudinal tracking</t>
        </is>
      </c>
    </row>
    <row r="139" ht="13.5" customHeight="1" s="97">
      <c r="A139" s="168" t="inlineStr">
        <is>
          <t>SCI.Justification</t>
        </is>
      </c>
      <c r="B139" s="168">
        <f>CANON!B131</f>
        <v/>
      </c>
      <c r="C139" s="113" t="n"/>
    </row>
    <row r="140" ht="13.5" customHeight="1" s="97">
      <c r="A140" s="168" t="inlineStr">
        <is>
          <t>SCI.NextRunUpgrade</t>
        </is>
      </c>
      <c r="B140" s="168">
        <f>CANON!B132</f>
        <v/>
      </c>
      <c r="C140" s="173" t="inlineStr">
        <is>
          <t>REQUIRED when SCI = tier minimum (anti-theater ratchet)</t>
        </is>
      </c>
    </row>
    <row r="141" ht="14.25" customHeight="1" s="97">
      <c r="A141" s="168" t="inlineStr">
        <is>
          <t>SCI.TierMinimum</t>
        </is>
      </c>
      <c r="B141" s="168">
        <f>IF(CANON!$B$10=2,"SCI-1",IF(CANON!$B$10=3,"SCI-2","N/A"))</f>
        <v/>
      </c>
      <c r="C141" s="113" t="n"/>
    </row>
    <row r="142" ht="15" customHeight="1" s="97">
      <c r="A142" s="168" t="inlineStr">
        <is>
          <t>SCI.Compliant</t>
        </is>
      </c>
      <c r="B142" s="168">
        <f>IF(CANON!B130&gt;=IF(CANON!$B$10=2,1,IF(CANON!$B$10=3,2,0)),"YES","NO")</f>
        <v/>
      </c>
      <c r="C142" s="113" t="n"/>
    </row>
    <row r="143" ht="13.5" customHeight="1" s="97"/>
    <row r="144" ht="13.5" customHeight="1" s="97">
      <c r="A144" s="172" t="inlineStr">
        <is>
          <t>SECTION 15: ACTIVE CELL DEFINITION (v9.6.4 Section 10.3)</t>
        </is>
      </c>
    </row>
    <row r="145" ht="13.5" customHeight="1" s="97">
      <c r="A145" s="168" t="inlineStr">
        <is>
          <t>Active cell = any cell (u,d) with m(u,d)=1 for RLS aggregation,</t>
        </is>
      </c>
    </row>
    <row r="146" ht="13.5" customHeight="1" s="97">
      <c r="A146" s="168" t="inlineStr">
        <is>
          <t xml:space="preserve">  plus all rights-covered cells (u,d)∈C_r regardless of mask,</t>
        </is>
      </c>
    </row>
    <row r="147" ht="13.5" customHeight="1" s="97">
      <c r="A147" s="168" t="inlineStr">
        <is>
          <t xml:space="preserve">  plus all catastrophe cells (u,d)∈C_cat regardless of mask,</t>
        </is>
      </c>
    </row>
    <row r="148" ht="14.25" customHeight="1" s="97">
      <c r="A148" s="168" t="inlineStr">
        <is>
          <t xml:space="preserve">  plus any cells required by minimum governance coverage rules for the run.</t>
        </is>
      </c>
    </row>
    <row r="149" ht="14.25" customHeight="1" s="97">
      <c r="A149" s="176" t="inlineStr">
        <is>
          <t>Uncertainty MUST be estimated for all active cells (Tier 2+ per v9.6.4).</t>
        </is>
      </c>
    </row>
    <row r="151" ht="15" customHeight="1" s="97">
      <c r="A151" s="177" t="inlineStr">
        <is>
          <t>SECTION 16: REACHBASIS + PLSS DISCLOSURE (WORKED-RUN COMPANION)</t>
        </is>
      </c>
    </row>
    <row r="152" ht="31.5" customHeight="1" s="97">
      <c r="A152" s="178" t="inlineStr">
        <is>
          <t>ReachBasis.Fields</t>
        </is>
      </c>
      <c r="B152" s="178" t="inlineStr">
        <is>
          <t>Impact_Input!O:Q expose ReachBasisType, ReachBasisDenominator, and ReachBasisEstimator for each logged impact instance.</t>
        </is>
      </c>
    </row>
    <row r="153" ht="31.5" customHeight="1" s="97">
      <c r="A153" s="178" t="inlineStr">
        <is>
          <t>ReachBasis.WorkedRunNote</t>
        </is>
      </c>
      <c r="B153" s="178" t="inlineStr">
        <is>
          <t>Tier-2 exemplar disclosure surface; values are recorded per impact instance and interpreted under the canon’s ReachBasis rules.</t>
        </is>
      </c>
    </row>
    <row r="154" ht="31.5" customHeight="1" s="97">
      <c r="A154" s="178" t="inlineStr">
        <is>
          <t>PLSS.LSS_Declaration</t>
        </is>
      </c>
      <c r="B154" s="178">
        <f>PLSS_Local_Scope!B27</f>
        <v/>
      </c>
    </row>
    <row r="155" ht="31.5" customHeight="1" s="97">
      <c r="A155" s="178" t="inlineStr">
        <is>
          <t>PLSS.Operator_Declaration</t>
        </is>
      </c>
      <c r="B155" s="178">
        <f>PLSS_Local_Scope!B28</f>
        <v/>
      </c>
    </row>
    <row r="156" ht="31.5" customHeight="1" s="97">
      <c r="A156" s="178" t="inlineStr">
        <is>
          <t>PLSS.ScopePosture_Declaration</t>
        </is>
      </c>
      <c r="B156" s="178">
        <f>PLSS_Local_Scope!B29</f>
        <v/>
      </c>
    </row>
    <row r="157" ht="45.75" customHeight="1" s="97">
      <c r="A157" s="178" t="inlineStr">
        <is>
          <t>PLSS.EscalationTriggerAssessment</t>
        </is>
      </c>
      <c r="B157" s="178">
        <f>PLSS_Local_Scope!B30</f>
        <v/>
      </c>
    </row>
    <row r="158" ht="31.5" customHeight="1" s="97">
      <c r="A158" s="178" t="inlineStr">
        <is>
          <t>PLSS.FallbackDeclaration</t>
        </is>
      </c>
      <c r="B158" s="178">
        <f>PLSS_Local_Scope!B31</f>
        <v/>
      </c>
    </row>
    <row r="159" ht="45.75" customHeight="1" s="97">
      <c r="A159" s="178" t="inlineStr">
        <is>
          <t>Workbook_Status</t>
        </is>
      </c>
      <c r="B159" s="178" t="inlineStr">
        <is>
          <t>Current worked-run exemplar companion aligned to RippleLogic v9.6.4 and SGP v4.7.1; useful for Tier-2 replay and audit illustration, but not a substitute for repository-level schemas, validator assets, or the canonical DOCX artifacts.</t>
        </is>
      </c>
    </row>
    <row r="161" ht="24" customHeight="1" s="97">
      <c r="A161" s="177" t="inlineStr">
        <is>
          <t>SECTION 17: PROVENANCE HARDENING (v9.x+1 review pass)</t>
        </is>
      </c>
    </row>
    <row r="162" ht="21.75" customHeight="1" s="97">
      <c r="A162" s="178" t="inlineStr">
        <is>
          <t>Uncertainty.ReasonCode</t>
        </is>
      </c>
      <c r="B162" s="178" t="inlineStr">
        <is>
          <t>SIGMA_WORKED_RUN_CONSTANT_PROFILE</t>
        </is>
      </c>
      <c r="C162" s="104" t="inlineStr">
        <is>
          <t>Current exemplar uses the declared workbook-wide sigma profile; alternative methods that change decisiveness must be disclosed.</t>
        </is>
      </c>
    </row>
    <row r="163" ht="21.75" customHeight="1" s="97">
      <c r="A163" s="178" t="inlineStr">
        <is>
          <t>Uncertainty.SourceNote</t>
        </is>
      </c>
      <c r="B163" s="178" t="inlineStr">
        <is>
          <t>See PCC!B27:B28 and canon §10.3 / Appendix H</t>
        </is>
      </c>
    </row>
    <row r="164" ht="21.75" customHeight="1" s="97">
      <c r="A164" s="178" t="inlineStr">
        <is>
          <t>ScenarioProbabilities.ReasonCode</t>
        </is>
      </c>
      <c r="B164" s="178" t="inlineStr">
        <is>
          <t>SCENARIO_PRIOR_JUDGMENT</t>
        </is>
      </c>
      <c r="C164" s="104" t="inlineStr">
        <is>
          <t>Per-scenario reason codes and source notes are now logged on Scenario_Impacts.</t>
        </is>
      </c>
    </row>
    <row r="165" ht="21.75" customHeight="1" s="97">
      <c r="A165" s="178" t="inlineStr">
        <is>
          <t>PLSS.ProminenceReasonCode</t>
        </is>
      </c>
      <c r="B165" s="178">
        <f>IF(Config!B17="PLSS_LOCAL","PLSS_NEAR_FIELD_DECLARATION","NA")</f>
        <v/>
      </c>
      <c r="C165" s="104" t="inlineStr">
        <is>
          <t>Per-scope reason codes and source notes are now logged on PLSS_Local_Scope.</t>
        </is>
      </c>
    </row>
    <row r="166" ht="21.75" customHeight="1" s="97">
      <c r="A166" s="178" t="inlineStr">
        <is>
          <t>TRC.ExtensionProfile</t>
        </is>
      </c>
      <c r="B166" s="178" t="inlineStr">
        <is>
          <t>BASE_ONLY (no separate governance-lock-in extension invoked in this worked run)</t>
        </is>
      </c>
      <c r="C166" s="104" t="inlineStr">
        <is>
          <t>If a governance-lock-in pathway becomes material, declare an explicit extension profile in the next run.</t>
        </is>
      </c>
    </row>
    <row r="167" ht="21.75" customHeight="1" s="97">
      <c r="A167" s="178" t="inlineStr">
        <is>
          <t>e_k.RegistryRule</t>
        </is>
      </c>
      <c r="B167" s="178" t="inlineStr">
        <is>
          <t>DEFAULT_ONLY_IN_WORKED_RUN unless PCC justifies otherwise</t>
        </is>
      </c>
      <c r="C167" s="104" t="inlineStr">
        <is>
          <t>Per-instance e_k reason code/default-counterfactual fields are now logged on Impact_Input.</t>
        </is>
      </c>
    </row>
    <row r="168" ht="21.75" customHeight="1" s="97">
      <c r="A168" s="178" t="inlineStr">
        <is>
          <t>e_k.MaterialityCheck</t>
        </is>
      </c>
      <c r="B168" s="178">
        <f>IF(COUNTIFS(Impact_Input!A7:A200,"&lt;&gt;",Impact_Input!K7:K200,"&lt;&gt;1")=0,"All logged instances use e_k = 1.00","Non-default e_k present; disclose reason code + sensitivity")</f>
        <v/>
      </c>
    </row>
    <row r="169" ht="27.75" customHeight="1" s="97">
      <c r="A169" s="178" t="inlineStr">
        <is>
          <t>UCI.E1_Method</t>
        </is>
      </c>
      <c r="B169" s="178" t="inlineStr">
        <is>
          <t>E1_FIXED_1_BY_DEFINITION</t>
        </is>
      </c>
      <c r="C169" s="129" t="inlineStr">
        <is>
          <t>Canon §0.5: E₁ := 1 by definition (Self).</t>
        </is>
      </c>
    </row>
    <row r="170" ht="27.75" customHeight="1" s="97">
      <c r="A170" s="178" t="inlineStr">
        <is>
          <t>UCI.E7_Method</t>
        </is>
      </c>
      <c r="B170" s="178" t="inlineStr">
        <is>
          <t>E7_METHOD_FIXED_1_DEFAULT</t>
        </is>
      </c>
      <c r="C170" s="129" t="inlineStr">
        <is>
          <t>Canon §0.5: E₇ := 1 by default; no governed biosphere-equity instrument declared for this worked run.</t>
        </is>
      </c>
    </row>
    <row r="171" ht="57.45000076293945" customHeight="1" s="97">
      <c r="A171" s="178" t="inlineStr">
        <is>
          <t>Sensitivity.MaterialParameterNote</t>
        </is>
      </c>
      <c r="B171" s="178" t="inlineStr">
        <is>
          <t>If non-default e_k, q_u, p(s), or uncertainty-method changes alter admissibility or selection, disclose that parameter as decision-material in the sensitivity bundle.</t>
        </is>
      </c>
    </row>
    <row r="172" ht="12.75" customHeight="1" s="97">
      <c r="A172" s="104" t="inlineStr">
        <is>
          <t>SECTION 18: NORMATIVE INPUT REGISTER (v9.6.4 §14.3A / Appendix H)</t>
        </is>
      </c>
    </row>
    <row r="173" ht="12.75" customHeight="1" s="97">
      <c r="A173" s="104" t="inlineStr">
        <is>
          <t>NormativeInputRegister.Present</t>
        </is>
      </c>
      <c r="B173" s="104" t="inlineStr">
        <is>
          <t>YES</t>
        </is>
      </c>
    </row>
    <row r="174" ht="12.75" customHeight="1" s="97">
      <c r="A174" s="104" t="inlineStr">
        <is>
          <t>NormInputID</t>
        </is>
      </c>
      <c r="B174" s="104" t="inlineStr">
        <is>
          <t>NIR-2026-001</t>
        </is>
      </c>
    </row>
    <row r="175" ht="12.75" customHeight="1" s="97">
      <c r="A175" s="104" t="inlineStr">
        <is>
          <t>InputType</t>
        </is>
      </c>
      <c r="B175" s="104" t="inlineStr">
        <is>
          <t>SCENARIO_PRIORS; PLSS_PROMINENCE; UNCERTAINTY_METHOD; DEFAULT_EK_PROFILE</t>
        </is>
      </c>
    </row>
    <row r="176" ht="12.75" customHeight="1" s="97">
      <c r="A176" s="104" t="inlineStr">
        <is>
          <t>Materiality</t>
        </is>
      </c>
      <c r="B176" s="104" t="inlineStr">
        <is>
          <t>SELECTION_MATERIAL; ADMISSIBILITY_MATERIAL</t>
        </is>
      </c>
    </row>
    <row r="177" ht="12.75" customHeight="1" s="97">
      <c r="A177" s="104" t="inlineStr">
        <is>
          <t>AffectedObjects</t>
        </is>
      </c>
      <c r="B177" s="104" t="inlineStr">
        <is>
          <t>p(s); q_u; Uncertainty.Method; e_k profile</t>
        </is>
      </c>
    </row>
    <row r="178" ht="12.75" customHeight="1" s="97">
      <c r="A178" s="104" t="inlineStr">
        <is>
          <t>EvidenceBasisType</t>
        </is>
      </c>
      <c r="B178" s="104" t="inlineStr">
        <is>
          <t>GOVERNED_INTERPRETATION + ANALYST_JUDGMENT</t>
        </is>
      </c>
    </row>
    <row r="179" ht="12.75" customHeight="1" s="97">
      <c r="A179" s="104" t="inlineStr">
        <is>
          <t>EvidenceReference</t>
        </is>
      </c>
      <c r="B179" s="104" t="inlineStr">
        <is>
          <t>RippleLogic v9.6.4 §10.2A, §14.3A, Appendix H; workbook Scenario_Impacts / PLSS_Local_Scope / CANON / PCC Section 17</t>
        </is>
      </c>
    </row>
    <row r="180" ht="12.75" customHeight="1" s="97">
      <c r="A180" s="104" t="inlineStr">
        <is>
          <t>SensitivityNote</t>
        </is>
      </c>
      <c r="B180" s="104" t="inlineStr">
        <is>
          <t>If non-default e_k, q_u, p(s), or uncertainty-method changes alter admissibility or selection, disclose and rerun sensitivity review before claiming release readiness.</t>
        </is>
      </c>
    </row>
    <row r="181">
      <c r="A181" s="179" t="inlineStr">
        <is>
          <t>StakeholderOrScopeTarget</t>
        </is>
      </c>
      <c r="B181" s="179" t="inlineStr">
        <is>
          <t>U1/U3/U4 direct stakeholders plus decision-material scenario prior and local-scope governance targets</t>
        </is>
      </c>
    </row>
    <row r="182">
      <c r="A182" s="179" t="inlineStr">
        <is>
          <t>GovernedInterpretationBasis</t>
        </is>
      </c>
      <c r="B182" s="179" t="inlineStr">
        <is>
          <t>Canon-governed worked-run interpretation anchored in RippleLogic v9.6.4 §10.2A, §14.3A, and Appendix H</t>
        </is>
      </c>
    </row>
    <row r="183">
      <c r="A183" s="179" t="inlineStr">
        <is>
          <t>PrecautionaryBasis</t>
        </is>
      </c>
      <c r="B183" s="179" t="inlineStr">
        <is>
          <t>Conservative disclosure + rerun if non-default e_k, q_u, p(s), or uncertainty-method changes alter admissibility or selection</t>
        </is>
      </c>
    </row>
    <row r="184">
      <c r="A184" s="179" t="inlineStr">
        <is>
          <t>OptionSymmetryStatus</t>
        </is>
      </c>
      <c r="B184" s="179" t="inlineStr">
        <is>
          <t>Symmetric disclosure posture across Option A and Option B; option-specific differences remain in the source impact/scenario sheets</t>
        </is>
      </c>
    </row>
    <row r="185">
      <c r="A185" s="179" t="inlineStr">
        <is>
          <t>AnalystReasonCode</t>
        </is>
      </c>
      <c r="B185" s="179" t="inlineStr">
        <is>
          <t>NIR_WORKED_RUN_DISCLOSURE_PROFILE</t>
        </is>
      </c>
    </row>
    <row r="186">
      <c r="A186" s="179" t="inlineStr">
        <is>
          <t>ReviewerNote</t>
        </is>
      </c>
      <c r="B186" s="179" t="inlineStr">
        <is>
          <t>N/A (Tier 2 worked-run companion; external reviewer note optional unless separately reviewed)</t>
        </is>
      </c>
    </row>
  </sheetData>
  <mergeCells count="2">
    <mergeCell ref="A1:J1"/>
    <mergeCell ref="A151:B15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S175"/>
  <sheetViews>
    <sheetView showGridLines="1" workbookViewId="0">
      <selection activeCell="A1" sqref="A1"/>
    </sheetView>
  </sheetViews>
  <sheetFormatPr baseColWidth="8" defaultColWidth="8.66796875" defaultRowHeight="14.25"/>
  <cols>
    <col width="12" customWidth="1" style="96" min="1" max="1"/>
    <col width="36" customWidth="1" style="96" min="2" max="2"/>
    <col width="18" customWidth="1" style="96" min="3" max="3"/>
    <col width="14" customWidth="1" style="96" min="4" max="4"/>
    <col width="16" customWidth="1" style="96" min="5" max="5"/>
    <col width="40" customWidth="1" style="96" min="6" max="6"/>
    <col width="12" customWidth="1" style="96" min="9" max="19"/>
  </cols>
  <sheetData>
    <row r="1" ht="14.25" customHeight="1" s="97">
      <c r="A1" s="146" t="inlineStr">
        <is>
          <t>SENSITIVITY ANALYSIS</t>
        </is>
      </c>
    </row>
    <row r="2" ht="13.5" customHeight="1" s="97"/>
    <row r="3" ht="14.25" customHeight="1" s="97">
      <c r="A3" s="96" t="inlineStr">
        <is>
          <t>Module Status:</t>
        </is>
      </c>
      <c r="B3" s="149" t="inlineStr">
        <is>
          <t>PERFORMED</t>
        </is>
      </c>
    </row>
    <row r="4" ht="14.25" customHeight="1" s="97">
      <c r="A4" s="96" t="inlineStr">
        <is>
          <t>Tier Requirement:</t>
        </is>
      </c>
      <c r="B4" s="96" t="inlineStr">
        <is>
          <t>Small sensitivity tests executed (weights + scenario probabilities).</t>
        </is>
      </c>
    </row>
    <row r="5" ht="14.25" customHeight="1" s="97">
      <c r="A5" s="106" t="inlineStr">
        <is>
          <t>Audit Flag:</t>
        </is>
      </c>
      <c r="B5" s="96">
        <f>"SENSITIVITY_NOT_RUN = "&amp;IF(B3="NOT PERFORMED","YES","NO")&amp;" (REVIEW severity)"</f>
        <v/>
      </c>
    </row>
    <row r="6" ht="13.5" customHeight="1" s="97"/>
    <row r="7" ht="14.25" customHeight="1" s="97">
      <c r="A7" s="109" t="inlineStr">
        <is>
          <t>PERTURBATION TESTS</t>
        </is>
      </c>
    </row>
    <row r="8" ht="14.25" customHeight="1" s="97">
      <c r="A8" s="109" t="inlineStr">
        <is>
          <t>Test</t>
        </is>
      </c>
      <c r="B8" s="109" t="inlineStr">
        <is>
          <t>Change</t>
        </is>
      </c>
      <c r="C8" s="109" t="inlineStr">
        <is>
          <t>Metric</t>
        </is>
      </c>
      <c r="D8" s="109" t="inlineStr">
        <is>
          <t>Result</t>
        </is>
      </c>
      <c r="E8" s="109" t="inlineStr">
        <is>
          <t>Selection stable?</t>
        </is>
      </c>
      <c r="F8" s="109" t="inlineStr">
        <is>
          <t>Notes</t>
        </is>
      </c>
    </row>
    <row r="9" ht="14.25" customHeight="1" s="97">
      <c r="A9" s="96" t="inlineStr">
        <is>
          <t>SENS-01</t>
        </is>
      </c>
      <c r="B9" s="96" t="inlineStr">
        <is>
          <t>Weights: D1 +10% (renorm)</t>
        </is>
      </c>
      <c r="C9" s="96" t="inlineStr">
        <is>
          <t>Preferred option</t>
        </is>
      </c>
      <c r="D9" s="96">
        <f>D34</f>
        <v/>
      </c>
      <c r="E9" s="96">
        <f>IF(D9=$D$14,"YES","NO")</f>
        <v/>
      </c>
      <c r="F9" s="96" t="inlineStr">
        <is>
          <t>RLS recomputed from I_prop with perturbed dimension weights</t>
        </is>
      </c>
    </row>
    <row r="10" ht="14.25" customHeight="1" s="97">
      <c r="A10" s="96" t="inlineStr">
        <is>
          <t>SENS-02</t>
        </is>
      </c>
      <c r="B10" s="96" t="inlineStr">
        <is>
          <t>Weights: D7 +10% (renorm)</t>
        </is>
      </c>
      <c r="C10" s="96" t="inlineStr">
        <is>
          <t>Preferred option</t>
        </is>
      </c>
      <c r="D10" s="96">
        <f>D35</f>
        <v/>
      </c>
      <c r="E10" s="96">
        <f>IF(D10=$D$14,"YES","NO")</f>
        <v/>
      </c>
      <c r="F10" s="96" t="inlineStr">
        <is>
          <t>RLS recomputed from I_prop with perturbed dimension weights</t>
        </is>
      </c>
    </row>
    <row r="11" ht="14.25" customHeight="1" s="97">
      <c r="A11" s="96" t="inlineStr">
        <is>
          <t>SENS-03</t>
        </is>
      </c>
      <c r="B11" s="96" t="inlineStr">
        <is>
          <t>Weights: D3&amp;D5 +10% (renorm)</t>
        </is>
      </c>
      <c r="C11" s="96" t="inlineStr">
        <is>
          <t>Preferred option</t>
        </is>
      </c>
      <c r="D11" s="96">
        <f>D36</f>
        <v/>
      </c>
      <c r="E11" s="96">
        <f>IF(D11=$D$14,"YES","NO")</f>
        <v/>
      </c>
      <c r="F11" s="96" t="inlineStr">
        <is>
          <t>RLS recomputed from I_prop with perturbed dimension weights</t>
        </is>
      </c>
    </row>
    <row r="12" ht="14.25" customHeight="1" s="97">
      <c r="A12" s="96" t="inlineStr">
        <is>
          <t>SENS-04</t>
        </is>
      </c>
      <c r="B12" s="96" t="inlineStr">
        <is>
          <t>Scenario p stress: worst-loss scenarios +20% (renorm)</t>
        </is>
      </c>
      <c r="C12" s="96" t="inlineStr">
        <is>
          <t>TRC status (A,B)</t>
        </is>
      </c>
      <c r="D12" s="96">
        <f>N122&amp;", "&amp;N123</f>
        <v/>
      </c>
      <c r="E12" s="96">
        <f>IF(AND(N122="PASS",N123="PASS"),"YES","NO")</f>
        <v/>
      </c>
      <c r="F12" s="96" t="inlineStr">
        <is>
          <t>CVaR recomputed with stressed probabilities; compare to τ_TRC</t>
        </is>
      </c>
    </row>
    <row r="13" ht="14.25" customHeight="1" s="97">
      <c r="A13" s="109" t="inlineStr">
        <is>
          <t>Baseline</t>
        </is>
      </c>
      <c r="B13" s="109" t="inlineStr">
        <is>
          <t>RLS_A</t>
        </is>
      </c>
      <c r="C13" s="109" t="inlineStr">
        <is>
          <t>RLS_B</t>
        </is>
      </c>
      <c r="D13" s="109" t="inlineStr">
        <is>
          <t>Preferred</t>
        </is>
      </c>
      <c r="E13" s="109" t="inlineStr">
        <is>
          <t>Gap</t>
        </is>
      </c>
    </row>
    <row r="14" ht="14.25" customHeight="1" s="97">
      <c r="A14" s="96" t="inlineStr">
        <is>
          <t>Sensitivity analysis optional. Selection stability assumed based on margin:</t>
        </is>
      </c>
      <c r="B14" s="107">
        <f>RLS!B61</f>
        <v/>
      </c>
      <c r="C14" s="107">
        <f>RLS!B62</f>
        <v/>
      </c>
      <c r="D14" s="96">
        <f>IF(B14&gt;=C14,"A","B")</f>
        <v/>
      </c>
      <c r="E14" s="96">
        <f>B14-C14</f>
        <v/>
      </c>
    </row>
    <row r="15" ht="14.25" customHeight="1" s="97">
      <c r="A15" s="106" t="inlineStr">
        <is>
          <t>CVaR_A (0.0219) and CVaR_B (0.0315) are both &lt;&lt; τ_TRC (0.20)</t>
        </is>
      </c>
    </row>
    <row r="16" ht="14.25" customHeight="1" s="97">
      <c r="A16" s="96" t="inlineStr">
        <is>
          <t>Overall sensitivity verdict</t>
        </is>
      </c>
      <c r="B16" s="96">
        <f>IF(AND($D$34=$D$14,$D$35=$D$14,$D$36=$D$14,$N$122="PASS",$N$123="PASS"),"STABLE","CHANGES DETECTED")</f>
        <v/>
      </c>
    </row>
    <row r="17" ht="13.5" customHeight="1" s="97"/>
    <row r="18" ht="14.25" customHeight="1" s="97">
      <c r="A18" s="111" t="n"/>
    </row>
    <row r="19" ht="13.5" customHeight="1" s="97"/>
    <row r="20" ht="14.25" customHeight="1" s="97">
      <c r="A20" s="106" t="n"/>
      <c r="K20" s="96" t="inlineStr">
        <is>
          <t>D1</t>
        </is>
      </c>
      <c r="L20" s="96" t="inlineStr">
        <is>
          <t>D2</t>
        </is>
      </c>
      <c r="M20" s="96" t="inlineStr">
        <is>
          <t>D3</t>
        </is>
      </c>
      <c r="N20" s="96" t="inlineStr">
        <is>
          <t>D4</t>
        </is>
      </c>
      <c r="O20" s="96" t="inlineStr">
        <is>
          <t>D5</t>
        </is>
      </c>
      <c r="P20" s="96" t="inlineStr">
        <is>
          <t>D6</t>
        </is>
      </c>
      <c r="Q20" s="96" t="inlineStr">
        <is>
          <t>D7</t>
        </is>
      </c>
    </row>
    <row r="21" ht="14.25" customHeight="1" s="97">
      <c r="J21" s="96" t="inlineStr">
        <is>
          <t>Base v_d</t>
        </is>
      </c>
      <c r="K21" s="126">
        <f>Parameters!$B$48</f>
        <v/>
      </c>
      <c r="L21" s="126">
        <f>Parameters!$B$49</f>
        <v/>
      </c>
      <c r="M21" s="126">
        <f>Parameters!$B$50</f>
        <v/>
      </c>
      <c r="N21" s="126">
        <f>Parameters!$B$51</f>
        <v/>
      </c>
      <c r="O21" s="126">
        <f>Parameters!$B$52</f>
        <v/>
      </c>
      <c r="P21" s="126">
        <f>Parameters!$B$53</f>
        <v/>
      </c>
      <c r="Q21" s="126">
        <f>Parameters!$B$54</f>
        <v/>
      </c>
    </row>
    <row r="22" ht="14.25" customHeight="1" s="97">
      <c r="J22" s="96" t="inlineStr">
        <is>
          <t>Factors (SENS-01)</t>
        </is>
      </c>
      <c r="K22" s="96" t="n">
        <v>1.1</v>
      </c>
      <c r="L22" s="96" t="n">
        <v>1</v>
      </c>
      <c r="M22" s="96" t="n">
        <v>1</v>
      </c>
      <c r="N22" s="96" t="n">
        <v>1</v>
      </c>
      <c r="O22" s="96" t="n">
        <v>1</v>
      </c>
      <c r="P22" s="96" t="n">
        <v>1</v>
      </c>
      <c r="Q22" s="96" t="n">
        <v>1</v>
      </c>
    </row>
    <row r="23" ht="14.25" customHeight="1" s="97">
      <c r="J23" s="96" t="inlineStr">
        <is>
          <t>v_d* (SENS-01)</t>
        </is>
      </c>
      <c r="K23" s="96">
        <f>K$21*K$22/SUMPRODUCT($K$21:$Q$21,$K$22:$Q$22)</f>
        <v/>
      </c>
      <c r="L23" s="96">
        <f>L$21*L$22/SUMPRODUCT($K$21:$Q$21,$K$22:$Q$22)</f>
        <v/>
      </c>
      <c r="M23" s="96">
        <f>M$21*M$22/SUMPRODUCT($K$21:$Q$21,$K$22:$Q$22)</f>
        <v/>
      </c>
      <c r="N23" s="96">
        <f>N$21*N$22/SUMPRODUCT($K$21:$Q$21,$K$22:$Q$22)</f>
        <v/>
      </c>
      <c r="O23" s="96">
        <f>O$21*O$22/SUMPRODUCT($K$21:$Q$21,$K$22:$Q$22)</f>
        <v/>
      </c>
      <c r="P23" s="96">
        <f>P$21*P$22/SUMPRODUCT($K$21:$Q$21,$K$22:$Q$22)</f>
        <v/>
      </c>
      <c r="Q23" s="96">
        <f>Q$21*Q$22/SUMPRODUCT($K$21:$Q$21,$K$22:$Q$22)</f>
        <v/>
      </c>
    </row>
    <row r="24" ht="14.25" customHeight="1" s="97">
      <c r="J24" s="96" t="inlineStr">
        <is>
          <t>Factors (SENS-02)</t>
        </is>
      </c>
      <c r="K24" s="96" t="n">
        <v>1</v>
      </c>
      <c r="L24" s="96" t="n">
        <v>1</v>
      </c>
      <c r="M24" s="96" t="n">
        <v>1</v>
      </c>
      <c r="N24" s="96" t="n">
        <v>1</v>
      </c>
      <c r="O24" s="96" t="n">
        <v>1</v>
      </c>
      <c r="P24" s="96" t="n">
        <v>1</v>
      </c>
      <c r="Q24" s="96" t="n">
        <v>1.1</v>
      </c>
    </row>
    <row r="25" ht="14.25" customHeight="1" s="97">
      <c r="A25" s="96" t="inlineStr">
        <is>
          <t>Selection stability: computed in this exemplar via the SENS-01..SENS-04 perturbations below (see Summary).</t>
        </is>
      </c>
      <c r="J25" s="96" t="inlineStr">
        <is>
          <t>v_d* (SENS-02)</t>
        </is>
      </c>
      <c r="K25" s="96">
        <f>K$21*K$24/SUMPRODUCT($K$21:$Q$21,$K$24:$Q$24)</f>
        <v/>
      </c>
      <c r="L25" s="96">
        <f>L$21*L$24/SUMPRODUCT($K$21:$Q$21,$K$24:$Q$24)</f>
        <v/>
      </c>
      <c r="M25" s="96">
        <f>M$21*M$24/SUMPRODUCT($K$21:$Q$21,$K$24:$Q$24)</f>
        <v/>
      </c>
      <c r="N25" s="96">
        <f>N$21*N$24/SUMPRODUCT($K$21:$Q$21,$K$24:$Q$24)</f>
        <v/>
      </c>
      <c r="O25" s="96">
        <f>O$21*O$24/SUMPRODUCT($K$21:$Q$21,$K$24:$Q$24)</f>
        <v/>
      </c>
      <c r="P25" s="96">
        <f>P$21*P$24/SUMPRODUCT($K$21:$Q$21,$K$24:$Q$24)</f>
        <v/>
      </c>
      <c r="Q25" s="96">
        <f>Q$21*Q$24/SUMPRODUCT($K$21:$Q$21,$K$24:$Q$24)</f>
        <v/>
      </c>
    </row>
    <row r="26" ht="13.5" customHeight="1" s="97">
      <c r="J26" s="96" t="inlineStr">
        <is>
          <t>Factors (SENS-03)</t>
        </is>
      </c>
      <c r="K26" s="96" t="n">
        <v>1</v>
      </c>
      <c r="L26" s="96" t="n">
        <v>1</v>
      </c>
      <c r="M26" s="96" t="n">
        <v>1.1</v>
      </c>
      <c r="N26" s="96" t="n">
        <v>1</v>
      </c>
      <c r="O26" s="96" t="n">
        <v>1.1</v>
      </c>
      <c r="P26" s="96" t="n">
        <v>1</v>
      </c>
      <c r="Q26" s="96" t="n">
        <v>1</v>
      </c>
    </row>
    <row r="27" ht="14.25" customHeight="1" s="97">
      <c r="A27" s="106" t="inlineStr">
        <is>
          <t>4. IMPACT MAGNITUDE PERTURBATION (±20%)</t>
        </is>
      </c>
      <c r="J27" s="96" t="inlineStr">
        <is>
          <t>v_d* (SENS-03)</t>
        </is>
      </c>
      <c r="K27" s="96">
        <f>K$21*K$26/SUMPRODUCT($K$21:$Q$21,$K$26:$Q$26)</f>
        <v/>
      </c>
      <c r="L27" s="96">
        <f>L$21*L$26/SUMPRODUCT($K$21:$Q$21,$K$26:$Q$26)</f>
        <v/>
      </c>
      <c r="M27" s="96">
        <f>M$21*M$26/SUMPRODUCT($K$21:$Q$21,$K$26:$Q$26)</f>
        <v/>
      </c>
      <c r="N27" s="96">
        <f>N$21*N$26/SUMPRODUCT($K$21:$Q$21,$K$26:$Q$26)</f>
        <v/>
      </c>
      <c r="O27" s="96">
        <f>O$21*O$26/SUMPRODUCT($K$21:$Q$21,$K$26:$Q$26)</f>
        <v/>
      </c>
      <c r="P27" s="96">
        <f>P$21*P$26/SUMPRODUCT($K$21:$Q$21,$K$26:$Q$26)</f>
        <v/>
      </c>
      <c r="Q27" s="96">
        <f>Q$21*Q$26/SUMPRODUCT($K$21:$Q$21,$K$26:$Q$26)</f>
        <v/>
      </c>
    </row>
    <row r="28" ht="14.25" customHeight="1" s="97">
      <c r="A28" s="96" t="inlineStr">
        <is>
          <t>Key instances: I03 (flexibility), I01 (isolation)</t>
        </is>
      </c>
    </row>
    <row r="29" ht="14.25" customHeight="1" s="97">
      <c r="A29" s="96" t="inlineStr">
        <is>
          <t>Additional tests: Not performed for this run</t>
        </is>
      </c>
      <c r="J29" s="96" t="inlineStr">
        <is>
          <t>Union w_u</t>
        </is>
      </c>
    </row>
    <row r="30" ht="14.25" customHeight="1" s="97">
      <c r="I30" s="96" t="inlineStr">
        <is>
          <t>U1</t>
        </is>
      </c>
      <c r="J30" s="126">
        <f>Parameters!$B$38</f>
        <v/>
      </c>
      <c r="K30" s="96">
        <f>$J30*K$23</f>
        <v/>
      </c>
      <c r="L30" s="96">
        <f>$J30*L$23</f>
        <v/>
      </c>
      <c r="M30" s="96">
        <f>$J30*M$23</f>
        <v/>
      </c>
      <c r="N30" s="96">
        <f>$J30*N$23</f>
        <v/>
      </c>
      <c r="O30" s="96">
        <f>$J30*O$23</f>
        <v/>
      </c>
      <c r="P30" s="96">
        <f>$J30*P$23</f>
        <v/>
      </c>
      <c r="Q30" s="96">
        <f>$J30*Q$23</f>
        <v/>
      </c>
    </row>
    <row r="31" ht="13.5" customHeight="1" s="97">
      <c r="I31" s="96" t="inlineStr">
        <is>
          <t>U2</t>
        </is>
      </c>
      <c r="J31" s="126">
        <f>Parameters!$B$39</f>
        <v/>
      </c>
      <c r="K31" s="96">
        <f>$J31*K$23</f>
        <v/>
      </c>
      <c r="L31" s="96">
        <f>$J31*L$23</f>
        <v/>
      </c>
      <c r="M31" s="96">
        <f>$J31*M$23</f>
        <v/>
      </c>
      <c r="N31" s="96">
        <f>$J31*N$23</f>
        <v/>
      </c>
      <c r="O31" s="96">
        <f>$J31*O$23</f>
        <v/>
      </c>
      <c r="P31" s="96">
        <f>$J31*P$23</f>
        <v/>
      </c>
      <c r="Q31" s="96">
        <f>$J31*Q$23</f>
        <v/>
      </c>
    </row>
    <row r="32" ht="14.25" customHeight="1" s="97">
      <c r="A32" s="106" t="inlineStr">
        <is>
          <t>5. ROBUSTNESS CLASSIFICATION</t>
        </is>
      </c>
      <c r="I32" s="96" t="inlineStr">
        <is>
          <t>U3</t>
        </is>
      </c>
      <c r="J32" s="126">
        <f>Parameters!$B$40</f>
        <v/>
      </c>
      <c r="K32" s="96">
        <f>$J32*K$23</f>
        <v/>
      </c>
      <c r="L32" s="96">
        <f>$J32*L$23</f>
        <v/>
      </c>
      <c r="M32" s="96">
        <f>$J32*M$23</f>
        <v/>
      </c>
      <c r="N32" s="96">
        <f>$J32*N$23</f>
        <v/>
      </c>
      <c r="O32" s="96">
        <f>$J32*O$23</f>
        <v/>
      </c>
      <c r="P32" s="96">
        <f>$J32*P$23</f>
        <v/>
      </c>
      <c r="Q32" s="96">
        <f>$J32*Q$23</f>
        <v/>
      </c>
    </row>
    <row r="33" ht="14.25" customHeight="1" s="97">
      <c r="A33" s="109" t="inlineStr">
        <is>
          <t>Weight sensitivity results</t>
        </is>
      </c>
      <c r="B33" s="109" t="n"/>
      <c r="C33" s="109" t="n"/>
      <c r="D33" s="109" t="n"/>
      <c r="E33" s="109" t="n"/>
      <c r="I33" s="96" t="inlineStr">
        <is>
          <t>U4</t>
        </is>
      </c>
      <c r="J33" s="126">
        <f>Parameters!$B$41</f>
        <v/>
      </c>
      <c r="K33" s="96">
        <f>$J33*K$23</f>
        <v/>
      </c>
      <c r="L33" s="96">
        <f>$J33*L$23</f>
        <v/>
      </c>
      <c r="M33" s="96">
        <f>$J33*M$23</f>
        <v/>
      </c>
      <c r="N33" s="96">
        <f>$J33*N$23</f>
        <v/>
      </c>
      <c r="O33" s="96">
        <f>$J33*O$23</f>
        <v/>
      </c>
      <c r="P33" s="96">
        <f>$J33*P$23</f>
        <v/>
      </c>
      <c r="Q33" s="96">
        <f>$J33*Q$23</f>
        <v/>
      </c>
    </row>
    <row r="34" ht="14.25" customHeight="1" s="97">
      <c r="A34" s="96" t="inlineStr">
        <is>
          <t>SENS-01 Preferred</t>
        </is>
      </c>
      <c r="B34" s="96">
        <f>SUMPRODUCT(I_prop!$B$7:$H$13,$K$30:$Q$36)</f>
        <v/>
      </c>
      <c r="C34" s="96">
        <f>SUMPRODUCT(I_prop!$B$18:$H$24,$K$30:$Q$36)</f>
        <v/>
      </c>
      <c r="D34" s="96">
        <f>IF(B34&gt;=C34,"A","B")</f>
        <v/>
      </c>
      <c r="E34" s="96">
        <f>B34-C34</f>
        <v/>
      </c>
      <c r="I34" s="96" t="inlineStr">
        <is>
          <t>U5</t>
        </is>
      </c>
      <c r="J34" s="126">
        <f>Parameters!$B$42</f>
        <v/>
      </c>
      <c r="K34" s="96">
        <f>$J34*K$23</f>
        <v/>
      </c>
      <c r="L34" s="96">
        <f>$J34*L$23</f>
        <v/>
      </c>
      <c r="M34" s="96">
        <f>$J34*M$23</f>
        <v/>
      </c>
      <c r="N34" s="96">
        <f>$J34*N$23</f>
        <v/>
      </c>
      <c r="O34" s="96">
        <f>$J34*O$23</f>
        <v/>
      </c>
      <c r="P34" s="96">
        <f>$J34*P$23</f>
        <v/>
      </c>
      <c r="Q34" s="96">
        <f>$J34*Q$23</f>
        <v/>
      </c>
    </row>
    <row r="35" ht="14.25" customHeight="1" s="97">
      <c r="A35" s="96" t="inlineStr">
        <is>
          <t>SENS-02 Preferred</t>
        </is>
      </c>
      <c r="B35" s="96">
        <f>SUMPRODUCT(I_prop!$B$7:$H$13,$K$40:$Q$46)</f>
        <v/>
      </c>
      <c r="C35" s="96">
        <f>SUMPRODUCT(I_prop!$B$18:$H$24,$K$40:$Q$46)</f>
        <v/>
      </c>
      <c r="D35" s="96">
        <f>IF(B35&gt;=C35,"A","B")</f>
        <v/>
      </c>
      <c r="E35" s="96">
        <f>B35-C35</f>
        <v/>
      </c>
      <c r="I35" s="96" t="inlineStr">
        <is>
          <t>U6</t>
        </is>
      </c>
      <c r="J35" s="126">
        <f>Parameters!$B$43</f>
        <v/>
      </c>
      <c r="K35" s="96">
        <f>$J35*K$23</f>
        <v/>
      </c>
      <c r="L35" s="96">
        <f>$J35*L$23</f>
        <v/>
      </c>
      <c r="M35" s="96">
        <f>$J35*M$23</f>
        <v/>
      </c>
      <c r="N35" s="96">
        <f>$J35*N$23</f>
        <v/>
      </c>
      <c r="O35" s="96">
        <f>$J35*O$23</f>
        <v/>
      </c>
      <c r="P35" s="96">
        <f>$J35*P$23</f>
        <v/>
      </c>
      <c r="Q35" s="96">
        <f>$J35*Q$23</f>
        <v/>
      </c>
    </row>
    <row r="36" ht="13.5" customHeight="1" s="97">
      <c r="A36" s="96" t="inlineStr">
        <is>
          <t>SENS-03 Preferred</t>
        </is>
      </c>
      <c r="B36" s="96">
        <f>SUMPRODUCT(I_prop!$B$7:$H$13,$K$50:$Q$56)</f>
        <v/>
      </c>
      <c r="C36" s="96">
        <f>SUMPRODUCT(I_prop!$B$18:$H$24,$K$50:$Q$56)</f>
        <v/>
      </c>
      <c r="D36" s="96">
        <f>IF(B36&gt;=C36,"A","B")</f>
        <v/>
      </c>
      <c r="E36" s="96">
        <f>B36-C36</f>
        <v/>
      </c>
      <c r="I36" s="96" t="inlineStr">
        <is>
          <t>U7</t>
        </is>
      </c>
      <c r="J36" s="126">
        <f>Parameters!$B$44</f>
        <v/>
      </c>
      <c r="K36" s="96">
        <f>$J36*K$23</f>
        <v/>
      </c>
      <c r="L36" s="96">
        <f>$J36*L$23</f>
        <v/>
      </c>
      <c r="M36" s="96">
        <f>$J36*M$23</f>
        <v/>
      </c>
      <c r="N36" s="96">
        <f>$J36*N$23</f>
        <v/>
      </c>
      <c r="O36" s="96">
        <f>$J36*O$23</f>
        <v/>
      </c>
      <c r="P36" s="96">
        <f>$J36*P$23</f>
        <v/>
      </c>
      <c r="Q36" s="96">
        <f>$J36*Q$23</f>
        <v/>
      </c>
    </row>
    <row r="37" ht="14.25" customHeight="1" s="97">
      <c r="A37" s="149" t="inlineStr">
        <is>
          <t>Status note: PERFORMED for this Tier‑2 exemplar (weight sensitivity + CVaR stress checks). Tier‑3 deployments may expand the test set and increase rigor.</t>
        </is>
      </c>
    </row>
    <row r="38" ht="13.5" customHeight="1" s="97"/>
    <row r="39" ht="13.5" customHeight="1" s="97"/>
    <row r="40" ht="13.5" customHeight="1" s="97">
      <c r="I40" s="96" t="inlineStr">
        <is>
          <t>U1</t>
        </is>
      </c>
      <c r="J40" s="126">
        <f>Parameters!$B$38</f>
        <v/>
      </c>
      <c r="K40" s="96">
        <f>$J40*K$25</f>
        <v/>
      </c>
      <c r="L40" s="96">
        <f>$J40*L$25</f>
        <v/>
      </c>
      <c r="M40" s="96">
        <f>$J40*M$25</f>
        <v/>
      </c>
      <c r="N40" s="96">
        <f>$J40*N$25</f>
        <v/>
      </c>
      <c r="O40" s="96">
        <f>$J40*O$25</f>
        <v/>
      </c>
      <c r="P40" s="96">
        <f>$J40*P$25</f>
        <v/>
      </c>
      <c r="Q40" s="96">
        <f>$J40*Q$25</f>
        <v/>
      </c>
    </row>
    <row r="41" ht="13.5" customHeight="1" s="97">
      <c r="I41" s="96" t="inlineStr">
        <is>
          <t>U2</t>
        </is>
      </c>
      <c r="J41" s="126">
        <f>Parameters!$B$39</f>
        <v/>
      </c>
      <c r="K41" s="96">
        <f>$J41*K$25</f>
        <v/>
      </c>
      <c r="L41" s="96">
        <f>$J41*L$25</f>
        <v/>
      </c>
      <c r="M41" s="96">
        <f>$J41*M$25</f>
        <v/>
      </c>
      <c r="N41" s="96">
        <f>$J41*N$25</f>
        <v/>
      </c>
      <c r="O41" s="96">
        <f>$J41*O$25</f>
        <v/>
      </c>
      <c r="P41" s="96">
        <f>$J41*P$25</f>
        <v/>
      </c>
      <c r="Q41" s="96">
        <f>$J41*Q$25</f>
        <v/>
      </c>
    </row>
    <row r="42" ht="13.5" customHeight="1" s="97">
      <c r="I42" s="96" t="inlineStr">
        <is>
          <t>U3</t>
        </is>
      </c>
      <c r="J42" s="126">
        <f>Parameters!$B$40</f>
        <v/>
      </c>
      <c r="K42" s="96">
        <f>$J42*K$25</f>
        <v/>
      </c>
      <c r="L42" s="96">
        <f>$J42*L$25</f>
        <v/>
      </c>
      <c r="M42" s="96">
        <f>$J42*M$25</f>
        <v/>
      </c>
      <c r="N42" s="96">
        <f>$J42*N$25</f>
        <v/>
      </c>
      <c r="O42" s="96">
        <f>$J42*O$25</f>
        <v/>
      </c>
      <c r="P42" s="96">
        <f>$J42*P$25</f>
        <v/>
      </c>
      <c r="Q42" s="96">
        <f>$J42*Q$25</f>
        <v/>
      </c>
    </row>
    <row r="43" ht="13.5" customHeight="1" s="97">
      <c r="I43" s="96" t="inlineStr">
        <is>
          <t>U4</t>
        </is>
      </c>
      <c r="J43" s="126">
        <f>Parameters!$B$41</f>
        <v/>
      </c>
      <c r="K43" s="96">
        <f>$J43*K$25</f>
        <v/>
      </c>
      <c r="L43" s="96">
        <f>$J43*L$25</f>
        <v/>
      </c>
      <c r="M43" s="96">
        <f>$J43*M$25</f>
        <v/>
      </c>
      <c r="N43" s="96">
        <f>$J43*N$25</f>
        <v/>
      </c>
      <c r="O43" s="96">
        <f>$J43*O$25</f>
        <v/>
      </c>
      <c r="P43" s="96">
        <f>$J43*P$25</f>
        <v/>
      </c>
      <c r="Q43" s="96">
        <f>$J43*Q$25</f>
        <v/>
      </c>
    </row>
    <row r="44" ht="13.5" customHeight="1" s="97">
      <c r="I44" s="96" t="inlineStr">
        <is>
          <t>U5</t>
        </is>
      </c>
      <c r="J44" s="126">
        <f>Parameters!$B$42</f>
        <v/>
      </c>
      <c r="K44" s="96">
        <f>$J44*K$25</f>
        <v/>
      </c>
      <c r="L44" s="96">
        <f>$J44*L$25</f>
        <v/>
      </c>
      <c r="M44" s="96">
        <f>$J44*M$25</f>
        <v/>
      </c>
      <c r="N44" s="96">
        <f>$J44*N$25</f>
        <v/>
      </c>
      <c r="O44" s="96">
        <f>$J44*O$25</f>
        <v/>
      </c>
      <c r="P44" s="96">
        <f>$J44*P$25</f>
        <v/>
      </c>
      <c r="Q44" s="96">
        <f>$J44*Q$25</f>
        <v/>
      </c>
    </row>
    <row r="45" ht="13.5" customHeight="1" s="97">
      <c r="I45" s="96" t="inlineStr">
        <is>
          <t>U6</t>
        </is>
      </c>
      <c r="J45" s="126">
        <f>Parameters!$B$43</f>
        <v/>
      </c>
      <c r="K45" s="96">
        <f>$J45*K$25</f>
        <v/>
      </c>
      <c r="L45" s="96">
        <f>$J45*L$25</f>
        <v/>
      </c>
      <c r="M45" s="96">
        <f>$J45*M$25</f>
        <v/>
      </c>
      <c r="N45" s="96">
        <f>$J45*N$25</f>
        <v/>
      </c>
      <c r="O45" s="96">
        <f>$J45*O$25</f>
        <v/>
      </c>
      <c r="P45" s="96">
        <f>$J45*P$25</f>
        <v/>
      </c>
      <c r="Q45" s="96">
        <f>$J45*Q$25</f>
        <v/>
      </c>
    </row>
    <row r="46" ht="13.5" customHeight="1" s="97">
      <c r="I46" s="96" t="inlineStr">
        <is>
          <t>U7</t>
        </is>
      </c>
      <c r="J46" s="126">
        <f>Parameters!$B$44</f>
        <v/>
      </c>
      <c r="K46" s="96">
        <f>$J46*K$25</f>
        <v/>
      </c>
      <c r="L46" s="96">
        <f>$J46*L$25</f>
        <v/>
      </c>
      <c r="M46" s="96">
        <f>$J46*M$25</f>
        <v/>
      </c>
      <c r="N46" s="96">
        <f>$J46*N$25</f>
        <v/>
      </c>
      <c r="O46" s="96">
        <f>$J46*O$25</f>
        <v/>
      </c>
      <c r="P46" s="96">
        <f>$J46*P$25</f>
        <v/>
      </c>
      <c r="Q46" s="96">
        <f>$J46*Q$25</f>
        <v/>
      </c>
    </row>
    <row r="47" ht="13.5" customHeight="1" s="97"/>
    <row r="48" ht="13.5" customHeight="1" s="97"/>
    <row r="49" ht="13.5" customHeight="1" s="97"/>
    <row r="50" ht="13.5" customHeight="1" s="97">
      <c r="I50" s="96" t="inlineStr">
        <is>
          <t>U1</t>
        </is>
      </c>
      <c r="J50" s="126">
        <f>Parameters!$B$38</f>
        <v/>
      </c>
      <c r="K50" s="96">
        <f>$J50*K$27</f>
        <v/>
      </c>
      <c r="L50" s="96">
        <f>$J50*L$27</f>
        <v/>
      </c>
      <c r="M50" s="96">
        <f>$J50*M$27</f>
        <v/>
      </c>
      <c r="N50" s="96">
        <f>$J50*N$27</f>
        <v/>
      </c>
      <c r="O50" s="96">
        <f>$J50*O$27</f>
        <v/>
      </c>
      <c r="P50" s="96">
        <f>$J50*P$27</f>
        <v/>
      </c>
      <c r="Q50" s="96">
        <f>$J50*Q$27</f>
        <v/>
      </c>
    </row>
    <row r="51" ht="13.5" customHeight="1" s="97">
      <c r="I51" s="96" t="inlineStr">
        <is>
          <t>U2</t>
        </is>
      </c>
      <c r="J51" s="126">
        <f>Parameters!$B$39</f>
        <v/>
      </c>
      <c r="K51" s="96">
        <f>$J51*K$27</f>
        <v/>
      </c>
      <c r="L51" s="96">
        <f>$J51*L$27</f>
        <v/>
      </c>
      <c r="M51" s="96">
        <f>$J51*M$27</f>
        <v/>
      </c>
      <c r="N51" s="96">
        <f>$J51*N$27</f>
        <v/>
      </c>
      <c r="O51" s="96">
        <f>$J51*O$27</f>
        <v/>
      </c>
      <c r="P51" s="96">
        <f>$J51*P$27</f>
        <v/>
      </c>
      <c r="Q51" s="96">
        <f>$J51*Q$27</f>
        <v/>
      </c>
    </row>
    <row r="52" ht="13.5" customHeight="1" s="97">
      <c r="I52" s="96" t="inlineStr">
        <is>
          <t>U3</t>
        </is>
      </c>
      <c r="J52" s="126">
        <f>Parameters!$B$40</f>
        <v/>
      </c>
      <c r="K52" s="96">
        <f>$J52*K$27</f>
        <v/>
      </c>
      <c r="L52" s="96">
        <f>$J52*L$27</f>
        <v/>
      </c>
      <c r="M52" s="96">
        <f>$J52*M$27</f>
        <v/>
      </c>
      <c r="N52" s="96">
        <f>$J52*N$27</f>
        <v/>
      </c>
      <c r="O52" s="96">
        <f>$J52*O$27</f>
        <v/>
      </c>
      <c r="P52" s="96">
        <f>$J52*P$27</f>
        <v/>
      </c>
      <c r="Q52" s="96">
        <f>$J52*Q$27</f>
        <v/>
      </c>
    </row>
    <row r="53" ht="13.5" customHeight="1" s="97">
      <c r="I53" s="96" t="inlineStr">
        <is>
          <t>U4</t>
        </is>
      </c>
      <c r="J53" s="126">
        <f>Parameters!$B$41</f>
        <v/>
      </c>
      <c r="K53" s="96">
        <f>$J53*K$27</f>
        <v/>
      </c>
      <c r="L53" s="96">
        <f>$J53*L$27</f>
        <v/>
      </c>
      <c r="M53" s="96">
        <f>$J53*M$27</f>
        <v/>
      </c>
      <c r="N53" s="96">
        <f>$J53*N$27</f>
        <v/>
      </c>
      <c r="O53" s="96">
        <f>$J53*O$27</f>
        <v/>
      </c>
      <c r="P53" s="96">
        <f>$J53*P$27</f>
        <v/>
      </c>
      <c r="Q53" s="96">
        <f>$J53*Q$27</f>
        <v/>
      </c>
    </row>
    <row r="54" ht="13.5" customHeight="1" s="97">
      <c r="I54" s="96" t="inlineStr">
        <is>
          <t>U5</t>
        </is>
      </c>
      <c r="J54" s="126">
        <f>Parameters!$B$42</f>
        <v/>
      </c>
      <c r="K54" s="96">
        <f>$J54*K$27</f>
        <v/>
      </c>
      <c r="L54" s="96">
        <f>$J54*L$27</f>
        <v/>
      </c>
      <c r="M54" s="96">
        <f>$J54*M$27</f>
        <v/>
      </c>
      <c r="N54" s="96">
        <f>$J54*N$27</f>
        <v/>
      </c>
      <c r="O54" s="96">
        <f>$J54*O$27</f>
        <v/>
      </c>
      <c r="P54" s="96">
        <f>$J54*P$27</f>
        <v/>
      </c>
      <c r="Q54" s="96">
        <f>$J54*Q$27</f>
        <v/>
      </c>
    </row>
    <row r="55" ht="13.5" customHeight="1" s="97">
      <c r="I55" s="96" t="inlineStr">
        <is>
          <t>U6</t>
        </is>
      </c>
      <c r="J55" s="126">
        <f>Parameters!$B$43</f>
        <v/>
      </c>
      <c r="K55" s="96">
        <f>$J55*K$27</f>
        <v/>
      </c>
      <c r="L55" s="96">
        <f>$J55*L$27</f>
        <v/>
      </c>
      <c r="M55" s="96">
        <f>$J55*M$27</f>
        <v/>
      </c>
      <c r="N55" s="96">
        <f>$J55*N$27</f>
        <v/>
      </c>
      <c r="O55" s="96">
        <f>$J55*O$27</f>
        <v/>
      </c>
      <c r="P55" s="96">
        <f>$J55*P$27</f>
        <v/>
      </c>
      <c r="Q55" s="96">
        <f>$J55*Q$27</f>
        <v/>
      </c>
    </row>
    <row r="56" ht="13.5" customHeight="1" s="97">
      <c r="I56" s="96" t="inlineStr">
        <is>
          <t>U7</t>
        </is>
      </c>
      <c r="J56" s="126">
        <f>Parameters!$B$44</f>
        <v/>
      </c>
      <c r="K56" s="96">
        <f>$J56*K$27</f>
        <v/>
      </c>
      <c r="L56" s="96">
        <f>$J56*L$27</f>
        <v/>
      </c>
      <c r="M56" s="96">
        <f>$J56*M$27</f>
        <v/>
      </c>
      <c r="N56" s="96">
        <f>$J56*N$27</f>
        <v/>
      </c>
      <c r="O56" s="96">
        <f>$J56*O$27</f>
        <v/>
      </c>
      <c r="P56" s="96">
        <f>$J56*P$27</f>
        <v/>
      </c>
      <c r="Q56" s="96">
        <f>$J56*Q$27</f>
        <v/>
      </c>
    </row>
    <row r="57" ht="13.5" customHeight="1" s="97"/>
    <row r="58" ht="13.5" customHeight="1" s="97"/>
    <row r="59" ht="13.5" customHeight="1" s="97"/>
    <row r="60" ht="13.5" customHeight="1" s="97"/>
    <row r="61" ht="13.5" customHeight="1" s="97"/>
    <row r="62" ht="13.5" customHeight="1" s="97"/>
    <row r="63" ht="13.5" customHeight="1" s="97"/>
    <row r="64" ht="13.5" customHeight="1" s="97"/>
    <row r="65" ht="13.5" customHeight="1" s="97"/>
    <row r="66" ht="13.5" customHeight="1" s="97"/>
    <row r="67" ht="13.5" customHeight="1" s="97"/>
    <row r="68" ht="13.5" customHeight="1" s="97"/>
    <row r="69" ht="13.5" customHeight="1" s="97"/>
    <row r="70" ht="13.5" customHeight="1" s="97"/>
    <row r="71" ht="13.5" customHeight="1" s="97"/>
    <row r="72" ht="13.5" customHeight="1" s="97"/>
    <row r="73" ht="13.5" customHeight="1" s="97"/>
    <row r="74" ht="13.5" customHeight="1" s="97"/>
    <row r="75" ht="13.5" customHeight="1" s="97"/>
    <row r="76" ht="13.5" customHeight="1" s="97"/>
    <row r="77" ht="13.5" customHeight="1" s="97"/>
    <row r="78" ht="13.5" customHeight="1" s="97"/>
    <row r="79" ht="13.5" customHeight="1" s="97"/>
    <row r="80" ht="13.5" customHeight="1" s="97"/>
    <row r="81" ht="13.5" customHeight="1" s="97"/>
    <row r="82" ht="13.5" customHeight="1" s="97"/>
    <row r="83" ht="13.5" customHeight="1" s="97"/>
    <row r="84" ht="13.5" customHeight="1" s="97"/>
    <row r="85" ht="13.5" customHeight="1" s="97"/>
    <row r="86" ht="13.5" customHeight="1" s="97"/>
    <row r="87" ht="13.5" customHeight="1" s="97"/>
    <row r="88" ht="13.5" customHeight="1" s="97"/>
    <row r="89" ht="13.5" customHeight="1" s="97"/>
    <row r="90" ht="13.5" customHeight="1" s="97"/>
    <row r="91" ht="13.5" customHeight="1" s="97"/>
    <row r="92" ht="13.5" customHeight="1" s="97"/>
    <row r="93" ht="13.5" customHeight="1" s="97"/>
    <row r="94" ht="13.5" customHeight="1" s="97"/>
    <row r="95" ht="13.5" customHeight="1" s="97"/>
    <row r="96" ht="13.5" customHeight="1" s="97"/>
    <row r="97" ht="13.5" customHeight="1" s="97"/>
    <row r="98" ht="13.5" customHeight="1" s="97"/>
    <row r="99" ht="13.5" customHeight="1" s="97"/>
    <row r="100" ht="13.5" customHeight="1" s="97">
      <c r="J100" s="96" t="inlineStr">
        <is>
          <t>Scenario</t>
        </is>
      </c>
      <c r="K100" s="96" t="inlineStr">
        <is>
          <t>p_base</t>
        </is>
      </c>
      <c r="L100" s="96" t="inlineStr">
        <is>
          <t>Factor_up</t>
        </is>
      </c>
      <c r="M100" s="96" t="inlineStr">
        <is>
          <t>p_stress_up</t>
        </is>
      </c>
      <c r="N100" s="96" t="inlineStr">
        <is>
          <t>Factor_down</t>
        </is>
      </c>
      <c r="O100" s="96" t="inlineStr">
        <is>
          <t>p_stress_down</t>
        </is>
      </c>
    </row>
    <row r="101" ht="13.5" customHeight="1" s="97">
      <c r="J101" s="96">
        <f>TRC!B15</f>
        <v/>
      </c>
      <c r="K101" s="96">
        <f>TRC!D15</f>
        <v/>
      </c>
      <c r="L101" s="96">
        <f>IF(OR(J101="S06",J101="S04",J101="S03"),1.2,1)</f>
        <v/>
      </c>
      <c r="M101" s="96">
        <f>K101*L101/SUMPRODUCT($K$101:$K$107,$L$101:$L$107)</f>
        <v/>
      </c>
      <c r="N101" s="96">
        <f>IF(OR(J101="S06",J101="S04",J101="S03"),0.8,1)</f>
        <v/>
      </c>
      <c r="O101" s="96">
        <f>K101*N101/SUMPRODUCT($K$101:$K$107,$N$101:$N$107)</f>
        <v/>
      </c>
    </row>
    <row r="102" ht="13.5" customHeight="1" s="97">
      <c r="J102" s="96">
        <f>TRC!B16</f>
        <v/>
      </c>
      <c r="K102" s="96">
        <f>TRC!D16</f>
        <v/>
      </c>
      <c r="L102" s="96">
        <f>IF(OR(J102="S06",J102="S04",J102="S03"),1.2,1)</f>
        <v/>
      </c>
      <c r="M102" s="96">
        <f>K102*L102/SUMPRODUCT($K$101:$K$107,$L$101:$L$107)</f>
        <v/>
      </c>
      <c r="N102" s="96">
        <f>IF(OR(J102="S06",J102="S04",J102="S03"),0.8,1)</f>
        <v/>
      </c>
      <c r="O102" s="96">
        <f>K102*N102/SUMPRODUCT($K$101:$K$107,$N$101:$N$107)</f>
        <v/>
      </c>
    </row>
    <row r="103" ht="13.5" customHeight="1" s="97">
      <c r="J103" s="96">
        <f>TRC!B17</f>
        <v/>
      </c>
      <c r="K103" s="96">
        <f>TRC!D17</f>
        <v/>
      </c>
      <c r="L103" s="96">
        <f>IF(OR(J103="S06",J103="S04",J103="S03"),1.2,1)</f>
        <v/>
      </c>
      <c r="M103" s="96">
        <f>K103*L103/SUMPRODUCT($K$101:$K$107,$L$101:$L$107)</f>
        <v/>
      </c>
      <c r="N103" s="96">
        <f>IF(OR(J103="S06",J103="S04",J103="S03"),0.8,1)</f>
        <v/>
      </c>
      <c r="O103" s="96">
        <f>K103*N103/SUMPRODUCT($K$101:$K$107,$N$101:$N$107)</f>
        <v/>
      </c>
    </row>
    <row r="104" ht="13.5" customHeight="1" s="97">
      <c r="J104" s="96">
        <f>TRC!B18</f>
        <v/>
      </c>
      <c r="K104" s="96">
        <f>TRC!D18</f>
        <v/>
      </c>
      <c r="L104" s="96">
        <f>IF(OR(J104="S06",J104="S04",J104="S03"),1.2,1)</f>
        <v/>
      </c>
      <c r="M104" s="96">
        <f>K104*L104/SUMPRODUCT($K$101:$K$107,$L$101:$L$107)</f>
        <v/>
      </c>
      <c r="N104" s="96">
        <f>IF(OR(J104="S06",J104="S04",J104="S03"),0.8,1)</f>
        <v/>
      </c>
      <c r="O104" s="96">
        <f>K104*N104/SUMPRODUCT($K$101:$K$107,$N$101:$N$107)</f>
        <v/>
      </c>
    </row>
    <row r="105" ht="13.5" customHeight="1" s="97">
      <c r="J105" s="96">
        <f>TRC!B19</f>
        <v/>
      </c>
      <c r="K105" s="96">
        <f>TRC!D19</f>
        <v/>
      </c>
      <c r="L105" s="96">
        <f>IF(OR(J105="S06",J105="S04",J105="S03"),1.2,1)</f>
        <v/>
      </c>
      <c r="M105" s="96">
        <f>K105*L105/SUMPRODUCT($K$101:$K$107,$L$101:$L$107)</f>
        <v/>
      </c>
      <c r="N105" s="96">
        <f>IF(OR(J105="S06",J105="S04",J105="S03"),0.8,1)</f>
        <v/>
      </c>
      <c r="O105" s="96">
        <f>K105*N105/SUMPRODUCT($K$101:$K$107,$N$101:$N$107)</f>
        <v/>
      </c>
    </row>
    <row r="106" ht="13.5" customHeight="1" s="97">
      <c r="J106" s="96">
        <f>TRC!B20</f>
        <v/>
      </c>
      <c r="K106" s="96">
        <f>TRC!D20</f>
        <v/>
      </c>
      <c r="L106" s="96">
        <f>IF(OR(J106="S06",J106="S04",J106="S03"),1.2,1)</f>
        <v/>
      </c>
      <c r="M106" s="96">
        <f>K106*L106/SUMPRODUCT($K$101:$K$107,$L$101:$L$107)</f>
        <v/>
      </c>
      <c r="N106" s="96">
        <f>IF(OR(J106="S06",J106="S04",J106="S03"),0.8,1)</f>
        <v/>
      </c>
      <c r="O106" s="96">
        <f>K106*N106/SUMPRODUCT($K$101:$K$107,$N$101:$N$107)</f>
        <v/>
      </c>
    </row>
    <row r="107" ht="13.5" customHeight="1" s="97">
      <c r="J107" s="96">
        <f>TRC!B21</f>
        <v/>
      </c>
      <c r="K107" s="96">
        <f>TRC!D21</f>
        <v/>
      </c>
      <c r="L107" s="96">
        <f>IF(OR(J107="S06",J107="S04",J107="S03"),1.2,1)</f>
        <v/>
      </c>
      <c r="M107" s="96">
        <f>K107*L107/SUMPRODUCT($K$101:$K$107,$L$101:$L$107)</f>
        <v/>
      </c>
      <c r="N107" s="96">
        <f>IF(OR(J107="S06",J107="S04",J107="S03"),0.8,1)</f>
        <v/>
      </c>
      <c r="O107" s="96">
        <f>K107*N107/SUMPRODUCT($K$101:$K$107,$N$101:$N$107)</f>
        <v/>
      </c>
    </row>
    <row r="108" ht="13.5" customHeight="1" s="97"/>
    <row r="109" ht="13.5" customHeight="1" s="97">
      <c r="J109" s="96" t="inlineStr">
        <is>
          <t>CVaR recompute (p stress UP)</t>
        </is>
      </c>
    </row>
    <row r="110" ht="13.5" customHeight="1" s="97">
      <c r="J110" s="96" t="inlineStr">
        <is>
          <t>Rank</t>
        </is>
      </c>
      <c r="K110" s="96" t="inlineStr">
        <is>
          <t>Scenario</t>
        </is>
      </c>
      <c r="L110" s="96" t="inlineStr">
        <is>
          <t>Loss</t>
        </is>
      </c>
      <c r="M110" s="96" t="inlineStr">
        <is>
          <t>p_stress</t>
        </is>
      </c>
      <c r="N110" s="96" t="inlineStr">
        <is>
          <t>Cum_p</t>
        </is>
      </c>
      <c r="O110" s="96" t="inlineStr">
        <is>
          <t>Tail_w</t>
        </is>
      </c>
      <c r="P110" s="96" t="inlineStr">
        <is>
          <t>Contrib</t>
        </is>
      </c>
      <c r="R110" s="96" t="inlineStr">
        <is>
          <t>β</t>
        </is>
      </c>
      <c r="S110" s="96">
        <f>TRC!B8</f>
        <v/>
      </c>
    </row>
    <row r="111" ht="13.5" customHeight="1" s="97">
      <c r="J111" s="96" t="n">
        <v>1</v>
      </c>
      <c r="K111" s="96">
        <f>TRC!B15</f>
        <v/>
      </c>
      <c r="L111" s="96">
        <f>TRC!C15</f>
        <v/>
      </c>
      <c r="M111" s="96">
        <f>VLOOKUP(K111,$J$101:$M$107,4,FALSE())</f>
        <v/>
      </c>
      <c r="N111" s="96">
        <f>M111</f>
        <v/>
      </c>
      <c r="O111" s="96">
        <f>MIN(M111,$S$110)</f>
        <v/>
      </c>
      <c r="P111" s="96">
        <f>O111*L111</f>
        <v/>
      </c>
      <c r="R111" s="96" t="inlineStr">
        <is>
          <t>τ_TRC</t>
        </is>
      </c>
      <c r="S111" s="96">
        <f>TRC!B9</f>
        <v/>
      </c>
    </row>
    <row r="112" ht="13.5" customHeight="1" s="97">
      <c r="J112" s="96" t="n">
        <v>2</v>
      </c>
      <c r="K112" s="96">
        <f>TRC!B16</f>
        <v/>
      </c>
      <c r="L112" s="96">
        <f>TRC!C16</f>
        <v/>
      </c>
      <c r="M112" s="96">
        <f>VLOOKUP(K112,$J$101:$M$107,4,FALSE())</f>
        <v/>
      </c>
      <c r="N112" s="96">
        <f>N111+M112</f>
        <v/>
      </c>
      <c r="O112" s="96">
        <f>MAX(0,MIN(M112,$S$110-N111))</f>
        <v/>
      </c>
      <c r="P112" s="96">
        <f>O112*L112</f>
        <v/>
      </c>
    </row>
    <row r="113" ht="13.5" customHeight="1" s="97">
      <c r="J113" s="96" t="n">
        <v>3</v>
      </c>
      <c r="K113" s="96">
        <f>TRC!B17</f>
        <v/>
      </c>
      <c r="L113" s="96">
        <f>TRC!C17</f>
        <v/>
      </c>
      <c r="M113" s="96">
        <f>VLOOKUP(K113,$J$101:$M$107,4,FALSE())</f>
        <v/>
      </c>
      <c r="N113" s="96">
        <f>N112+M113</f>
        <v/>
      </c>
      <c r="O113" s="96">
        <f>MAX(0,MIN(M113,$S$110-N112))</f>
        <v/>
      </c>
      <c r="P113" s="96">
        <f>O113*L113</f>
        <v/>
      </c>
    </row>
    <row r="114" ht="13.5" customHeight="1" s="97">
      <c r="J114" s="96" t="n">
        <v>4</v>
      </c>
      <c r="K114" s="96">
        <f>TRC!B18</f>
        <v/>
      </c>
      <c r="L114" s="96">
        <f>TRC!C18</f>
        <v/>
      </c>
      <c r="M114" s="96">
        <f>VLOOKUP(K114,$J$101:$M$107,4,FALSE())</f>
        <v/>
      </c>
      <c r="N114" s="96">
        <f>N113+M114</f>
        <v/>
      </c>
      <c r="O114" s="96">
        <f>MAX(0,MIN(M114,$S$110-N113))</f>
        <v/>
      </c>
      <c r="P114" s="96">
        <f>O114*L114</f>
        <v/>
      </c>
    </row>
    <row r="115" ht="13.5" customHeight="1" s="97">
      <c r="J115" s="96" t="n">
        <v>5</v>
      </c>
      <c r="K115" s="96">
        <f>TRC!B19</f>
        <v/>
      </c>
      <c r="L115" s="96">
        <f>TRC!C19</f>
        <v/>
      </c>
      <c r="M115" s="96">
        <f>VLOOKUP(K115,$J$101:$M$107,4,FALSE())</f>
        <v/>
      </c>
      <c r="N115" s="96">
        <f>N114+M115</f>
        <v/>
      </c>
      <c r="O115" s="96">
        <f>MAX(0,MIN(M115,$S$110-N114))</f>
        <v/>
      </c>
      <c r="P115" s="96">
        <f>O115*L115</f>
        <v/>
      </c>
    </row>
    <row r="116" ht="13.5" customHeight="1" s="97">
      <c r="J116" s="96" t="n">
        <v>6</v>
      </c>
      <c r="K116" s="96">
        <f>TRC!B20</f>
        <v/>
      </c>
      <c r="L116" s="96">
        <f>TRC!C20</f>
        <v/>
      </c>
      <c r="M116" s="96">
        <f>VLOOKUP(K116,$J$101:$M$107,4,FALSE())</f>
        <v/>
      </c>
      <c r="N116" s="96">
        <f>N115+M116</f>
        <v/>
      </c>
      <c r="O116" s="96">
        <f>MAX(0,MIN(M116,$S$110-N115))</f>
        <v/>
      </c>
      <c r="P116" s="96">
        <f>O116*L116</f>
        <v/>
      </c>
    </row>
    <row r="117" ht="13.5" customHeight="1" s="97">
      <c r="J117" s="96" t="n">
        <v>7</v>
      </c>
      <c r="K117" s="96">
        <f>TRC!B21</f>
        <v/>
      </c>
      <c r="L117" s="96">
        <f>TRC!C21</f>
        <v/>
      </c>
      <c r="M117" s="96">
        <f>VLOOKUP(K117,$J$101:$M$107,4,FALSE())</f>
        <v/>
      </c>
      <c r="N117" s="96">
        <f>N116+M117</f>
        <v/>
      </c>
      <c r="O117" s="96">
        <f>MAX(0,MIN(M117,$S$110-N116))</f>
        <v/>
      </c>
      <c r="P117" s="96">
        <f>O117*L117</f>
        <v/>
      </c>
    </row>
    <row r="118" ht="13.5" customHeight="1" s="97"/>
    <row r="119" ht="13.5" customHeight="1" s="97">
      <c r="R119" s="96" t="inlineStr">
        <is>
          <t>CVaR_A_up</t>
        </is>
      </c>
      <c r="S119" s="96">
        <f>SUM(P111:P117)/$S$110</f>
        <v/>
      </c>
    </row>
    <row r="120" ht="13.5" customHeight="1" s="97">
      <c r="R120" s="96" t="inlineStr">
        <is>
          <t>Status_A_up</t>
        </is>
      </c>
      <c r="S120" s="96">
        <f>IF(S119&lt;=$S$111,"PASS","FAIL")</f>
        <v/>
      </c>
    </row>
    <row r="121" ht="13.5" customHeight="1" s="97">
      <c r="M121" s="96" t="inlineStr">
        <is>
          <t>TRC stress UP status</t>
        </is>
      </c>
      <c r="N121" s="96" t="inlineStr">
        <is>
          <t>A</t>
        </is>
      </c>
      <c r="O121" s="96" t="inlineStr">
        <is>
          <t>B</t>
        </is>
      </c>
    </row>
    <row r="122" ht="13.5" customHeight="1" s="97">
      <c r="M122" s="96" t="inlineStr">
        <is>
          <t>TRC stress DOWN status</t>
        </is>
      </c>
      <c r="N122" s="96">
        <f>S120</f>
        <v/>
      </c>
      <c r="O122" s="96">
        <f>S142</f>
        <v/>
      </c>
    </row>
    <row r="123" ht="13.5" customHeight="1" s="97">
      <c r="N123" s="96">
        <f>S162</f>
        <v/>
      </c>
      <c r="O123" s="96">
        <f>S175</f>
        <v/>
      </c>
    </row>
    <row r="124" ht="13.5" customHeight="1" s="97"/>
    <row r="125" ht="13.5" customHeight="1" s="97"/>
    <row r="126" ht="13.5" customHeight="1" s="97"/>
    <row r="127" ht="13.5" customHeight="1" s="97"/>
    <row r="128" ht="13.5" customHeight="1" s="97"/>
    <row r="129" ht="13.5" customHeight="1" s="97"/>
    <row r="130" ht="13.5" customHeight="1" s="97"/>
    <row r="131" ht="13.5" customHeight="1" s="97">
      <c r="J131" s="96" t="inlineStr">
        <is>
          <t>CVaR recompute for Option B (p stress UP)</t>
        </is>
      </c>
    </row>
    <row r="132" ht="13.5" customHeight="1" s="97">
      <c r="J132" s="96" t="inlineStr">
        <is>
          <t>Rank</t>
        </is>
      </c>
      <c r="K132" s="96" t="inlineStr">
        <is>
          <t>Scenario</t>
        </is>
      </c>
      <c r="L132" s="96" t="inlineStr">
        <is>
          <t>Loss</t>
        </is>
      </c>
      <c r="M132" s="96" t="inlineStr">
        <is>
          <t>p_stress</t>
        </is>
      </c>
      <c r="N132" s="96" t="inlineStr">
        <is>
          <t>Cum_p</t>
        </is>
      </c>
      <c r="O132" s="96" t="inlineStr">
        <is>
          <t>Tail_w</t>
        </is>
      </c>
      <c r="P132" s="96" t="inlineStr">
        <is>
          <t>Contrib</t>
        </is>
      </c>
    </row>
    <row r="133" ht="13.5" customHeight="1" s="97">
      <c r="J133" s="96" t="n">
        <v>1</v>
      </c>
      <c r="K133" s="96">
        <f>TRC!B31</f>
        <v/>
      </c>
      <c r="L133" s="96">
        <f>TRC!C31</f>
        <v/>
      </c>
      <c r="M133" s="96">
        <f>VLOOKUP(K133,$J$101:$M$107,4,FALSE())</f>
        <v/>
      </c>
      <c r="N133" s="96">
        <f>M133</f>
        <v/>
      </c>
      <c r="O133" s="96">
        <f>MIN(M133,$S$110)</f>
        <v/>
      </c>
      <c r="P133" s="96">
        <f>O133*L133</f>
        <v/>
      </c>
    </row>
    <row r="134" ht="13.5" customHeight="1" s="97">
      <c r="J134" s="96" t="n">
        <v>2</v>
      </c>
      <c r="K134" s="96">
        <f>TRC!B32</f>
        <v/>
      </c>
      <c r="L134" s="96">
        <f>TRC!C32</f>
        <v/>
      </c>
      <c r="M134" s="96">
        <f>VLOOKUP(K134,$J$101:$M$107,4,FALSE())</f>
        <v/>
      </c>
      <c r="N134" s="96">
        <f>N133+M134</f>
        <v/>
      </c>
      <c r="O134" s="96">
        <f>MAX(0,MIN(M134,$S$110-N133))</f>
        <v/>
      </c>
      <c r="P134" s="96">
        <f>O134*L134</f>
        <v/>
      </c>
    </row>
    <row r="135" ht="13.5" customHeight="1" s="97">
      <c r="J135" s="96" t="n">
        <v>3</v>
      </c>
      <c r="K135" s="96">
        <f>TRC!B33</f>
        <v/>
      </c>
      <c r="L135" s="96">
        <f>TRC!C33</f>
        <v/>
      </c>
      <c r="M135" s="96">
        <f>VLOOKUP(K135,$J$101:$M$107,4,FALSE())</f>
        <v/>
      </c>
      <c r="N135" s="96">
        <f>N134+M135</f>
        <v/>
      </c>
      <c r="O135" s="96">
        <f>MAX(0,MIN(M135,$S$110-N134))</f>
        <v/>
      </c>
      <c r="P135" s="96">
        <f>O135*L135</f>
        <v/>
      </c>
    </row>
    <row r="136" ht="13.5" customHeight="1" s="97">
      <c r="J136" s="96" t="n">
        <v>4</v>
      </c>
      <c r="K136" s="96">
        <f>TRC!B34</f>
        <v/>
      </c>
      <c r="L136" s="96">
        <f>TRC!C34</f>
        <v/>
      </c>
      <c r="M136" s="96">
        <f>VLOOKUP(K136,$J$101:$M$107,4,FALSE())</f>
        <v/>
      </c>
      <c r="N136" s="96">
        <f>N135+M136</f>
        <v/>
      </c>
      <c r="O136" s="96">
        <f>MAX(0,MIN(M136,$S$110-N135))</f>
        <v/>
      </c>
      <c r="P136" s="96">
        <f>O136*L136</f>
        <v/>
      </c>
    </row>
    <row r="137" ht="13.5" customHeight="1" s="97">
      <c r="J137" s="96" t="n">
        <v>5</v>
      </c>
      <c r="K137" s="96">
        <f>TRC!B35</f>
        <v/>
      </c>
      <c r="L137" s="96">
        <f>TRC!C35</f>
        <v/>
      </c>
      <c r="M137" s="96">
        <f>VLOOKUP(K137,$J$101:$M$107,4,FALSE())</f>
        <v/>
      </c>
      <c r="N137" s="96">
        <f>N136+M137</f>
        <v/>
      </c>
      <c r="O137" s="96">
        <f>MAX(0,MIN(M137,$S$110-N136))</f>
        <v/>
      </c>
      <c r="P137" s="96">
        <f>O137*L137</f>
        <v/>
      </c>
    </row>
    <row r="138" ht="13.5" customHeight="1" s="97">
      <c r="J138" s="96" t="n">
        <v>6</v>
      </c>
      <c r="K138" s="96">
        <f>TRC!B36</f>
        <v/>
      </c>
      <c r="L138" s="96">
        <f>TRC!C36</f>
        <v/>
      </c>
      <c r="M138" s="96">
        <f>VLOOKUP(K138,$J$101:$M$107,4,FALSE())</f>
        <v/>
      </c>
      <c r="N138" s="96">
        <f>N137+M138</f>
        <v/>
      </c>
      <c r="O138" s="96">
        <f>MAX(0,MIN(M138,$S$110-N137))</f>
        <v/>
      </c>
      <c r="P138" s="96">
        <f>O138*L138</f>
        <v/>
      </c>
    </row>
    <row r="139" ht="13.5" customHeight="1" s="97">
      <c r="J139" s="96" t="n">
        <v>7</v>
      </c>
      <c r="K139" s="96">
        <f>TRC!B37</f>
        <v/>
      </c>
      <c r="L139" s="96">
        <f>TRC!C37</f>
        <v/>
      </c>
      <c r="M139" s="96">
        <f>VLOOKUP(K139,$J$101:$M$107,4,FALSE())</f>
        <v/>
      </c>
      <c r="N139" s="96">
        <f>N138+M139</f>
        <v/>
      </c>
      <c r="O139" s="96">
        <f>MAX(0,MIN(M139,$S$110-N138))</f>
        <v/>
      </c>
      <c r="P139" s="96">
        <f>O139*L139</f>
        <v/>
      </c>
    </row>
    <row r="140" ht="13.5" customHeight="1" s="97"/>
    <row r="141" ht="13.5" customHeight="1" s="97">
      <c r="R141" s="96" t="inlineStr">
        <is>
          <t>CVaR_B_up</t>
        </is>
      </c>
      <c r="S141" s="96">
        <f>SUM(P133:P139)/$S$110</f>
        <v/>
      </c>
    </row>
    <row r="142" ht="13.5" customHeight="1" s="97">
      <c r="R142" s="96" t="inlineStr">
        <is>
          <t>Status_B_up</t>
        </is>
      </c>
      <c r="S142" s="96">
        <f>IF(S141&lt;=$S$111,"PASS","FAIL")</f>
        <v/>
      </c>
    </row>
    <row r="143" ht="13.5" customHeight="1" s="97"/>
    <row r="144" ht="13.5" customHeight="1" s="97"/>
    <row r="145" ht="13.5" customHeight="1" s="97"/>
    <row r="146" ht="13.5" customHeight="1" s="97"/>
    <row r="147" ht="13.5" customHeight="1" s="97"/>
    <row r="148" ht="13.5" customHeight="1" s="97"/>
    <row r="149" ht="13.5" customHeight="1" s="97"/>
    <row r="150" ht="13.5" customHeight="1" s="97"/>
    <row r="151" ht="13.5" customHeight="1" s="97">
      <c r="J151" s="96" t="inlineStr">
        <is>
          <t>CVaR recompute (p stress DOWN)</t>
        </is>
      </c>
    </row>
    <row r="152" ht="13.5" customHeight="1" s="97">
      <c r="J152" s="96" t="inlineStr">
        <is>
          <t>Rank</t>
        </is>
      </c>
      <c r="K152" s="96" t="inlineStr">
        <is>
          <t>Scenario</t>
        </is>
      </c>
      <c r="L152" s="96" t="inlineStr">
        <is>
          <t>Loss</t>
        </is>
      </c>
      <c r="M152" s="96" t="inlineStr">
        <is>
          <t>p_stress</t>
        </is>
      </c>
      <c r="N152" s="96" t="inlineStr">
        <is>
          <t>Cum_p</t>
        </is>
      </c>
      <c r="O152" s="96" t="inlineStr">
        <is>
          <t>Tail_w</t>
        </is>
      </c>
      <c r="P152" s="96" t="inlineStr">
        <is>
          <t>Contrib</t>
        </is>
      </c>
    </row>
    <row r="153" ht="13.5" customHeight="1" s="97">
      <c r="J153" s="96" t="n">
        <v>1</v>
      </c>
      <c r="K153" s="96">
        <f>TRC!B15</f>
        <v/>
      </c>
      <c r="L153" s="96">
        <f>TRC!C15</f>
        <v/>
      </c>
      <c r="M153" s="96">
        <f>VLOOKUP(K153,$J$101:$O$107,6,FALSE())</f>
        <v/>
      </c>
      <c r="N153" s="96">
        <f>M153</f>
        <v/>
      </c>
      <c r="O153" s="96">
        <f>MIN(M153,$S$110)</f>
        <v/>
      </c>
      <c r="P153" s="96">
        <f>O153*L153</f>
        <v/>
      </c>
    </row>
    <row r="154" ht="13.5" customHeight="1" s="97">
      <c r="J154" s="96" t="n">
        <v>2</v>
      </c>
      <c r="K154" s="96">
        <f>TRC!B16</f>
        <v/>
      </c>
      <c r="L154" s="96">
        <f>TRC!C16</f>
        <v/>
      </c>
      <c r="M154" s="96">
        <f>VLOOKUP(K154,$J$101:$O$107,6,FALSE())</f>
        <v/>
      </c>
      <c r="N154" s="96">
        <f>N153+M154</f>
        <v/>
      </c>
      <c r="O154" s="96">
        <f>MAX(0,MIN(M154,$S$110-N153))</f>
        <v/>
      </c>
      <c r="P154" s="96">
        <f>O154*L154</f>
        <v/>
      </c>
    </row>
    <row r="155" ht="13.5" customHeight="1" s="97">
      <c r="J155" s="96" t="n">
        <v>3</v>
      </c>
      <c r="K155" s="96">
        <f>TRC!B17</f>
        <v/>
      </c>
      <c r="L155" s="96">
        <f>TRC!C17</f>
        <v/>
      </c>
      <c r="M155" s="96">
        <f>VLOOKUP(K155,$J$101:$O$107,6,FALSE())</f>
        <v/>
      </c>
      <c r="N155" s="96">
        <f>N154+M155</f>
        <v/>
      </c>
      <c r="O155" s="96">
        <f>MAX(0,MIN(M155,$S$110-N154))</f>
        <v/>
      </c>
      <c r="P155" s="96">
        <f>O155*L155</f>
        <v/>
      </c>
    </row>
    <row r="156" ht="13.5" customHeight="1" s="97">
      <c r="J156" s="96" t="n">
        <v>4</v>
      </c>
      <c r="K156" s="96">
        <f>TRC!B18</f>
        <v/>
      </c>
      <c r="L156" s="96">
        <f>TRC!C18</f>
        <v/>
      </c>
      <c r="M156" s="96">
        <f>VLOOKUP(K156,$J$101:$O$107,6,FALSE())</f>
        <v/>
      </c>
      <c r="N156" s="96">
        <f>N155+M156</f>
        <v/>
      </c>
      <c r="O156" s="96">
        <f>MAX(0,MIN(M156,$S$110-N155))</f>
        <v/>
      </c>
      <c r="P156" s="96">
        <f>O156*L156</f>
        <v/>
      </c>
    </row>
    <row r="157" ht="13.5" customHeight="1" s="97">
      <c r="J157" s="96" t="n">
        <v>5</v>
      </c>
      <c r="K157" s="96">
        <f>TRC!B19</f>
        <v/>
      </c>
      <c r="L157" s="96">
        <f>TRC!C19</f>
        <v/>
      </c>
      <c r="M157" s="96">
        <f>VLOOKUP(K157,$J$101:$O$107,6,FALSE())</f>
        <v/>
      </c>
      <c r="N157" s="96">
        <f>N156+M157</f>
        <v/>
      </c>
      <c r="O157" s="96">
        <f>MAX(0,MIN(M157,$S$110-N156))</f>
        <v/>
      </c>
      <c r="P157" s="96">
        <f>O157*L157</f>
        <v/>
      </c>
    </row>
    <row r="158" ht="13.5" customHeight="1" s="97">
      <c r="J158" s="96" t="n">
        <v>6</v>
      </c>
      <c r="K158" s="96">
        <f>TRC!B20</f>
        <v/>
      </c>
      <c r="L158" s="96">
        <f>TRC!C20</f>
        <v/>
      </c>
      <c r="M158" s="96">
        <f>VLOOKUP(K158,$J$101:$O$107,6,FALSE())</f>
        <v/>
      </c>
      <c r="N158" s="96">
        <f>N157+M158</f>
        <v/>
      </c>
      <c r="O158" s="96">
        <f>MAX(0,MIN(M158,$S$110-N157))</f>
        <v/>
      </c>
      <c r="P158" s="96">
        <f>O158*L158</f>
        <v/>
      </c>
    </row>
    <row r="159" ht="13.5" customHeight="1" s="97">
      <c r="J159" s="96" t="n">
        <v>7</v>
      </c>
      <c r="K159" s="96">
        <f>TRC!B21</f>
        <v/>
      </c>
      <c r="L159" s="96">
        <f>TRC!C21</f>
        <v/>
      </c>
      <c r="M159" s="96">
        <f>VLOOKUP(K159,$J$101:$O$107,6,FALSE())</f>
        <v/>
      </c>
      <c r="N159" s="96">
        <f>N158+M159</f>
        <v/>
      </c>
      <c r="O159" s="96">
        <f>MAX(0,MIN(M159,$S$110-N158))</f>
        <v/>
      </c>
      <c r="P159" s="96">
        <f>O159*L159</f>
        <v/>
      </c>
    </row>
    <row r="160" ht="13.5" customHeight="1" s="97"/>
    <row r="161" ht="13.5" customHeight="1" s="97">
      <c r="R161" s="96" t="inlineStr">
        <is>
          <t>CVaR_A_down</t>
        </is>
      </c>
      <c r="S161" s="96">
        <f>SUM(P153:P159)/$S$110</f>
        <v/>
      </c>
    </row>
    <row r="162" ht="13.5" customHeight="1" s="97">
      <c r="R162" s="96" t="inlineStr">
        <is>
          <t>Status_A_down</t>
        </is>
      </c>
      <c r="S162" s="96">
        <f>IF(S161&lt;=$S$111,"PASS","FAIL")</f>
        <v/>
      </c>
    </row>
    <row r="163" ht="13.5" customHeight="1" s="97"/>
    <row r="164" ht="13.5" customHeight="1" s="97">
      <c r="J164" s="96" t="inlineStr">
        <is>
          <t>Option B (p stress DOWN)</t>
        </is>
      </c>
    </row>
    <row r="165" ht="13.5" customHeight="1" s="97">
      <c r="J165" s="96" t="inlineStr">
        <is>
          <t>Rank</t>
        </is>
      </c>
      <c r="K165" s="96" t="inlineStr">
        <is>
          <t>Scenario</t>
        </is>
      </c>
      <c r="L165" s="96" t="inlineStr">
        <is>
          <t>Loss</t>
        </is>
      </c>
      <c r="M165" s="96" t="inlineStr">
        <is>
          <t>p_stress</t>
        </is>
      </c>
      <c r="N165" s="96" t="inlineStr">
        <is>
          <t>Cum_p</t>
        </is>
      </c>
      <c r="O165" s="96" t="inlineStr">
        <is>
          <t>Tail_w</t>
        </is>
      </c>
      <c r="P165" s="96" t="inlineStr">
        <is>
          <t>Contrib</t>
        </is>
      </c>
    </row>
    <row r="166" ht="13.5" customHeight="1" s="97">
      <c r="J166" s="96" t="n">
        <v>1</v>
      </c>
      <c r="K166" s="96">
        <f>TRC!B31</f>
        <v/>
      </c>
      <c r="L166" s="96">
        <f>TRC!C31</f>
        <v/>
      </c>
      <c r="M166" s="96">
        <f>VLOOKUP(K166,$J$101:$O$107,6,FALSE())</f>
        <v/>
      </c>
      <c r="N166" s="96">
        <f>M166</f>
        <v/>
      </c>
      <c r="O166" s="96">
        <f>MIN(M166,$S$110)</f>
        <v/>
      </c>
      <c r="P166" s="96">
        <f>O166*L166</f>
        <v/>
      </c>
    </row>
    <row r="167" ht="13.5" customHeight="1" s="97">
      <c r="J167" s="96" t="n">
        <v>2</v>
      </c>
      <c r="K167" s="96">
        <f>TRC!B32</f>
        <v/>
      </c>
      <c r="L167" s="96">
        <f>TRC!C32</f>
        <v/>
      </c>
      <c r="M167" s="96">
        <f>VLOOKUP(K167,$J$101:$O$107,6,FALSE())</f>
        <v/>
      </c>
      <c r="N167" s="96">
        <f>N166+M167</f>
        <v/>
      </c>
      <c r="O167" s="96">
        <f>MAX(0,MIN(M167,$S$110-N166))</f>
        <v/>
      </c>
      <c r="P167" s="96">
        <f>O167*L167</f>
        <v/>
      </c>
    </row>
    <row r="168" ht="13.5" customHeight="1" s="97">
      <c r="J168" s="96" t="n">
        <v>3</v>
      </c>
      <c r="K168" s="96">
        <f>TRC!B33</f>
        <v/>
      </c>
      <c r="L168" s="96">
        <f>TRC!C33</f>
        <v/>
      </c>
      <c r="M168" s="96">
        <f>VLOOKUP(K168,$J$101:$O$107,6,FALSE())</f>
        <v/>
      </c>
      <c r="N168" s="96">
        <f>N167+M168</f>
        <v/>
      </c>
      <c r="O168" s="96">
        <f>MAX(0,MIN(M168,$S$110-N167))</f>
        <v/>
      </c>
      <c r="P168" s="96">
        <f>O168*L168</f>
        <v/>
      </c>
    </row>
    <row r="169" ht="13.5" customHeight="1" s="97">
      <c r="J169" s="96" t="n">
        <v>4</v>
      </c>
      <c r="K169" s="96">
        <f>TRC!B34</f>
        <v/>
      </c>
      <c r="L169" s="96">
        <f>TRC!C34</f>
        <v/>
      </c>
      <c r="M169" s="96">
        <f>VLOOKUP(K169,$J$101:$O$107,6,FALSE())</f>
        <v/>
      </c>
      <c r="N169" s="96">
        <f>N168+M169</f>
        <v/>
      </c>
      <c r="O169" s="96">
        <f>MAX(0,MIN(M169,$S$110-N168))</f>
        <v/>
      </c>
      <c r="P169" s="96">
        <f>O169*L169</f>
        <v/>
      </c>
    </row>
    <row r="170" ht="13.5" customHeight="1" s="97">
      <c r="J170" s="96" t="n">
        <v>5</v>
      </c>
      <c r="K170" s="96">
        <f>TRC!B35</f>
        <v/>
      </c>
      <c r="L170" s="96">
        <f>TRC!C35</f>
        <v/>
      </c>
      <c r="M170" s="96">
        <f>VLOOKUP(K170,$J$101:$O$107,6,FALSE())</f>
        <v/>
      </c>
      <c r="N170" s="96">
        <f>N169+M170</f>
        <v/>
      </c>
      <c r="O170" s="96">
        <f>MAX(0,MIN(M170,$S$110-N169))</f>
        <v/>
      </c>
      <c r="P170" s="96">
        <f>O170*L170</f>
        <v/>
      </c>
    </row>
    <row r="171" ht="13.5" customHeight="1" s="97">
      <c r="J171" s="96" t="n">
        <v>6</v>
      </c>
      <c r="K171" s="96">
        <f>TRC!B36</f>
        <v/>
      </c>
      <c r="L171" s="96">
        <f>TRC!C36</f>
        <v/>
      </c>
      <c r="M171" s="96">
        <f>VLOOKUP(K171,$J$101:$O$107,6,FALSE())</f>
        <v/>
      </c>
      <c r="N171" s="96">
        <f>N170+M171</f>
        <v/>
      </c>
      <c r="O171" s="96">
        <f>MAX(0,MIN(M171,$S$110-N170))</f>
        <v/>
      </c>
      <c r="P171" s="96">
        <f>O171*L171</f>
        <v/>
      </c>
    </row>
    <row r="172" ht="13.5" customHeight="1" s="97">
      <c r="J172" s="96" t="n">
        <v>7</v>
      </c>
      <c r="K172" s="96">
        <f>TRC!B37</f>
        <v/>
      </c>
      <c r="L172" s="96">
        <f>TRC!C37</f>
        <v/>
      </c>
      <c r="M172" s="96">
        <f>VLOOKUP(K172,$J$101:$O$107,6,FALSE())</f>
        <v/>
      </c>
      <c r="N172" s="96">
        <f>N171+M172</f>
        <v/>
      </c>
      <c r="O172" s="96">
        <f>MAX(0,MIN(M172,$S$110-N171))</f>
        <v/>
      </c>
      <c r="P172" s="96">
        <f>O172*L172</f>
        <v/>
      </c>
    </row>
    <row r="173" ht="13.5" customHeight="1" s="97"/>
    <row r="174" ht="13.5" customHeight="1" s="97">
      <c r="R174" s="96" t="inlineStr">
        <is>
          <t>CVaR_B_down</t>
        </is>
      </c>
      <c r="S174" s="96">
        <f>SUM(P166:P172)/$S$110</f>
        <v/>
      </c>
    </row>
    <row r="175" ht="13.5" customHeight="1" s="97">
      <c r="R175" s="96" t="inlineStr">
        <is>
          <t>Status_B_down</t>
        </is>
      </c>
      <c r="S175" s="96">
        <f>IF(S174&lt;=$S$111,"PASS","FAIL")</f>
        <v/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46"/>
  <sheetViews>
    <sheetView showGridLines="1" workbookViewId="0">
      <selection activeCell="A1" sqref="A1"/>
    </sheetView>
  </sheetViews>
  <sheetFormatPr baseColWidth="8" defaultColWidth="8.66796875" defaultRowHeight="12.75"/>
  <cols>
    <col width="70" customWidth="1" style="104" min="1" max="1"/>
    <col width="12" customWidth="1" style="104" min="2" max="2"/>
    <col width="28" customWidth="1" style="104" min="3" max="3"/>
  </cols>
  <sheetData>
    <row r="1" ht="14.25" customHeight="1" s="97">
      <c r="A1" s="124" t="inlineStr">
        <is>
          <t>SUBGROUP ANALYSIS - WORST-OFF DOCUMENTATION</t>
        </is>
      </c>
    </row>
    <row r="2" ht="36" customHeight="1" s="97">
      <c r="A2" s="127" t="inlineStr">
        <is>
          <t>Binding note: Any worst-off values documented in this sheet SHALL either (a) be entered into Subgroup_Overrides for computational use, or (b) be removed from this narrative sheet if the run relies only on the conservative fallback.</t>
        </is>
      </c>
    </row>
    <row r="3" ht="14.25" customHeight="1" s="97">
      <c r="A3" s="96" t="inlineStr">
        <is>
          <t>Reference: RippleLogic v9.6.4 Section 7.3 - Tier 2 requires subgroup enumeration</t>
        </is>
      </c>
    </row>
    <row r="4" ht="13.5" customHeight="1" s="97"/>
    <row r="5" ht="14.25" customHeight="1" s="97">
      <c r="A5" s="106" t="inlineStr">
        <is>
          <t>OPTION A: NEGATIVE IMPACT CELLS</t>
        </is>
      </c>
    </row>
    <row r="6" ht="13.5" customHeight="1" s="97"/>
    <row r="7" ht="14.25" customHeight="1" s="97">
      <c r="A7" s="106" t="inlineStr">
        <is>
          <t>Cell: U3-D3 (Community-Social) | Agg I_prop: -0.069</t>
        </is>
      </c>
    </row>
    <row r="8" ht="14.25" customHeight="1" s="97">
      <c r="A8" s="96" t="inlineStr">
        <is>
          <t>Rights: LBTY (-0.65), DIGN (-0.55)</t>
        </is>
      </c>
    </row>
    <row r="9" ht="14.25" customHeight="1" s="97">
      <c r="A9" s="106" t="inlineStr">
        <is>
          <t>Subgroup</t>
        </is>
      </c>
      <c r="B9" s="106" t="inlineStr">
        <is>
          <t>I_prop</t>
        </is>
      </c>
      <c r="C9" s="106" t="inlineStr">
        <is>
          <t>Rationale</t>
        </is>
      </c>
    </row>
    <row r="10" ht="14.25" customHeight="1" s="97">
      <c r="A10" s="96" t="inlineStr">
        <is>
          <t>General population</t>
        </is>
      </c>
      <c r="B10" s="96" t="n">
        <v>-0.06900000000000001</v>
      </c>
      <c r="C10" s="96" t="inlineStr">
        <is>
          <t>Baseline</t>
        </is>
      </c>
    </row>
    <row r="11" ht="14.25" customHeight="1" s="97">
      <c r="A11" s="96" t="inlineStr">
        <is>
          <t>Elderly (65+)</t>
        </is>
      </c>
      <c r="B11" s="96" t="n">
        <v>-0.1</v>
      </c>
      <c r="C11" s="96" t="inlineStr">
        <is>
          <t>Higher isolation risk</t>
        </is>
      </c>
    </row>
    <row r="12" ht="14.25" customHeight="1" s="97">
      <c r="A12" s="96" t="inlineStr">
        <is>
          <t>Single-person HH</t>
        </is>
      </c>
      <c r="B12" s="96" t="n">
        <v>-0.12</v>
      </c>
      <c r="C12" s="96" t="inlineStr">
        <is>
          <t>No household buffer</t>
        </is>
      </c>
    </row>
    <row r="13" ht="14.25" customHeight="1" s="97">
      <c r="A13" s="96" t="inlineStr">
        <is>
          <t>New employees (&lt;1yr)</t>
        </is>
      </c>
      <c r="B13" s="96" t="n">
        <v>-0.15</v>
      </c>
      <c r="C13" s="96" t="inlineStr">
        <is>
          <t>Harder to integrate</t>
        </is>
      </c>
    </row>
    <row r="14" ht="14.25" customHeight="1" s="97">
      <c r="A14" s="96" t="inlineStr">
        <is>
          <t>WORST-OFF</t>
        </is>
      </c>
      <c r="B14" s="96" t="n">
        <v>-0.15</v>
      </c>
      <c r="C14" s="96" t="inlineStr">
        <is>
          <t>New employees</t>
        </is>
      </c>
    </row>
    <row r="15" ht="14.25" customHeight="1" s="97">
      <c r="A15" s="111" t="inlineStr">
        <is>
          <t>Threshold checks: LBTY -0.15 &gt; -0.65 ✓ | DIGN -0.15 &gt; -0.55 ✓</t>
        </is>
      </c>
    </row>
    <row r="16" ht="13.5" customHeight="1" s="97"/>
    <row r="17" ht="14.25" customHeight="1" s="97">
      <c r="A17" s="106" t="inlineStr">
        <is>
          <t>Cell: U4-D1 (Org-Material) | Agg I_prop: -0.176</t>
        </is>
      </c>
    </row>
    <row r="18" ht="14.25" customHeight="1" s="97">
      <c r="A18" s="96" t="inlineStr">
        <is>
          <t>Rights: NEED (-0.50)</t>
        </is>
      </c>
    </row>
    <row r="19" ht="14.25" customHeight="1" s="97">
      <c r="A19" s="96" t="inlineStr">
        <is>
          <t>Worst-off: Facilities dept at -0.30</t>
        </is>
      </c>
    </row>
    <row r="20" ht="14.25" customHeight="1" s="97">
      <c r="A20" s="111" t="inlineStr">
        <is>
          <t>Threshold: -0.30 &gt; -0.50 ✓</t>
        </is>
      </c>
    </row>
    <row r="21" ht="13.5" customHeight="1" s="97"/>
    <row r="22" ht="14.25" customHeight="1" s="97">
      <c r="A22" s="106" t="inlineStr">
        <is>
          <t>Cell: U3-D1 (Community-Material) | Agg I_prop: -0.075</t>
        </is>
      </c>
    </row>
    <row r="23" ht="14.25" customHeight="1" s="97">
      <c r="A23" s="96" t="inlineStr">
        <is>
          <t>Rights: NEED (-0.50)</t>
        </is>
      </c>
    </row>
    <row r="24" ht="14.25" customHeight="1" s="97">
      <c r="A24" s="96" t="inlineStr">
        <is>
          <t>Worst-off: Local restaurants at -0.20</t>
        </is>
      </c>
    </row>
    <row r="25" ht="14.25" customHeight="1" s="97">
      <c r="A25" s="111" t="inlineStr">
        <is>
          <t>Threshold: -0.20 &gt; -0.50 ✓</t>
        </is>
      </c>
    </row>
    <row r="26" ht="13.5" customHeight="1" s="97"/>
    <row r="27" ht="13.5" customHeight="1" s="97"/>
    <row r="28" ht="14.25" customHeight="1" s="97">
      <c r="A28" s="106" t="inlineStr">
        <is>
          <t>OPTION B: NEGATIVE IMPACT CELLS</t>
        </is>
      </c>
    </row>
    <row r="29" ht="13.5" customHeight="1" s="97"/>
    <row r="30" ht="14.25" customHeight="1" s="97">
      <c r="A30" s="106" t="inlineStr">
        <is>
          <t>Cell: U1-D5 (Self-Agency) | Agg I_prop: -0.073</t>
        </is>
      </c>
    </row>
    <row r="31" ht="14.25" customHeight="1" s="97">
      <c r="A31" s="96" t="inlineStr">
        <is>
          <t>Rights: LBTY, DIGN, INFO</t>
        </is>
      </c>
    </row>
    <row r="32" ht="14.25" customHeight="1" s="97">
      <c r="A32" s="96" t="inlineStr">
        <is>
          <t>Worst-off: Parents w/ young children at -0.15</t>
        </is>
      </c>
    </row>
    <row r="33" ht="14.25" customHeight="1" s="97">
      <c r="A33" s="111" t="inlineStr">
        <is>
          <t>All thresholds pass ✓</t>
        </is>
      </c>
    </row>
    <row r="34" ht="13.5" customHeight="1" s="97"/>
    <row r="35" ht="14.25" customHeight="1" s="97">
      <c r="A35" s="96" t="inlineStr">
        <is>
          <t>Cell: U2-D1 (Household-Material) | Agg: -0.063</t>
        </is>
      </c>
    </row>
    <row r="36" ht="14.25" customHeight="1" s="97">
      <c r="A36" s="111" t="inlineStr">
        <is>
          <t>Worst-off: Long commuters at -0.12 | NEED ✓</t>
        </is>
      </c>
    </row>
    <row r="37" ht="13.5" customHeight="1" s="97"/>
    <row r="38" ht="14.25" customHeight="1" s="97">
      <c r="A38" s="96" t="inlineStr">
        <is>
          <t>Cell: U7-D7 (Biosphere-Environ) | Agg: -0.053</t>
        </is>
      </c>
    </row>
    <row r="39" ht="14.25" customHeight="1" s="97">
      <c r="A39" s="111" t="inlineStr">
        <is>
          <t>Worst-off: Urban air quality at -0.08 | ECOL ✓</t>
        </is>
      </c>
    </row>
    <row r="40" ht="13.5" customHeight="1" s="97"/>
    <row r="41" ht="13.5" customHeight="1" s="97"/>
    <row r="42" ht="14.25" customHeight="1" s="97">
      <c r="A42" s="106" t="inlineStr">
        <is>
          <t>SUMMARY</t>
        </is>
      </c>
    </row>
    <row r="43" ht="14.25" customHeight="1" s="97">
      <c r="A43" s="96" t="inlineStr">
        <is>
          <t>All worst-off impacts well above thresholds</t>
        </is>
      </c>
    </row>
    <row r="44" ht="14.25" customHeight="1" s="97">
      <c r="A44" s="96" t="inlineStr">
        <is>
          <t>No near-misses identified</t>
        </is>
      </c>
    </row>
    <row r="45" ht="14.25" customHeight="1" s="97">
      <c r="A45" s="111" t="inlineStr">
        <is>
          <t>NCRC outcome ROBUST with subgroup analysis</t>
        </is>
      </c>
    </row>
    <row r="46" ht="13.5" customHeight="1" s="97">
      <c r="A46" s="96" t="inlineStr">
        <is>
          <t>analysis_done (computed)</t>
        </is>
      </c>
      <c r="B46" s="96">
        <f>IF(COUNTIF($A$1:$A$200,"WORST-OFF")&gt;0,1,0)</f>
        <v/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200"/>
  <sheetViews>
    <sheetView showGridLines="1" workbookViewId="0">
      <selection activeCell="A1" sqref="A1"/>
    </sheetView>
  </sheetViews>
  <sheetFormatPr baseColWidth="8" defaultColWidth="8.66796875" defaultRowHeight="12.75"/>
  <cols>
    <col width="22" customWidth="1" style="104" min="1" max="1"/>
    <col width="10" customWidth="1" style="104" min="2" max="2"/>
    <col width="14" customWidth="1" style="104" min="3" max="3"/>
    <col width="10" customWidth="1" style="104" min="4" max="4"/>
    <col width="12" customWidth="1" style="104" min="5" max="5"/>
    <col width="16" customWidth="1" style="104" min="6" max="6"/>
    <col width="34" customWidth="1" style="104" min="7" max="7"/>
    <col width="18" customWidth="1" style="104" min="8" max="8"/>
  </cols>
  <sheetData>
    <row r="1" ht="14.25" customHeight="1" s="97">
      <c r="A1" s="109" t="inlineStr">
        <is>
          <t>SUBGROUP OVERRIDES TABLE</t>
        </is>
      </c>
    </row>
    <row r="3" ht="14.25" customHeight="1" s="97">
      <c r="A3" s="109" t="inlineStr">
        <is>
          <t>Policy: Conservative Bound (γ_subgroup = 1.5)</t>
        </is>
      </c>
    </row>
    <row r="4" ht="14.25" customHeight="1" s="97">
      <c r="A4" s="96" t="inlineStr">
        <is>
          <t>I_rights = max(-1, γ × I_prop) when no override</t>
        </is>
      </c>
    </row>
    <row r="5" ht="14.25" customHeight="1" s="97">
      <c r="A5" s="96" t="inlineStr">
        <is>
          <t>Applies only for NCRC, not RLS</t>
        </is>
      </c>
    </row>
    <row r="6" ht="14.25" customHeight="1" s="97">
      <c r="A6" s="96" t="n"/>
    </row>
    <row r="7" ht="14.25" customHeight="1" s="97">
      <c r="A7" s="96" t="inlineStr">
        <is>
          <t>γ_subgroup:</t>
        </is>
      </c>
      <c r="B7" s="96" t="n">
        <v>1.5</v>
      </c>
    </row>
    <row r="8" ht="14.25" customHeight="1" s="97">
      <c r="A8" s="96" t="n"/>
    </row>
    <row r="9" ht="14.25" customHeight="1" s="97">
      <c r="A9" s="109" t="inlineStr">
        <is>
          <t>OVERRIDE DATA TABLE</t>
        </is>
      </c>
    </row>
    <row r="10" ht="14.25" customHeight="1" s="97">
      <c r="A10" s="109" t="inlineStr">
        <is>
          <t>Override_ID</t>
        </is>
      </c>
      <c r="B10" s="109" t="inlineStr">
        <is>
          <t>Option</t>
        </is>
      </c>
      <c r="C10" s="109" t="inlineStr">
        <is>
          <t>Rights_Cell</t>
        </is>
      </c>
      <c r="D10" s="109" t="inlineStr">
        <is>
          <t>Union Scope</t>
        </is>
      </c>
      <c r="E10" s="109" t="inlineStr">
        <is>
          <t>Dimension</t>
        </is>
      </c>
      <c r="F10" s="109" t="inlineStr">
        <is>
          <t>Worst_Off_Impact</t>
        </is>
      </c>
      <c r="G10" s="109" t="inlineStr">
        <is>
          <t>Source</t>
        </is>
      </c>
      <c r="H10" s="109" t="inlineStr">
        <is>
          <t>Override_Key</t>
        </is>
      </c>
    </row>
    <row r="11" ht="14.25" customHeight="1" s="97">
      <c r="A11" s="96" t="n"/>
      <c r="H11" s="104">
        <f>IF(OR($B11="",$D11="",$E11=""),"",$B11&amp;"|"&amp;$D11&amp;"|"&amp;$E11)</f>
        <v/>
      </c>
    </row>
    <row r="12" ht="14.25" customHeight="1" s="97">
      <c r="A12" s="109" t="n"/>
      <c r="H12" s="104">
        <f>IF(OR($B12="",$D12="",$E12=""),"",$B12&amp;"|"&amp;$D12&amp;"|"&amp;$E12)</f>
        <v/>
      </c>
    </row>
    <row r="13" ht="14.25" customHeight="1" s="97">
      <c r="A13" s="109" t="n"/>
      <c r="B13" s="109" t="n"/>
      <c r="C13" s="109" t="n"/>
      <c r="D13" s="109" t="n"/>
      <c r="E13" s="109" t="n"/>
      <c r="F13" s="109" t="n"/>
      <c r="G13" s="109" t="n"/>
      <c r="H13" s="180">
        <f>IF(OR($B13="",$D13="",$E13=""),"",$B13&amp;"|"&amp;$D13&amp;"|"&amp;$E13)</f>
        <v/>
      </c>
    </row>
    <row r="14" ht="14.25" customHeight="1" s="97">
      <c r="A14" s="109" t="inlineStr">
        <is>
          <t>COMPUTED STATUS</t>
        </is>
      </c>
      <c r="H14" s="104">
        <f>IF(OR($B14="",$D14="",$E14=""),"",$B14&amp;"|"&amp;$D14&amp;"|"&amp;$E14)</f>
        <v/>
      </c>
    </row>
    <row r="15" ht="14.25" customHeight="1" s="97">
      <c r="A15" s="96" t="inlineStr">
        <is>
          <t>Data range:</t>
        </is>
      </c>
      <c r="B15" s="96" t="inlineStr">
        <is>
          <t>F11:F100</t>
        </is>
      </c>
      <c r="H15" s="104">
        <f>IF(OR($B15="",$D15="",$E15=""),"",$B15&amp;"|"&amp;$D15&amp;"|"&amp;$E15)</f>
        <v/>
      </c>
    </row>
    <row r="16" ht="14.25" customHeight="1" s="97">
      <c r="A16" s="109" t="inlineStr">
        <is>
          <t>Entry formula:</t>
        </is>
      </c>
      <c r="B16" s="96">
        <f>COUNT(F11:F100)</f>
        <v/>
      </c>
      <c r="H16" s="104">
        <f>IF(OR($B16="",$D16="",$E16=""),"",$B16&amp;"|"&amp;$D16&amp;"|"&amp;$E16)</f>
        <v/>
      </c>
    </row>
    <row r="17" ht="14.25" customHeight="1" s="97">
      <c r="A17" s="96" t="inlineStr">
        <is>
          <t>Valid entries:</t>
        </is>
      </c>
      <c r="B17" s="108">
        <f>COUNT(F11:F100)</f>
        <v/>
      </c>
      <c r="H17" s="104">
        <f>IF(OR($B17="",$D17="",$E17=""),"",$B17&amp;"|"&amp;$D17&amp;"|"&amp;$E17)</f>
        <v/>
      </c>
    </row>
    <row r="18" ht="14.25" customHeight="1" s="97">
      <c r="A18" s="96" t="inlineStr">
        <is>
          <t>OVERRIDES_TABLE_EMPTY:</t>
        </is>
      </c>
      <c r="B18" s="108">
        <f>IF(B17=0,"YES","NO")</f>
        <v/>
      </c>
      <c r="H18" s="104">
        <f>IF(OR($B18="",$D18="",$E18=""),"",$B18&amp;"|"&amp;$D18&amp;"|"&amp;$E18)</f>
        <v/>
      </c>
    </row>
    <row r="19" ht="14.25" customHeight="1" s="97">
      <c r="A19" s="96" t="inlineStr">
        <is>
          <t>SUBGROUP_LIMITATION (Audit_Flags):</t>
        </is>
      </c>
      <c r="B19" s="96">
        <f>Audit_Flags!B14</f>
        <v/>
      </c>
      <c r="H19" s="104">
        <f>IF(OR($B19="",$D19="",$E19=""),"",$B19&amp;"|"&amp;$D19&amp;"|"&amp;$E19)</f>
        <v/>
      </c>
    </row>
    <row r="20" ht="21.75" customHeight="1" s="97">
      <c r="A20" s="181" t="inlineStr">
        <is>
          <t>MITIGATION (Tier 2)</t>
        </is>
      </c>
      <c r="H20" s="104">
        <f>IF(OR($B20="",$D20="",$E20=""),"",$B20&amp;"|"&amp;$D20&amp;"|"&amp;$E20)</f>
        <v/>
      </c>
    </row>
    <row r="21" ht="21.75" customHeight="1" s="97">
      <c r="A21" s="181" t="inlineStr">
        <is>
          <t>• Conservative bound applied by default when no explicit override is recorded</t>
        </is>
      </c>
      <c r="H21" s="104">
        <f>IF(OR($B21="",$D21="",$E21=""),"",$B21&amp;"|"&amp;$D21&amp;"|"&amp;$E21)</f>
        <v/>
      </c>
    </row>
    <row r="22" ht="21.75" customHeight="1" s="97">
      <c r="A22" s="181" t="inlineStr">
        <is>
          <t>• REVIEW flag clears when override entries or subgroup analysis are present</t>
        </is>
      </c>
      <c r="H22" s="104">
        <f>IF(OR($B22="",$D22="",$E22=""),"",$B22&amp;"|"&amp;$D22&amp;"|"&amp;$E22)</f>
        <v/>
      </c>
    </row>
    <row r="23" ht="21.75" customHeight="1" s="97">
      <c r="A23" s="181" t="inlineStr">
        <is>
          <t>• Documented worst-off values in Subgroup_Analysis are bound through explicit override rows below</t>
        </is>
      </c>
      <c r="H23" s="104">
        <f>IF(OR($B23="",$D23="",$E23=""),"",$B23&amp;"|"&amp;$D23&amp;"|"&amp;$E23)</f>
        <v/>
      </c>
    </row>
    <row r="24" ht="14.25" customHeight="1" s="97">
      <c r="A24" s="96" t="inlineStr">
        <is>
          <t>OVR-01</t>
        </is>
      </c>
      <c r="B24" s="104" t="inlineStr">
        <is>
          <t>A</t>
        </is>
      </c>
      <c r="C24" s="104" t="inlineStr">
        <is>
          <t>U3-D3</t>
        </is>
      </c>
      <c r="D24" s="104" t="inlineStr">
        <is>
          <t>U3</t>
        </is>
      </c>
      <c r="E24" s="104" t="inlineStr">
        <is>
          <t>D3</t>
        </is>
      </c>
      <c r="F24" s="104" t="n">
        <v>-0.15</v>
      </c>
      <c r="G24" s="141" t="inlineStr">
        <is>
          <t>Subgroup_Analysis: new employees</t>
        </is>
      </c>
      <c r="H24" s="104">
        <f>IF(OR($B24="",$D24="",$E24=""),"",$B24&amp;"|"&amp;$D24&amp;"|"&amp;$E24)</f>
        <v/>
      </c>
    </row>
    <row r="25" ht="14.25" customHeight="1" s="97">
      <c r="A25" s="96" t="inlineStr">
        <is>
          <t>OVR-02</t>
        </is>
      </c>
      <c r="B25" s="104" t="inlineStr">
        <is>
          <t>A</t>
        </is>
      </c>
      <c r="C25" s="104" t="inlineStr">
        <is>
          <t>U4-D1</t>
        </is>
      </c>
      <c r="D25" s="104" t="inlineStr">
        <is>
          <t>U4</t>
        </is>
      </c>
      <c r="E25" s="104" t="inlineStr">
        <is>
          <t>D1</t>
        </is>
      </c>
      <c r="F25" s="104" t="n">
        <v>-0.3</v>
      </c>
      <c r="G25" s="141" t="inlineStr">
        <is>
          <t>Subgroup_Analysis: facilities dept</t>
        </is>
      </c>
      <c r="H25" s="104">
        <f>IF(OR($B25="",$D25="",$E25=""),"",$B25&amp;"|"&amp;$D25&amp;"|"&amp;$E25)</f>
        <v/>
      </c>
    </row>
    <row r="26" ht="14.25" customHeight="1" s="97">
      <c r="A26" s="96" t="inlineStr">
        <is>
          <t>OVR-03</t>
        </is>
      </c>
      <c r="B26" s="104" t="inlineStr">
        <is>
          <t>A</t>
        </is>
      </c>
      <c r="C26" s="104" t="inlineStr">
        <is>
          <t>U3-D1</t>
        </is>
      </c>
      <c r="D26" s="104" t="inlineStr">
        <is>
          <t>U3</t>
        </is>
      </c>
      <c r="E26" s="104" t="inlineStr">
        <is>
          <t>D1</t>
        </is>
      </c>
      <c r="F26" s="104" t="n">
        <v>-0.2</v>
      </c>
      <c r="G26" s="141" t="inlineStr">
        <is>
          <t>Subgroup_Analysis: local restaurants</t>
        </is>
      </c>
      <c r="H26" s="104">
        <f>IF(OR($B26="",$D26="",$E26=""),"",$B26&amp;"|"&amp;$D26&amp;"|"&amp;$E26)</f>
        <v/>
      </c>
    </row>
    <row r="27" ht="14.25" customHeight="1" s="97">
      <c r="A27" s="96" t="inlineStr">
        <is>
          <t>OVR-04</t>
        </is>
      </c>
      <c r="B27" s="104" t="inlineStr">
        <is>
          <t>B</t>
        </is>
      </c>
      <c r="C27" s="104" t="inlineStr">
        <is>
          <t>U1-D5</t>
        </is>
      </c>
      <c r="D27" s="104" t="inlineStr">
        <is>
          <t>U1</t>
        </is>
      </c>
      <c r="E27" s="104" t="inlineStr">
        <is>
          <t>D5</t>
        </is>
      </c>
      <c r="F27" s="104" t="n">
        <v>-0.15</v>
      </c>
      <c r="G27" s="141" t="inlineStr">
        <is>
          <t>Subgroup_Analysis: parents w/ young children</t>
        </is>
      </c>
      <c r="H27" s="104">
        <f>IF(OR($B27="",$D27="",$E27=""),"",$B27&amp;"|"&amp;$D27&amp;"|"&amp;$E27)</f>
        <v/>
      </c>
    </row>
    <row r="28" ht="14.25" customHeight="1" s="97">
      <c r="A28" s="96" t="inlineStr">
        <is>
          <t>OVR-05</t>
        </is>
      </c>
      <c r="B28" s="104" t="inlineStr">
        <is>
          <t>B</t>
        </is>
      </c>
      <c r="C28" s="104" t="inlineStr">
        <is>
          <t>U2-D1</t>
        </is>
      </c>
      <c r="D28" s="104" t="inlineStr">
        <is>
          <t>U2</t>
        </is>
      </c>
      <c r="E28" s="104" t="inlineStr">
        <is>
          <t>D1</t>
        </is>
      </c>
      <c r="F28" s="104" t="n">
        <v>-0.12</v>
      </c>
      <c r="G28" s="141" t="inlineStr">
        <is>
          <t>Subgroup_Analysis: long commuters</t>
        </is>
      </c>
      <c r="H28" s="104">
        <f>IF(OR($B28="",$D28="",$E28=""),"",$B28&amp;"|"&amp;$D28&amp;"|"&amp;$E28)</f>
        <v/>
      </c>
    </row>
    <row r="29" ht="14.25" customHeight="1" s="97">
      <c r="A29" s="96" t="inlineStr">
        <is>
          <t>OVR-06</t>
        </is>
      </c>
      <c r="B29" s="104" t="inlineStr">
        <is>
          <t>B</t>
        </is>
      </c>
      <c r="C29" s="104" t="inlineStr">
        <is>
          <t>U7-D7</t>
        </is>
      </c>
      <c r="D29" s="104" t="inlineStr">
        <is>
          <t>U7</t>
        </is>
      </c>
      <c r="E29" s="104" t="inlineStr">
        <is>
          <t>D7</t>
        </is>
      </c>
      <c r="F29" s="104" t="n">
        <v>-0.08</v>
      </c>
      <c r="G29" s="141" t="inlineStr">
        <is>
          <t>Subgroup_Analysis: urban air quality</t>
        </is>
      </c>
      <c r="H29" s="104">
        <f>IF(OR($B29="",$D29="",$E29=""),"",$B29&amp;"|"&amp;$D29&amp;"|"&amp;$E29)</f>
        <v/>
      </c>
    </row>
    <row r="30" ht="14.25" customHeight="1" s="97">
      <c r="A30" s="96" t="n"/>
      <c r="H30" s="104">
        <f>IF(OR($B30="",$D30="",$E30=""),"",$B30&amp;"|"&amp;$D30&amp;"|"&amp;$E30)</f>
        <v/>
      </c>
    </row>
    <row r="31" ht="14.25" customHeight="1" s="97">
      <c r="A31" s="96" t="n"/>
      <c r="H31" s="104">
        <f>IF(OR($B31="",$D31="",$E31=""),"",$B31&amp;"|"&amp;$D31&amp;"|"&amp;$E31)</f>
        <v/>
      </c>
    </row>
    <row r="32" ht="14.25" customHeight="1" s="97">
      <c r="A32" s="96" t="n"/>
      <c r="H32" s="104">
        <f>IF(OR($B32="",$D32="",$E32=""),"",$B32&amp;"|"&amp;$D32&amp;"|"&amp;$E32)</f>
        <v/>
      </c>
    </row>
    <row r="33" ht="14.25" customHeight="1" s="97">
      <c r="A33" s="96" t="n"/>
      <c r="H33" s="104">
        <f>IF(OR($B33="",$D33="",$E33=""),"",$B33&amp;"|"&amp;$D33&amp;"|"&amp;$E33)</f>
        <v/>
      </c>
    </row>
    <row r="34" ht="14.25" customHeight="1" s="97">
      <c r="A34" s="96" t="n"/>
      <c r="H34" s="104">
        <f>IF(OR($B34="",$D34="",$E34=""),"",$B34&amp;"|"&amp;$D34&amp;"|"&amp;$E34)</f>
        <v/>
      </c>
    </row>
    <row r="35" ht="14.25" customHeight="1" s="97">
      <c r="A35" s="96" t="n"/>
      <c r="H35" s="104">
        <f>IF(OR($B35="",$D35="",$E35=""),"",$B35&amp;"|"&amp;$D35&amp;"|"&amp;$E35)</f>
        <v/>
      </c>
    </row>
    <row r="36" ht="14.25" customHeight="1" s="97">
      <c r="A36" s="96" t="n"/>
      <c r="H36" s="104">
        <f>IF(OR($B36="",$D36="",$E36=""),"",$B36&amp;"|"&amp;$D36&amp;"|"&amp;$E36)</f>
        <v/>
      </c>
    </row>
    <row r="37" ht="14.25" customHeight="1" s="97">
      <c r="A37" s="96" t="n"/>
      <c r="H37" s="104">
        <f>IF(OR($B37="",$D37="",$E37=""),"",$B37&amp;"|"&amp;$D37&amp;"|"&amp;$E37)</f>
        <v/>
      </c>
    </row>
    <row r="38" ht="14.25" customHeight="1" s="97">
      <c r="A38" s="96" t="n"/>
      <c r="H38" s="104">
        <f>IF(OR($B38="",$D38="",$E38=""),"",$B38&amp;"|"&amp;$D38&amp;"|"&amp;$E38)</f>
        <v/>
      </c>
    </row>
    <row r="39" ht="14.25" customHeight="1" s="97">
      <c r="A39" s="96" t="n"/>
      <c r="H39" s="104">
        <f>IF(OR($B39="",$D39="",$E39=""),"",$B39&amp;"|"&amp;$D39&amp;"|"&amp;$E39)</f>
        <v/>
      </c>
    </row>
    <row r="40" ht="14.25" customHeight="1" s="97">
      <c r="A40" s="96" t="n"/>
      <c r="H40" s="104">
        <f>IF(OR($B40="",$D40="",$E40=""),"",$B40&amp;"|"&amp;$D40&amp;"|"&amp;$E40)</f>
        <v/>
      </c>
    </row>
    <row r="41" ht="14.25" customHeight="1" s="97">
      <c r="A41" s="96" t="n"/>
      <c r="H41" s="104">
        <f>IF(OR($B41="",$D41="",$E41=""),"",$B41&amp;"|"&amp;$D41&amp;"|"&amp;$E41)</f>
        <v/>
      </c>
    </row>
    <row r="42" ht="14.25" customHeight="1" s="97">
      <c r="A42" s="96" t="n"/>
      <c r="H42" s="104">
        <f>IF(OR($B42="",$D42="",$E42=""),"",$B42&amp;"|"&amp;$D42&amp;"|"&amp;$E42)</f>
        <v/>
      </c>
    </row>
    <row r="43" ht="14.25" customHeight="1" s="97">
      <c r="A43" s="96" t="n"/>
      <c r="H43" s="104">
        <f>IF(OR($B43="",$D43="",$E43=""),"",$B43&amp;"|"&amp;$D43&amp;"|"&amp;$E43)</f>
        <v/>
      </c>
    </row>
    <row r="44" ht="14.25" customHeight="1" s="97">
      <c r="A44" s="96" t="n"/>
      <c r="H44" s="104">
        <f>IF(OR($B44="",$D44="",$E44=""),"",$B44&amp;"|"&amp;$D44&amp;"|"&amp;$E44)</f>
        <v/>
      </c>
    </row>
    <row r="45" ht="14.25" customHeight="1" s="97">
      <c r="A45" s="96" t="n"/>
      <c r="H45" s="104">
        <f>IF(OR($B45="",$D45="",$E45=""),"",$B45&amp;"|"&amp;$D45&amp;"|"&amp;$E45)</f>
        <v/>
      </c>
    </row>
    <row r="46" ht="14.25" customHeight="1" s="97">
      <c r="A46" s="96" t="n"/>
      <c r="H46" s="104">
        <f>IF(OR($B46="",$D46="",$E46=""),"",$B46&amp;"|"&amp;$D46&amp;"|"&amp;$E46)</f>
        <v/>
      </c>
    </row>
    <row r="47" ht="14.25" customHeight="1" s="97">
      <c r="A47" s="96" t="n"/>
      <c r="H47" s="104">
        <f>IF(OR($B47="",$D47="",$E47=""),"",$B47&amp;"|"&amp;$D47&amp;"|"&amp;$E47)</f>
        <v/>
      </c>
    </row>
    <row r="48" ht="14.25" customHeight="1" s="97">
      <c r="A48" s="96" t="n"/>
      <c r="H48" s="104">
        <f>IF(OR($B48="",$D48="",$E48=""),"",$B48&amp;"|"&amp;$D48&amp;"|"&amp;$E48)</f>
        <v/>
      </c>
    </row>
    <row r="49" ht="14.25" customHeight="1" s="97">
      <c r="A49" s="96" t="n"/>
      <c r="H49" s="104">
        <f>IF(OR($B49="",$D49="",$E49=""),"",$B49&amp;"|"&amp;$D49&amp;"|"&amp;$E49)</f>
        <v/>
      </c>
    </row>
    <row r="50" ht="14.25" customHeight="1" s="97">
      <c r="A50" s="96" t="n"/>
      <c r="H50" s="104">
        <f>IF(OR($B50="",$D50="",$E50=""),"",$B50&amp;"|"&amp;$D50&amp;"|"&amp;$E50)</f>
        <v/>
      </c>
    </row>
    <row r="51" ht="14.25" customHeight="1" s="97">
      <c r="A51" s="96" t="n"/>
      <c r="H51" s="104">
        <f>IF(OR($B51="",$D51="",$E51=""),"",$B51&amp;"|"&amp;$D51&amp;"|"&amp;$E51)</f>
        <v/>
      </c>
    </row>
    <row r="52" ht="14.25" customHeight="1" s="97">
      <c r="A52" s="96" t="n"/>
      <c r="H52" s="104">
        <f>IF(OR($B52="",$D52="",$E52=""),"",$B52&amp;"|"&amp;$D52&amp;"|"&amp;$E52)</f>
        <v/>
      </c>
    </row>
    <row r="53" ht="14.25" customHeight="1" s="97">
      <c r="A53" s="96" t="n"/>
      <c r="H53" s="104">
        <f>IF(OR($B53="",$D53="",$E53=""),"",$B53&amp;"|"&amp;$D53&amp;"|"&amp;$E53)</f>
        <v/>
      </c>
    </row>
    <row r="54" ht="14.25" customHeight="1" s="97">
      <c r="A54" s="96" t="n"/>
      <c r="H54" s="104">
        <f>IF(OR($B54="",$D54="",$E54=""),"",$B54&amp;"|"&amp;$D54&amp;"|"&amp;$E54)</f>
        <v/>
      </c>
    </row>
    <row r="55" ht="14.25" customHeight="1" s="97">
      <c r="A55" s="96" t="n"/>
      <c r="H55" s="104">
        <f>IF(OR($B55="",$D55="",$E55=""),"",$B55&amp;"|"&amp;$D55&amp;"|"&amp;$E55)</f>
        <v/>
      </c>
    </row>
    <row r="56" ht="14.25" customHeight="1" s="97">
      <c r="A56" s="96" t="n"/>
      <c r="H56" s="104">
        <f>IF(OR($B56="",$D56="",$E56=""),"",$B56&amp;"|"&amp;$D56&amp;"|"&amp;$E56)</f>
        <v/>
      </c>
    </row>
    <row r="57" ht="14.25" customHeight="1" s="97">
      <c r="A57" s="96" t="n"/>
      <c r="H57" s="104">
        <f>IF(OR($B57="",$D57="",$E57=""),"",$B57&amp;"|"&amp;$D57&amp;"|"&amp;$E57)</f>
        <v/>
      </c>
    </row>
    <row r="58" ht="14.25" customHeight="1" s="97">
      <c r="A58" s="96" t="n"/>
      <c r="H58" s="104">
        <f>IF(OR($B58="",$D58="",$E58=""),"",$B58&amp;"|"&amp;$D58&amp;"|"&amp;$E58)</f>
        <v/>
      </c>
    </row>
    <row r="59" ht="14.25" customHeight="1" s="97">
      <c r="A59" s="96" t="n"/>
      <c r="H59" s="104">
        <f>IF(OR($B59="",$D59="",$E59=""),"",$B59&amp;"|"&amp;$D59&amp;"|"&amp;$E59)</f>
        <v/>
      </c>
    </row>
    <row r="60" ht="14.25" customHeight="1" s="97">
      <c r="A60" s="96" t="n"/>
      <c r="H60" s="104">
        <f>IF(OR($B60="",$D60="",$E60=""),"",$B60&amp;"|"&amp;$D60&amp;"|"&amp;$E60)</f>
        <v/>
      </c>
    </row>
    <row r="61" ht="14.25" customHeight="1" s="97">
      <c r="A61" s="96" t="n"/>
      <c r="H61" s="104">
        <f>IF(OR($B61="",$D61="",$E61=""),"",$B61&amp;"|"&amp;$D61&amp;"|"&amp;$E61)</f>
        <v/>
      </c>
    </row>
    <row r="62" ht="14.25" customHeight="1" s="97">
      <c r="A62" s="96" t="n"/>
      <c r="H62" s="104">
        <f>IF(OR($B62="",$D62="",$E62=""),"",$B62&amp;"|"&amp;$D62&amp;"|"&amp;$E62)</f>
        <v/>
      </c>
    </row>
    <row r="63" ht="14.25" customHeight="1" s="97">
      <c r="A63" s="96" t="n"/>
      <c r="H63" s="104">
        <f>IF(OR($B63="",$D63="",$E63=""),"",$B63&amp;"|"&amp;$D63&amp;"|"&amp;$E63)</f>
        <v/>
      </c>
    </row>
    <row r="64" ht="14.25" customHeight="1" s="97">
      <c r="A64" s="96" t="n"/>
      <c r="H64" s="104">
        <f>IF(OR($B64="",$D64="",$E64=""),"",$B64&amp;"|"&amp;$D64&amp;"|"&amp;$E64)</f>
        <v/>
      </c>
    </row>
    <row r="65" ht="14.25" customHeight="1" s="97">
      <c r="A65" s="96" t="n"/>
      <c r="H65" s="104">
        <f>IF(OR($B65="",$D65="",$E65=""),"",$B65&amp;"|"&amp;$D65&amp;"|"&amp;$E65)</f>
        <v/>
      </c>
    </row>
    <row r="66" ht="14.25" customHeight="1" s="97">
      <c r="A66" s="96" t="n"/>
      <c r="H66" s="104">
        <f>IF(OR($B66="",$D66="",$E66=""),"",$B66&amp;"|"&amp;$D66&amp;"|"&amp;$E66)</f>
        <v/>
      </c>
    </row>
    <row r="67" ht="14.25" customHeight="1" s="97">
      <c r="A67" s="96" t="n"/>
      <c r="H67" s="104">
        <f>IF(OR($B67="",$D67="",$E67=""),"",$B67&amp;"|"&amp;$D67&amp;"|"&amp;$E67)</f>
        <v/>
      </c>
    </row>
    <row r="68" ht="14.25" customHeight="1" s="97">
      <c r="A68" s="96" t="n"/>
      <c r="H68" s="104">
        <f>IF(OR($B68="",$D68="",$E68=""),"",$B68&amp;"|"&amp;$D68&amp;"|"&amp;$E68)</f>
        <v/>
      </c>
    </row>
    <row r="69" ht="14.25" customHeight="1" s="97">
      <c r="A69" s="96" t="n"/>
      <c r="H69" s="104">
        <f>IF(OR($B69="",$D69="",$E69=""),"",$B69&amp;"|"&amp;$D69&amp;"|"&amp;$E69)</f>
        <v/>
      </c>
    </row>
    <row r="70" ht="14.25" customHeight="1" s="97">
      <c r="A70" s="96" t="n"/>
      <c r="H70" s="104">
        <f>IF(OR($B70="",$D70="",$E70=""),"",$B70&amp;"|"&amp;$D70&amp;"|"&amp;$E70)</f>
        <v/>
      </c>
    </row>
    <row r="71" ht="14.25" customHeight="1" s="97">
      <c r="A71" s="96" t="n"/>
      <c r="H71" s="104">
        <f>IF(OR($B71="",$D71="",$E71=""),"",$B71&amp;"|"&amp;$D71&amp;"|"&amp;$E71)</f>
        <v/>
      </c>
    </row>
    <row r="72" ht="14.25" customHeight="1" s="97">
      <c r="A72" s="96" t="n"/>
      <c r="H72" s="104">
        <f>IF(OR($B72="",$D72="",$E72=""),"",$B72&amp;"|"&amp;$D72&amp;"|"&amp;$E72)</f>
        <v/>
      </c>
    </row>
    <row r="73" ht="14.25" customHeight="1" s="97">
      <c r="A73" s="96" t="n"/>
      <c r="H73" s="104">
        <f>IF(OR($B73="",$D73="",$E73=""),"",$B73&amp;"|"&amp;$D73&amp;"|"&amp;$E73)</f>
        <v/>
      </c>
    </row>
    <row r="74" ht="14.25" customHeight="1" s="97">
      <c r="A74" s="96" t="n"/>
      <c r="H74" s="104">
        <f>IF(OR($B74="",$D74="",$E74=""),"",$B74&amp;"|"&amp;$D74&amp;"|"&amp;$E74)</f>
        <v/>
      </c>
    </row>
    <row r="75" ht="14.25" customHeight="1" s="97">
      <c r="A75" s="96" t="n"/>
      <c r="H75" s="104">
        <f>IF(OR($B75="",$D75="",$E75=""),"",$B75&amp;"|"&amp;$D75&amp;"|"&amp;$E75)</f>
        <v/>
      </c>
    </row>
    <row r="76" ht="14.25" customHeight="1" s="97">
      <c r="A76" s="96" t="n"/>
      <c r="H76" s="104">
        <f>IF(OR($B76="",$D76="",$E76=""),"",$B76&amp;"|"&amp;$D76&amp;"|"&amp;$E76)</f>
        <v/>
      </c>
    </row>
    <row r="77" ht="14.25" customHeight="1" s="97">
      <c r="A77" s="96" t="n"/>
      <c r="H77" s="104">
        <f>IF(OR($B77="",$D77="",$E77=""),"",$B77&amp;"|"&amp;$D77&amp;"|"&amp;$E77)</f>
        <v/>
      </c>
    </row>
    <row r="78" ht="14.25" customHeight="1" s="97">
      <c r="A78" s="96" t="n"/>
      <c r="H78" s="104">
        <f>IF(OR($B78="",$D78="",$E78=""),"",$B78&amp;"|"&amp;$D78&amp;"|"&amp;$E78)</f>
        <v/>
      </c>
    </row>
    <row r="79" ht="14.25" customHeight="1" s="97">
      <c r="A79" s="96" t="n"/>
      <c r="H79" s="104">
        <f>IF(OR($B79="",$D79="",$E79=""),"",$B79&amp;"|"&amp;$D79&amp;"|"&amp;$E79)</f>
        <v/>
      </c>
    </row>
    <row r="80" ht="14.25" customHeight="1" s="97">
      <c r="A80" s="96" t="n"/>
      <c r="H80" s="104">
        <f>IF(OR($B80="",$D80="",$E80=""),"",$B80&amp;"|"&amp;$D80&amp;"|"&amp;$E80)</f>
        <v/>
      </c>
    </row>
    <row r="81" ht="14.25" customHeight="1" s="97">
      <c r="A81" s="96" t="n"/>
      <c r="H81" s="104">
        <f>IF(OR($B81="",$D81="",$E81=""),"",$B81&amp;"|"&amp;$D81&amp;"|"&amp;$E81)</f>
        <v/>
      </c>
    </row>
    <row r="82" ht="14.25" customHeight="1" s="97">
      <c r="A82" s="96" t="n"/>
      <c r="H82" s="104">
        <f>IF(OR($B82="",$D82="",$E82=""),"",$B82&amp;"|"&amp;$D82&amp;"|"&amp;$E82)</f>
        <v/>
      </c>
    </row>
    <row r="83" ht="14.25" customHeight="1" s="97">
      <c r="A83" s="96" t="n"/>
      <c r="H83" s="104">
        <f>IF(OR($B83="",$D83="",$E83=""),"",$B83&amp;"|"&amp;$D83&amp;"|"&amp;$E83)</f>
        <v/>
      </c>
    </row>
    <row r="84" ht="14.25" customHeight="1" s="97">
      <c r="A84" s="96" t="n"/>
      <c r="H84" s="104">
        <f>IF(OR($B84="",$D84="",$E84=""),"",$B84&amp;"|"&amp;$D84&amp;"|"&amp;$E84)</f>
        <v/>
      </c>
    </row>
    <row r="85" ht="14.25" customHeight="1" s="97">
      <c r="A85" s="96" t="n"/>
      <c r="H85" s="104">
        <f>IF(OR($B85="",$D85="",$E85=""),"",$B85&amp;"|"&amp;$D85&amp;"|"&amp;$E85)</f>
        <v/>
      </c>
    </row>
    <row r="86" ht="14.25" customHeight="1" s="97">
      <c r="A86" s="96" t="n"/>
      <c r="H86" s="104">
        <f>IF(OR($B86="",$D86="",$E86=""),"",$B86&amp;"|"&amp;$D86&amp;"|"&amp;$E86)</f>
        <v/>
      </c>
    </row>
    <row r="87" ht="14.25" customHeight="1" s="97">
      <c r="A87" s="96" t="n"/>
      <c r="H87" s="104">
        <f>IF(OR($B87="",$D87="",$E87=""),"",$B87&amp;"|"&amp;$D87&amp;"|"&amp;$E87)</f>
        <v/>
      </c>
    </row>
    <row r="88" ht="14.25" customHeight="1" s="97">
      <c r="A88" s="96" t="n"/>
      <c r="H88" s="104">
        <f>IF(OR($B88="",$D88="",$E88=""),"",$B88&amp;"|"&amp;$D88&amp;"|"&amp;$E88)</f>
        <v/>
      </c>
    </row>
    <row r="89" ht="14.25" customHeight="1" s="97">
      <c r="A89" s="96" t="n"/>
      <c r="H89" s="104">
        <f>IF(OR($B89="",$D89="",$E89=""),"",$B89&amp;"|"&amp;$D89&amp;"|"&amp;$E89)</f>
        <v/>
      </c>
    </row>
    <row r="90" ht="14.25" customHeight="1" s="97">
      <c r="A90" s="96" t="n"/>
      <c r="H90" s="104">
        <f>IF(OR($B90="",$D90="",$E90=""),"",$B90&amp;"|"&amp;$D90&amp;"|"&amp;$E90)</f>
        <v/>
      </c>
    </row>
    <row r="91" ht="14.25" customHeight="1" s="97">
      <c r="A91" s="96" t="n"/>
      <c r="H91" s="104">
        <f>IF(OR($B91="",$D91="",$E91=""),"",$B91&amp;"|"&amp;$D91&amp;"|"&amp;$E91)</f>
        <v/>
      </c>
    </row>
    <row r="92" ht="14.25" customHeight="1" s="97">
      <c r="A92" s="96" t="n"/>
      <c r="H92" s="104">
        <f>IF(OR($B92="",$D92="",$E92=""),"",$B92&amp;"|"&amp;$D92&amp;"|"&amp;$E92)</f>
        <v/>
      </c>
    </row>
    <row r="93" ht="14.25" customHeight="1" s="97">
      <c r="A93" s="96" t="n"/>
      <c r="H93" s="104">
        <f>IF(OR($B93="",$D93="",$E93=""),"",$B93&amp;"|"&amp;$D93&amp;"|"&amp;$E93)</f>
        <v/>
      </c>
    </row>
    <row r="94" ht="14.25" customHeight="1" s="97">
      <c r="A94" s="96" t="n"/>
      <c r="H94" s="104">
        <f>IF(OR($B94="",$D94="",$E94=""),"",$B94&amp;"|"&amp;$D94&amp;"|"&amp;$E94)</f>
        <v/>
      </c>
    </row>
    <row r="95" ht="14.25" customHeight="1" s="97">
      <c r="A95" s="96" t="n"/>
      <c r="H95" s="104">
        <f>IF(OR($B95="",$D95="",$E95=""),"",$B95&amp;"|"&amp;$D95&amp;"|"&amp;$E95)</f>
        <v/>
      </c>
    </row>
    <row r="96" ht="14.25" customHeight="1" s="97">
      <c r="A96" s="96" t="n"/>
      <c r="H96" s="104">
        <f>IF(OR($B96="",$D96="",$E96=""),"",$B96&amp;"|"&amp;$D96&amp;"|"&amp;$E96)</f>
        <v/>
      </c>
    </row>
    <row r="97" ht="14.25" customHeight="1" s="97">
      <c r="A97" s="96" t="n"/>
      <c r="H97" s="104">
        <f>IF(OR($B97="",$D97="",$E97=""),"",$B97&amp;"|"&amp;$D97&amp;"|"&amp;$E97)</f>
        <v/>
      </c>
    </row>
    <row r="98" ht="14.25" customHeight="1" s="97">
      <c r="A98" s="96" t="n"/>
      <c r="H98" s="104">
        <f>IF(OR($B98="",$D98="",$E98=""),"",$B98&amp;"|"&amp;$D98&amp;"|"&amp;$E98)</f>
        <v/>
      </c>
    </row>
    <row r="99" ht="14.25" customHeight="1" s="97">
      <c r="A99" s="96" t="n"/>
      <c r="H99" s="104">
        <f>IF(OR($B99="",$D99="",$E99=""),"",$B99&amp;"|"&amp;$D99&amp;"|"&amp;$E99)</f>
        <v/>
      </c>
    </row>
    <row r="100" ht="14.25" customHeight="1" s="97">
      <c r="A100" s="96" t="n"/>
      <c r="H100" s="104">
        <f>IF(OR($B100="",$D100="",$E100=""),"",$B100&amp;"|"&amp;$D100&amp;"|"&amp;$E100)</f>
        <v/>
      </c>
    </row>
    <row r="101" ht="14.25" customHeight="1" s="97">
      <c r="A101" s="96" t="n"/>
    </row>
    <row r="102" ht="14.25" customHeight="1" s="97">
      <c r="A102" s="96" t="n"/>
    </row>
    <row r="103" ht="14.25" customHeight="1" s="97">
      <c r="A103" s="96" t="n"/>
    </row>
    <row r="104" ht="14.25" customHeight="1" s="97">
      <c r="A104" s="96" t="n"/>
    </row>
    <row r="105" ht="14.25" customHeight="1" s="97">
      <c r="A105" s="96" t="n"/>
    </row>
    <row r="106" ht="14.25" customHeight="1" s="97">
      <c r="A106" s="96" t="n"/>
    </row>
    <row r="107" ht="14.25" customHeight="1" s="97">
      <c r="A107" s="96" t="n"/>
    </row>
    <row r="108" ht="14.25" customHeight="1" s="97">
      <c r="A108" s="96" t="n"/>
    </row>
    <row r="109" ht="14.25" customHeight="1" s="97">
      <c r="A109" s="96" t="n"/>
    </row>
    <row r="110" ht="14.25" customHeight="1" s="97">
      <c r="A110" s="96" t="n"/>
    </row>
    <row r="111" ht="14.25" customHeight="1" s="97">
      <c r="A111" s="96" t="n"/>
    </row>
    <row r="112" ht="14.25" customHeight="1" s="97">
      <c r="A112" s="96" t="n"/>
    </row>
    <row r="113" ht="14.25" customHeight="1" s="97">
      <c r="A113" s="96" t="n"/>
    </row>
    <row r="114" ht="14.25" customHeight="1" s="97">
      <c r="A114" s="96" t="n"/>
    </row>
    <row r="115" ht="14.25" customHeight="1" s="97">
      <c r="A115" s="96" t="n"/>
    </row>
    <row r="116" ht="14.25" customHeight="1" s="97">
      <c r="A116" s="96" t="n"/>
    </row>
    <row r="117" ht="14.25" customHeight="1" s="97">
      <c r="A117" s="96" t="n"/>
    </row>
    <row r="118" ht="14.25" customHeight="1" s="97">
      <c r="A118" s="96" t="n"/>
    </row>
    <row r="119" ht="14.25" customHeight="1" s="97">
      <c r="A119" s="96" t="n"/>
    </row>
    <row r="120" ht="14.25" customHeight="1" s="97">
      <c r="A120" s="96" t="n"/>
    </row>
    <row r="121" ht="14.25" customHeight="1" s="97">
      <c r="A121" s="96" t="n"/>
    </row>
    <row r="122" ht="14.25" customHeight="1" s="97">
      <c r="A122" s="96" t="n"/>
    </row>
    <row r="123" ht="14.25" customHeight="1" s="97">
      <c r="A123" s="96" t="n"/>
    </row>
    <row r="124" ht="14.25" customHeight="1" s="97">
      <c r="A124" s="96" t="n"/>
    </row>
    <row r="125" ht="14.25" customHeight="1" s="97">
      <c r="A125" s="96" t="n"/>
    </row>
    <row r="126" ht="14.25" customHeight="1" s="97">
      <c r="A126" s="96" t="n"/>
    </row>
    <row r="127" ht="14.25" customHeight="1" s="97">
      <c r="A127" s="96" t="n"/>
    </row>
    <row r="128" ht="14.25" customHeight="1" s="97">
      <c r="A128" s="96" t="n"/>
    </row>
    <row r="129" ht="14.25" customHeight="1" s="97">
      <c r="A129" s="96" t="n"/>
    </row>
    <row r="130" ht="14.25" customHeight="1" s="97">
      <c r="A130" s="96" t="n"/>
    </row>
    <row r="131" ht="14.25" customHeight="1" s="97">
      <c r="A131" s="96" t="n"/>
    </row>
    <row r="132" ht="14.25" customHeight="1" s="97">
      <c r="A132" s="96" t="n"/>
    </row>
    <row r="133" ht="14.25" customHeight="1" s="97">
      <c r="A133" s="96" t="n"/>
    </row>
    <row r="134" ht="14.25" customHeight="1" s="97">
      <c r="A134" s="96" t="n"/>
    </row>
    <row r="135" ht="14.25" customHeight="1" s="97">
      <c r="A135" s="96" t="n"/>
    </row>
    <row r="136" ht="14.25" customHeight="1" s="97">
      <c r="A136" s="96" t="n"/>
    </row>
    <row r="137" ht="14.25" customHeight="1" s="97">
      <c r="A137" s="96" t="n"/>
    </row>
    <row r="138" ht="14.25" customHeight="1" s="97">
      <c r="A138" s="96" t="n"/>
    </row>
    <row r="139" ht="14.25" customHeight="1" s="97">
      <c r="A139" s="96" t="n"/>
    </row>
    <row r="140" ht="14.25" customHeight="1" s="97">
      <c r="A140" s="96" t="n"/>
    </row>
    <row r="141" ht="14.25" customHeight="1" s="97">
      <c r="A141" s="96" t="n"/>
    </row>
    <row r="142" ht="14.25" customHeight="1" s="97">
      <c r="A142" s="96" t="n"/>
    </row>
    <row r="143" ht="14.25" customHeight="1" s="97">
      <c r="A143" s="96" t="n"/>
    </row>
    <row r="144" ht="14.25" customHeight="1" s="97">
      <c r="A144" s="96" t="n"/>
    </row>
    <row r="145" ht="14.25" customHeight="1" s="97">
      <c r="A145" s="96" t="n"/>
    </row>
    <row r="146" ht="14.25" customHeight="1" s="97">
      <c r="A146" s="96" t="n"/>
    </row>
    <row r="147" ht="14.25" customHeight="1" s="97">
      <c r="A147" s="96" t="n"/>
    </row>
    <row r="148" ht="14.25" customHeight="1" s="97">
      <c r="A148" s="96" t="n"/>
    </row>
    <row r="149" ht="14.25" customHeight="1" s="97">
      <c r="A149" s="96" t="n"/>
    </row>
    <row r="150" ht="14.25" customHeight="1" s="97">
      <c r="A150" s="96" t="n"/>
    </row>
    <row r="151" ht="14.25" customHeight="1" s="97">
      <c r="A151" s="96" t="n"/>
    </row>
    <row r="152" ht="14.25" customHeight="1" s="97">
      <c r="A152" s="96" t="n"/>
    </row>
    <row r="153" ht="14.25" customHeight="1" s="97">
      <c r="A153" s="96" t="n"/>
    </row>
    <row r="154" ht="14.25" customHeight="1" s="97">
      <c r="A154" s="96" t="n"/>
    </row>
    <row r="155" ht="14.25" customHeight="1" s="97">
      <c r="A155" s="96" t="n"/>
    </row>
    <row r="156" ht="14.25" customHeight="1" s="97">
      <c r="A156" s="96" t="n"/>
    </row>
    <row r="157" ht="14.25" customHeight="1" s="97">
      <c r="A157" s="96" t="n"/>
    </row>
    <row r="158" ht="14.25" customHeight="1" s="97">
      <c r="A158" s="96" t="n"/>
    </row>
    <row r="159" ht="14.25" customHeight="1" s="97">
      <c r="A159" s="96" t="n"/>
    </row>
    <row r="160" ht="14.25" customHeight="1" s="97">
      <c r="A160" s="96" t="n"/>
    </row>
    <row r="161" ht="14.25" customHeight="1" s="97">
      <c r="A161" s="96" t="n"/>
    </row>
    <row r="162" ht="14.25" customHeight="1" s="97">
      <c r="A162" s="96" t="n"/>
    </row>
    <row r="163" ht="14.25" customHeight="1" s="97">
      <c r="A163" s="96" t="n"/>
    </row>
    <row r="164" ht="14.25" customHeight="1" s="97">
      <c r="A164" s="96" t="n"/>
    </row>
    <row r="165" ht="14.25" customHeight="1" s="97">
      <c r="A165" s="96" t="n"/>
    </row>
    <row r="166" ht="14.25" customHeight="1" s="97">
      <c r="A166" s="96" t="n"/>
    </row>
    <row r="167" ht="14.25" customHeight="1" s="97">
      <c r="A167" s="96" t="n"/>
    </row>
    <row r="168" ht="14.25" customHeight="1" s="97">
      <c r="A168" s="96" t="n"/>
    </row>
    <row r="169" ht="14.25" customHeight="1" s="97">
      <c r="A169" s="96" t="n"/>
    </row>
    <row r="170" ht="14.25" customHeight="1" s="97">
      <c r="A170" s="96" t="n"/>
    </row>
    <row r="171" ht="14.25" customHeight="1" s="97">
      <c r="A171" s="96" t="n"/>
    </row>
    <row r="172" ht="14.25" customHeight="1" s="97">
      <c r="A172" s="96" t="n"/>
    </row>
    <row r="173" ht="14.25" customHeight="1" s="97">
      <c r="A173" s="96" t="n"/>
    </row>
    <row r="174" ht="14.25" customHeight="1" s="97">
      <c r="A174" s="96" t="n"/>
    </row>
    <row r="175" ht="14.25" customHeight="1" s="97">
      <c r="A175" s="96" t="n"/>
    </row>
    <row r="176" ht="14.25" customHeight="1" s="97">
      <c r="A176" s="96" t="n"/>
    </row>
    <row r="177" ht="14.25" customHeight="1" s="97">
      <c r="A177" s="96" t="n"/>
    </row>
    <row r="178" ht="14.25" customHeight="1" s="97">
      <c r="A178" s="96" t="n"/>
    </row>
    <row r="179" ht="14.25" customHeight="1" s="97">
      <c r="A179" s="96" t="n"/>
    </row>
    <row r="180" ht="14.25" customHeight="1" s="97">
      <c r="A180" s="96" t="n"/>
    </row>
    <row r="181" ht="14.25" customHeight="1" s="97">
      <c r="A181" s="96" t="n"/>
    </row>
    <row r="182" ht="14.25" customHeight="1" s="97">
      <c r="A182" s="96" t="n"/>
    </row>
    <row r="183" ht="14.25" customHeight="1" s="97">
      <c r="A183" s="96" t="n"/>
    </row>
    <row r="184" ht="14.25" customHeight="1" s="97">
      <c r="A184" s="96" t="n"/>
    </row>
    <row r="185" ht="14.25" customHeight="1" s="97">
      <c r="A185" s="96" t="n"/>
    </row>
    <row r="186" ht="14.25" customHeight="1" s="97">
      <c r="A186" s="96" t="n"/>
    </row>
    <row r="187" ht="14.25" customHeight="1" s="97">
      <c r="A187" s="96" t="n"/>
    </row>
    <row r="188" ht="14.25" customHeight="1" s="97">
      <c r="A188" s="96" t="n"/>
    </row>
    <row r="189" ht="14.25" customHeight="1" s="97">
      <c r="A189" s="96" t="n"/>
    </row>
    <row r="190" ht="14.25" customHeight="1" s="97">
      <c r="A190" s="96" t="n"/>
    </row>
    <row r="191" ht="14.25" customHeight="1" s="97">
      <c r="A191" s="96" t="n"/>
    </row>
    <row r="192" ht="14.25" customHeight="1" s="97">
      <c r="A192" s="96" t="n"/>
    </row>
    <row r="193" ht="14.25" customHeight="1" s="97">
      <c r="A193" s="96" t="n"/>
    </row>
    <row r="194" ht="14.25" customHeight="1" s="97">
      <c r="A194" s="96" t="n"/>
    </row>
    <row r="195" ht="14.25" customHeight="1" s="97">
      <c r="A195" s="96" t="n"/>
    </row>
    <row r="196" ht="14.25" customHeight="1" s="97">
      <c r="A196" s="96" t="n"/>
    </row>
    <row r="197" ht="14.25" customHeight="1" s="97">
      <c r="A197" s="96" t="n"/>
    </row>
    <row r="198" ht="14.25" customHeight="1" s="97">
      <c r="A198" s="96" t="n"/>
    </row>
    <row r="199" ht="14.25" customHeight="1" s="97">
      <c r="A199" s="96" t="n"/>
    </row>
    <row r="200" ht="14.25" customHeight="1" s="97">
      <c r="A200" s="96" t="n"/>
    </row>
  </sheetData>
  <dataValidations count="3">
    <dataValidation sqref="A5:A200" showDropDown="0" showInputMessage="0" showErrorMessage="0" allowBlank="1" type="list" errorStyle="stop" operator="equal">
      <formula1>"A,B,C,D,E"</formula1>
      <formula2>0</formula2>
    </dataValidation>
    <dataValidation sqref="B5:B200" showDropDown="0" showInputMessage="0" showErrorMessage="0" allowBlank="1" type="list" errorStyle="stop" operator="equal">
      <formula1>"U1,U2,U3,U4,U5,U6,U7"</formula1>
      <formula2>0</formula2>
    </dataValidation>
    <dataValidation sqref="C5:C200" showDropDown="0" showInputMessage="0" showErrorMessage="0" allowBlank="1" type="list" errorStyle="stop" operator="equal">
      <formula1>"D1,D2,D3,D4,D5,D6,D7"</formula1>
      <formula2>0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SGP INPUT INTERFACE</t>
        </is>
      </c>
    </row>
    <row r="2" ht="13.5" customHeight="1" s="97"/>
    <row r="3" ht="14.25" customHeight="1" s="97">
      <c r="A3" s="96" t="inlineStr">
        <is>
          <t>Reference: RippleLogic v9.6.4 Appendix G - Sentience Gradient Protocol Interface</t>
        </is>
      </c>
    </row>
    <row r="4" ht="14.25" customHeight="1" s="97">
      <c r="A4" s="96" t="inlineStr">
        <is>
          <t>SGP Version: 4.7.1</t>
        </is>
      </c>
    </row>
    <row r="5" ht="13.5" customHeight="1" s="97"/>
    <row r="6" ht="14.25" customHeight="1" s="97">
      <c r="A6" s="106" t="inlineStr">
        <is>
          <t>HUMAN PLATEAU RULE (Non-Overridable)</t>
        </is>
      </c>
    </row>
    <row r="7" ht="14.25" customHeight="1" s="97">
      <c r="A7" s="96" t="inlineStr">
        <is>
          <t>For any human person H: SG_norm(H) := 1.0</t>
        </is>
      </c>
    </row>
    <row r="8" ht="14.25" customHeight="1" s="97">
      <c r="A8" s="96" t="inlineStr">
        <is>
          <t>This is independent of measurement, disability, observability</t>
        </is>
      </c>
    </row>
    <row r="9" ht="14.25" customHeight="1" s="97">
      <c r="A9" s="96" t="inlineStr">
        <is>
          <t>MUST NOT be weakened by any weighting scheme</t>
        </is>
      </c>
    </row>
    <row r="10" ht="13.5" customHeight="1" s="97"/>
    <row r="11" ht="14.25" customHeight="1" s="97">
      <c r="A11" s="106" t="inlineStr">
        <is>
          <t>STAKEHOLDER s_k VALUES</t>
        </is>
      </c>
    </row>
    <row r="12" ht="14.25" customHeight="1" s="97">
      <c r="A12" s="106" t="inlineStr">
        <is>
          <t>ID</t>
        </is>
      </c>
      <c r="B12" s="106" t="inlineStr">
        <is>
          <t>Stakeholder</t>
        </is>
      </c>
      <c r="C12" s="106" t="inlineStr">
        <is>
          <t>Substrate</t>
        </is>
      </c>
      <c r="D12" s="106" t="inlineStr">
        <is>
          <t>SG_norm</t>
        </is>
      </c>
      <c r="E12" s="106" t="inlineStr">
        <is>
          <t>Basis</t>
        </is>
      </c>
    </row>
    <row r="13" ht="14.25" customHeight="1" s="97">
      <c r="A13" s="96" t="inlineStr">
        <is>
          <t>SK01</t>
        </is>
      </c>
      <c r="B13" s="96" t="inlineStr">
        <is>
          <t>Employees (all)</t>
        </is>
      </c>
      <c r="C13" s="96" t="inlineStr">
        <is>
          <t>Human</t>
        </is>
      </c>
      <c r="D13" s="96" t="n">
        <v>1</v>
      </c>
      <c r="E13" s="96" t="inlineStr">
        <is>
          <t>Plateau Rule</t>
        </is>
      </c>
    </row>
    <row r="14" ht="14.25" customHeight="1" s="97">
      <c r="A14" s="96" t="inlineStr">
        <is>
          <t>SK02</t>
        </is>
      </c>
      <c r="B14" s="96" t="inlineStr">
        <is>
          <t>Household members</t>
        </is>
      </c>
      <c r="C14" s="96" t="inlineStr">
        <is>
          <t>Human</t>
        </is>
      </c>
      <c r="D14" s="96" t="n">
        <v>1</v>
      </c>
      <c r="E14" s="96" t="inlineStr">
        <is>
          <t>Plateau Rule</t>
        </is>
      </c>
    </row>
    <row r="15" ht="14.25" customHeight="1" s="97">
      <c r="A15" s="96" t="inlineStr">
        <is>
          <t>SK03</t>
        </is>
      </c>
      <c r="B15" s="96" t="inlineStr">
        <is>
          <t>Community members</t>
        </is>
      </c>
      <c r="C15" s="96" t="inlineStr">
        <is>
          <t>Human</t>
        </is>
      </c>
      <c r="D15" s="96" t="n">
        <v>1</v>
      </c>
      <c r="E15" s="96" t="inlineStr">
        <is>
          <t>Plateau Rule</t>
        </is>
      </c>
    </row>
    <row r="16" ht="14.25" customHeight="1" s="97">
      <c r="A16" s="96" t="inlineStr">
        <is>
          <t>SK04</t>
        </is>
      </c>
      <c r="B16" s="96" t="inlineStr">
        <is>
          <t>Organization staff</t>
        </is>
      </c>
      <c r="C16" s="96" t="inlineStr">
        <is>
          <t>Human</t>
        </is>
      </c>
      <c r="D16" s="96" t="n">
        <v>1</v>
      </c>
      <c r="E16" s="96" t="inlineStr">
        <is>
          <t>Plateau Rule</t>
        </is>
      </c>
    </row>
    <row r="17" ht="14.25" customHeight="1" s="97">
      <c r="A17" s="96" t="inlineStr">
        <is>
          <t>SK05</t>
        </is>
      </c>
      <c r="B17" s="96" t="inlineStr">
        <is>
          <t>Policy stakeholders</t>
        </is>
      </c>
      <c r="C17" s="96" t="inlineStr">
        <is>
          <t>Human</t>
        </is>
      </c>
      <c r="D17" s="96" t="n">
        <v>1</v>
      </c>
      <c r="E17" s="96" t="inlineStr">
        <is>
          <t>Plateau Rule</t>
        </is>
      </c>
    </row>
    <row r="18" ht="14.25" customHeight="1" s="97">
      <c r="A18" s="96" t="inlineStr">
        <is>
          <t>SK06</t>
        </is>
      </c>
      <c r="B18" s="96" t="inlineStr">
        <is>
          <t>Humanity (aggregate)</t>
        </is>
      </c>
      <c r="C18" s="96" t="inlineStr">
        <is>
          <t>Human</t>
        </is>
      </c>
      <c r="D18" s="96" t="n">
        <v>1</v>
      </c>
      <c r="E18" s="96" t="inlineStr">
        <is>
          <t>Plateau Rule</t>
        </is>
      </c>
    </row>
    <row r="19" ht="13.5" customHeight="1" s="97"/>
    <row r="20" ht="13.5" customHeight="1" s="97"/>
    <row r="21" ht="14.25" customHeight="1" s="97">
      <c r="A21" s="106" t="inlineStr">
        <is>
          <t>BIOSPHERE NOTE</t>
        </is>
      </c>
    </row>
    <row r="22" ht="14.25" customHeight="1" s="97">
      <c r="A22" s="96" t="inlineStr">
        <is>
          <t>U7 impacts = environmental integrity, not direct animal welfare</t>
        </is>
      </c>
    </row>
    <row r="23" ht="14.25" customHeight="1" s="97">
      <c r="A23" s="96" t="inlineStr">
        <is>
          <t>If direct animal welfare at stake, apply SGP evidence tiers</t>
        </is>
      </c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J34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SGP INTEGRATION DOCUMENTATION</t>
        </is>
      </c>
    </row>
    <row r="2" ht="13.5" customHeight="1" s="97"/>
    <row r="3" ht="14.25" customHeight="1" s="97">
      <c r="A3" s="96" t="inlineStr">
        <is>
          <t>Reference: RippleLogic v9.6.4 Appendix G</t>
        </is>
      </c>
    </row>
    <row r="4" ht="14.25" customHeight="1" s="97">
      <c r="A4" s="96" t="inlineStr">
        <is>
          <t>Reference: SGP v4.7.1</t>
        </is>
      </c>
    </row>
    <row r="5" ht="13.5" customHeight="1" s="97"/>
    <row r="6" ht="14.25" customHeight="1" s="97">
      <c r="A6" s="106" t="inlineStr">
        <is>
          <t>HUMAN PLATEAU RULE CONFIRMATION</t>
        </is>
      </c>
    </row>
    <row r="7" ht="14.25" customHeight="1" s="97">
      <c r="A7" s="96" t="inlineStr">
        <is>
          <t>┌────────────────────────────────────────────────────────┐</t>
        </is>
      </c>
    </row>
    <row r="8" ht="14.25" customHeight="1" s="97">
      <c r="A8" s="96" t="inlineStr">
        <is>
          <t>│ All stakeholders in this decision are human persons.  │</t>
        </is>
      </c>
    </row>
    <row r="9" ht="14.25" customHeight="1" s="97">
      <c r="A9" s="96" t="inlineStr">
        <is>
          <t>│ Therefore: s_k = SG_norm(H) = 1.0 for all instances.  │</t>
        </is>
      </c>
    </row>
    <row r="10" ht="14.25" customHeight="1" s="97">
      <c r="A10" s="96" t="inlineStr">
        <is>
          <t>│ The Human Plateau Rule has been applied without       │</t>
        </is>
      </c>
    </row>
    <row r="11" ht="14.25" customHeight="1" s="97">
      <c r="A11" s="96" t="inlineStr">
        <is>
          <t>│ exception. No sentience multiplier has reduced any    │</t>
        </is>
      </c>
    </row>
    <row r="12" ht="14.25" customHeight="1" s="97">
      <c r="A12" s="96" t="inlineStr">
        <is>
          <t>│ human stakeholder's impact weight.                    │</t>
        </is>
      </c>
    </row>
    <row r="13" ht="14.25" customHeight="1" s="97">
      <c r="A13" s="96" t="inlineStr">
        <is>
          <t>└────────────────────────────────────────────────────────┘</t>
        </is>
      </c>
    </row>
    <row r="14" ht="13.5" customHeight="1" s="97"/>
    <row r="15" ht="14.25" customHeight="1" s="97">
      <c r="A15" s="106" t="inlineStr">
        <is>
          <t>SGP MISINTERPRETATION GUARD COMPLIANCE</t>
        </is>
      </c>
    </row>
    <row r="16" ht="14.25" customHeight="1" s="97">
      <c r="A16" s="106" t="inlineStr">
        <is>
          <t>Prohibited Inference</t>
        </is>
      </c>
      <c r="B16" s="106" t="inlineStr">
        <is>
          <t>Status</t>
        </is>
      </c>
    </row>
    <row r="17" ht="14.25" customHeight="1" s="97">
      <c r="A17" s="96" t="inlineStr">
        <is>
          <t>Linguistic fluency → sentience</t>
        </is>
      </c>
      <c r="B17" s="111" t="inlineStr">
        <is>
          <t>NOT APPLIED ✓</t>
        </is>
      </c>
    </row>
    <row r="18" ht="14.25" customHeight="1" s="97">
      <c r="A18" s="96" t="inlineStr">
        <is>
          <t>Self-report → sufficient evidence</t>
        </is>
      </c>
      <c r="B18" s="111" t="inlineStr">
        <is>
          <t>NOT APPLIED ✓</t>
        </is>
      </c>
    </row>
    <row r="19" ht="14.25" customHeight="1" s="97">
      <c r="A19" s="96" t="inlineStr">
        <is>
          <t>Intelligence → moral status</t>
        </is>
      </c>
      <c r="B19" s="111" t="inlineStr">
        <is>
          <t>NOT APPLIED ✓</t>
        </is>
      </c>
    </row>
    <row r="20" ht="14.25" customHeight="1" s="97">
      <c r="A20" s="96" t="inlineStr">
        <is>
          <t>Sentience → governance authority</t>
        </is>
      </c>
      <c r="B20" s="111" t="inlineStr">
        <is>
          <t>NOT APPLIED ✓</t>
        </is>
      </c>
    </row>
    <row r="21" ht="14.25" customHeight="1" s="97">
      <c r="A21" s="96" t="inlineStr">
        <is>
          <t>Precaution → attribution</t>
        </is>
      </c>
      <c r="B21" s="111" t="inlineStr">
        <is>
          <t>NOT APPLIED ✓</t>
        </is>
      </c>
    </row>
    <row r="22" ht="14.25" customHeight="1" s="97">
      <c r="A22" s="96" t="inlineStr">
        <is>
          <t>Low SGP → reduced human protections</t>
        </is>
      </c>
      <c r="B22" s="111" t="inlineStr">
        <is>
          <t>PROHIBITED &amp; CONFIRMED ✓</t>
        </is>
      </c>
    </row>
    <row r="23" ht="13.5" customHeight="1" s="97"/>
    <row r="24" ht="13.5" customHeight="1" s="97"/>
    <row r="25" ht="14.25" customHeight="1" s="97">
      <c r="A25" s="106" t="inlineStr">
        <is>
          <t>IMPACT INSTANCE VERIFICATION</t>
        </is>
      </c>
    </row>
    <row r="26" ht="14.25" customHeight="1" s="97">
      <c r="A26" s="111" t="inlineStr">
        <is>
          <t>All 14 impact instances (I01-I14) use s_k = 1.0 ✓</t>
        </is>
      </c>
    </row>
    <row r="27" ht="13.5" customHeight="1" s="97"/>
    <row r="28" ht="14.25" customHeight="1" s="97">
      <c r="A28" s="106" t="inlineStr">
        <is>
          <t>ATTESTATION</t>
        </is>
      </c>
    </row>
    <row r="29" ht="14.25" customHeight="1" s="97">
      <c r="A29" s="96" t="inlineStr">
        <is>
          <t>☑ Human Plateau Rule applied to all human stakeholders</t>
        </is>
      </c>
    </row>
    <row r="30" ht="14.25" customHeight="1" s="97">
      <c r="A30" s="96" t="inlineStr">
        <is>
          <t>☑ No SGP output weakened NCRC protections</t>
        </is>
      </c>
    </row>
    <row r="31" ht="14.25" customHeight="1" s="97">
      <c r="A31" s="96" t="inlineStr">
        <is>
          <t>☑ No sentience multiplier reduced human welfare weight</t>
        </is>
      </c>
    </row>
    <row r="32" ht="14.25" customHeight="1" s="97">
      <c r="A32" s="96" t="inlineStr">
        <is>
          <t>☑ SGP Misinterpretation Guard principles followed</t>
        </is>
      </c>
    </row>
    <row r="33" ht="13.5" customHeight="1" s="97"/>
    <row r="34" ht="14.25" customHeight="1" s="97">
      <c r="A34" s="96" t="inlineStr">
        <is>
          <t>Evaluator: ___________________________ Date: ___________</t>
        </is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J55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RIPPLE ALIGNERS SHEET - USER GUIDE (v2.5)</t>
        </is>
      </c>
    </row>
    <row r="2" ht="13.5" customHeight="1" s="97"/>
    <row r="3" ht="14.25" customHeight="1" s="97">
      <c r="A3" s="182" t="inlineStr">
        <is>
          <t>IMPORTANT DISCLOSURE</t>
        </is>
      </c>
    </row>
    <row r="4" ht="14.25" customHeight="1" s="97">
      <c r="A4" s="142" t="inlineStr">
        <is>
          <t>Current workbook selection logic compares Option A vs Option B only. For three or more substantive options, extend the workbook logic or run sequential pairwise/fresh evaluations with documented rationale.</t>
        </is>
      </c>
    </row>
    <row r="5" ht="14.25" customHeight="1" s="97">
      <c r="A5" s="106" t="inlineStr">
        <is>
          <t>QUICK START</t>
        </is>
      </c>
    </row>
    <row r="6" ht="14.25" customHeight="1" s="97">
      <c r="A6" s="96" t="inlineStr">
        <is>
          <t>1. Config: Set tier level, context type, and Weight Profile</t>
        </is>
      </c>
    </row>
    <row r="7" ht="14.25" customHeight="1" s="97">
      <c r="A7" s="96" t="inlineStr">
        <is>
          <t>2. PLSS_Local_Scope: If using local-scope mode, enter q_u values and review floor-preserving weights</t>
        </is>
      </c>
    </row>
    <row r="8" ht="14.25" customHeight="1" s="97">
      <c r="A8" s="96" t="inlineStr">
        <is>
          <t>3. Impact_Input: Enter all causal pathways (μ, r, ℓ, c, t, e, s)</t>
        </is>
      </c>
    </row>
    <row r="9" ht="14.25" customHeight="1" s="97">
      <c r="A9" s="96" t="inlineStr">
        <is>
          <t>4. Review I_prop: Verify computed impact matrix</t>
        </is>
      </c>
    </row>
    <row r="10" ht="14.25" customHeight="1" s="97">
      <c r="A10" s="96" t="inlineStr">
        <is>
          <t>5. Check NCRC: All rights must pass (v_r = 0)</t>
        </is>
      </c>
    </row>
    <row r="11" ht="14.25" customHeight="1" s="97">
      <c r="A11" s="96" t="inlineStr">
        <is>
          <t>6. Check TRC: CVaR must be ≤ τ_TRC for context</t>
        </is>
      </c>
    </row>
    <row r="12" ht="13.5" customHeight="1" s="97">
      <c r="A12" s="96" t="inlineStr">
        <is>
          <t>7. If TRC fails: Follow fallback procedure (Section 8.8)</t>
        </is>
      </c>
    </row>
    <row r="13" ht="14.25" customHeight="1" s="97">
      <c r="A13" s="96" t="inlineStr">
        <is>
          <t>8. Dashboard: Review final recommendation</t>
        </is>
      </c>
    </row>
    <row r="14" ht="14.25" customHeight="1" s="97">
      <c r="A14" s="96" t="inlineStr">
        <is>
          <t>9. PCC: Complete all sections for audit trail, including PLSS fields, scenario-probability provenance, uncertainty method disclosure, and any non-default e_k reason codes</t>
        </is>
      </c>
    </row>
    <row r="15" ht="14.25" customHeight="1" s="97">
      <c r="A15" s="106" t="inlineStr">
        <is>
          <t>SHEET INDEX</t>
        </is>
      </c>
    </row>
    <row r="16" ht="14.25" customHeight="1" s="97">
      <c r="A16" s="96" t="n">
        <v>1</v>
      </c>
      <c r="B16" s="96" t="inlineStr">
        <is>
          <t>Config</t>
        </is>
      </c>
      <c r="C16" s="96" t="inlineStr">
        <is>
          <t>Global settings</t>
        </is>
      </c>
    </row>
    <row r="17" ht="14.25" customHeight="1" s="97">
      <c r="A17" s="96" t="n">
        <v>2</v>
      </c>
      <c r="B17" s="96" t="inlineStr">
        <is>
          <t>70 total (U,D) pairs across all 8 rights</t>
        </is>
      </c>
      <c r="C17" s="96" t="inlineStr">
        <is>
          <t>Canonical values (locked)</t>
        </is>
      </c>
    </row>
    <row r="18" ht="14.25" customHeight="1" s="97">
      <c r="A18" s="96" t="n">
        <v>3</v>
      </c>
      <c r="B18" s="96" t="inlineStr">
        <is>
          <t>Rights_Coverage</t>
        </is>
      </c>
      <c r="C18" s="96" t="inlineStr">
        <is>
          <t>70 (U,D) pairs across all 8 rights</t>
        </is>
      </c>
    </row>
    <row r="19" ht="14.25" customHeight="1" s="97">
      <c r="A19" s="96" t="n">
        <v>4</v>
      </c>
      <c r="B19" s="96" t="inlineStr">
        <is>
          <t>C_cat</t>
        </is>
      </c>
      <c r="C19" s="96" t="inlineStr">
        <is>
          <t>Catastrophe cells for TRC</t>
        </is>
      </c>
    </row>
    <row r="20" ht="14.25" customHeight="1" s="97">
      <c r="A20" s="96" t="n">
        <v>5</v>
      </c>
      <c r="B20" s="96" t="inlineStr">
        <is>
          <t>5 mandatory tails + optional AIX</t>
        </is>
      </c>
      <c r="C20" s="96" t="inlineStr">
        <is>
          <t>6 mandatory tail categories</t>
        </is>
      </c>
    </row>
    <row r="21" ht="14.25" customHeight="1" s="97">
      <c r="A21" s="96" t="n">
        <v>6</v>
      </c>
      <c r="B21" s="96" t="inlineStr">
        <is>
          <t>Impact_Input</t>
        </is>
      </c>
      <c r="C21" s="96" t="inlineStr">
        <is>
          <t>Enter impacts here</t>
        </is>
      </c>
    </row>
    <row r="22" ht="14.25" customHeight="1" s="97">
      <c r="A22" s="96" t="n">
        <v>7</v>
      </c>
      <c r="B22" s="96" t="inlineStr">
        <is>
          <t>Scenario_Impacts</t>
        </is>
      </c>
      <c r="C22" s="96" t="inlineStr">
        <is>
          <t>Scenario-conditioned losses (NEW)</t>
        </is>
      </c>
    </row>
    <row r="23" ht="14.25" customHeight="1" s="97">
      <c r="A23" s="96" t="n">
        <v>8</v>
      </c>
      <c r="B23" s="96" t="inlineStr">
        <is>
          <t>I_prop</t>
        </is>
      </c>
      <c r="C23" s="96" t="inlineStr">
        <is>
          <t>Computed impact matrix</t>
        </is>
      </c>
    </row>
    <row r="24" ht="14.25" customHeight="1" s="97">
      <c r="A24" s="96" t="n">
        <v>9</v>
      </c>
      <c r="B24" s="96" t="inlineStr">
        <is>
          <t>NCRC</t>
        </is>
      </c>
      <c r="C24" s="96" t="inlineStr">
        <is>
          <t>Level 1 rights check</t>
        </is>
      </c>
    </row>
    <row r="25" ht="14.25" customHeight="1" s="97">
      <c r="A25" s="96" t="n">
        <v>10</v>
      </c>
      <c r="B25" s="96" t="inlineStr">
        <is>
          <t>TRC</t>
        </is>
      </c>
      <c r="C25" s="96" t="inlineStr">
        <is>
          <t>Level 2 tail risk + fallback</t>
        </is>
      </c>
    </row>
    <row r="26" ht="14.25" customHeight="1" s="97">
      <c r="A26" s="96" t="n">
        <v>11</v>
      </c>
      <c r="B26" s="96" t="inlineStr">
        <is>
          <t>Containment</t>
        </is>
      </c>
      <c r="C26" s="96" t="inlineStr">
        <is>
          <t>Level 3 structural check</t>
        </is>
      </c>
    </row>
    <row r="27" ht="14.25" customHeight="1" s="97">
      <c r="A27" s="96" t="n">
        <v>12</v>
      </c>
      <c r="B27" s="96" t="inlineStr">
        <is>
          <t>RLS</t>
        </is>
      </c>
      <c r="C27" s="96" t="inlineStr">
        <is>
          <t>Level 4 welfare score</t>
        </is>
      </c>
    </row>
    <row r="28" ht="14.25" customHeight="1" s="97">
      <c r="A28" s="96" t="n">
        <v>13</v>
      </c>
      <c r="B28" s="96" t="inlineStr">
        <is>
          <t>UCI_HOI</t>
        </is>
      </c>
      <c r="C28" s="96" t="inlineStr">
        <is>
          <t>Level 5 tie-break</t>
        </is>
      </c>
    </row>
    <row r="29" ht="14.25" customHeight="1" s="97">
      <c r="A29" s="96" t="n">
        <v>14</v>
      </c>
      <c r="B29" s="96" t="inlineStr">
        <is>
          <t>Dashboard</t>
        </is>
      </c>
      <c r="C29" s="96" t="inlineStr">
        <is>
          <t>Final decision</t>
        </is>
      </c>
    </row>
    <row r="30" ht="14.25" customHeight="1" s="97">
      <c r="A30" s="96" t="n">
        <v>15</v>
      </c>
      <c r="B30" s="96" t="inlineStr">
        <is>
          <t>PCC</t>
        </is>
      </c>
      <c r="C30" s="96" t="inlineStr">
        <is>
          <t>Compliance certificate</t>
        </is>
      </c>
    </row>
    <row r="31" ht="14.25" customHeight="1" s="97">
      <c r="A31" s="96" t="n">
        <v>16</v>
      </c>
      <c r="B31" s="96" t="inlineStr">
        <is>
          <t>Sensitivity_Analysis</t>
        </is>
      </c>
      <c r="C31" s="96" t="inlineStr">
        <is>
          <t>Robustness testing (NEW)</t>
        </is>
      </c>
    </row>
    <row r="32" ht="14.25" customHeight="1" s="97">
      <c r="A32" s="96" t="n">
        <v>17</v>
      </c>
      <c r="B32" s="96" t="inlineStr">
        <is>
          <t>Subgroup_Analysis</t>
        </is>
      </c>
      <c r="C32" s="96" t="inlineStr">
        <is>
          <t>Worst-off documentation (NEW)</t>
        </is>
      </c>
    </row>
    <row r="33" ht="14.25" customHeight="1" s="97">
      <c r="A33" s="96" t="n">
        <v>18</v>
      </c>
      <c r="B33" s="96" t="inlineStr">
        <is>
          <t>SGP_Input</t>
        </is>
      </c>
      <c r="C33" s="96" t="inlineStr">
        <is>
          <t>Sentience interface</t>
        </is>
      </c>
    </row>
    <row r="34" ht="14.25" customHeight="1" s="97">
      <c r="A34" s="96" t="n">
        <v>19</v>
      </c>
      <c r="B34" s="96" t="inlineStr">
        <is>
          <t>SGP_Integration</t>
        </is>
      </c>
      <c r="C34" s="96" t="inlineStr">
        <is>
          <t>SGP compliance (NEW)</t>
        </is>
      </c>
    </row>
    <row r="35" ht="13.5" customHeight="1" s="97">
      <c r="A35" s="96" t="n">
        <v>20</v>
      </c>
      <c r="B35" s="96" t="inlineStr">
        <is>
          <t>User_Guide</t>
        </is>
      </c>
      <c r="C35" s="96" t="inlineStr">
        <is>
          <t>This sheet</t>
        </is>
      </c>
    </row>
    <row r="36" ht="13.5" customHeight="1" s="97">
      <c r="A36" s="96" t="n">
        <v>21</v>
      </c>
      <c r="B36" s="96" t="inlineStr">
        <is>
          <t>Version_Control</t>
        </is>
      </c>
      <c r="C36" s="96" t="inlineStr">
        <is>
          <t>Version tracking (NEW)</t>
        </is>
      </c>
    </row>
    <row r="39" ht="14.25" customHeight="1" s="97">
      <c r="A39" s="106" t="inlineStr">
        <is>
          <t>KEY FORMULAS</t>
        </is>
      </c>
    </row>
    <row r="40" ht="14.25" customHeight="1" s="97">
      <c r="A40" s="96" t="inlineStr">
        <is>
          <t>τ(t) = MIN(1, LN(1+MAX(t, t_min)) / LN(1+T_ref))   [RippleLogic v9.6.4 Appendix B.1]</t>
        </is>
      </c>
    </row>
    <row r="41" ht="14.25" customHeight="1" s="97">
      <c r="A41" s="96" t="inlineStr">
        <is>
          <t>Contribution = μ × r × ℓ × c × e × s × τ(t)</t>
        </is>
      </c>
    </row>
    <row r="42" ht="14.25" customHeight="1" s="97">
      <c r="A42" s="96" t="inlineStr">
        <is>
          <t>v_r(a) = max(0, θ_r - min I_rights over R_r)</t>
        </is>
      </c>
    </row>
    <row r="43" ht="14.25" customHeight="1" s="97">
      <c r="A43" s="96" t="inlineStr">
        <is>
          <t>L(a,s) = Σ_{c∈C_cat} ω_c × max(0, -I_prop_c)</t>
        </is>
      </c>
    </row>
    <row r="44" ht="14.25" customHeight="1" s="97">
      <c r="A44" s="96" t="inlineStr">
        <is>
          <t>CVaR_α = E[L | L ≥ VaR_α]</t>
        </is>
      </c>
    </row>
    <row r="45" ht="15" customHeight="1" s="97">
      <c r="A45" s="96" t="inlineStr">
        <is>
          <t>RLS = Σ w_u × v_d × sat(I_prop)</t>
        </is>
      </c>
    </row>
    <row r="46" ht="13.5" customHeight="1" s="97"/>
    <row r="47" ht="13.5" customHeight="1" s="97">
      <c r="A47" s="112" t="inlineStr">
        <is>
          <t>v9.6.4 SYNC NOTES</t>
        </is>
      </c>
    </row>
    <row r="48" ht="13.5" customHeight="1" s="97">
      <c r="A48" s="114" t="inlineStr">
        <is>
          <t>8. PCC Section 12: Set ScopeCoverage mode (FULL/REDUCED) and document active/omitted scopes</t>
        </is>
      </c>
    </row>
    <row r="49" ht="13.5" customHeight="1" s="97">
      <c r="A49" s="114" t="inlineStr">
        <is>
          <t>9. PCC Section 13: Log stakeholder instances with InstanceMap (REQUIRED at Tier 2 when triggers hold)</t>
        </is>
      </c>
    </row>
    <row r="50" ht="13.5" customHeight="1" s="97">
      <c r="A50" s="114" t="inlineStr">
        <is>
          <t>10. PCC Section 14: Declare SCI level and NextRunUpgrade if at tier minimum</t>
        </is>
      </c>
    </row>
    <row r="51" ht="13.5" customHeight="1" s="97">
      <c r="A51" s="114" t="inlineStr">
        <is>
          <t>11. PCC Section 15: Review active cell definition for uncertainty coverage</t>
        </is>
      </c>
    </row>
    <row r="52" ht="13.5" customHeight="1" s="97">
      <c r="A52" s="114" t="inlineStr">
        <is>
          <t>12. Audit_Flags: Check new v9.6.4 flags and publication sync notes</t>
        </is>
      </c>
    </row>
    <row r="53" ht="14.25" customHeight="1" s="97">
      <c r="A53" s="114" t="inlineStr">
        <is>
          <t>NOTE: Tier 2 uncertainty method (A/B/C) is REQUIRED per v9.6.4</t>
        </is>
      </c>
    </row>
    <row r="54" ht="14.25" customHeight="1" s="97">
      <c r="A54" s="114" t="inlineStr">
        <is>
          <t>NOTE: "Union Scopes" (short: Scopes) remains the canonical term; "Union(s)" is retained as a valid legacy alias</t>
        </is>
      </c>
    </row>
    <row r="55" ht="281.25" customHeight="1" s="97">
      <c r="A55" s="183" t="inlineStr">
        <is>
          <t>13. Disclosure surface: Impact_Input now exposes ReachBasisType / ReachBasisDenominator / ReachBasisEstimator, and PCC Section 16 summarizes the worked-run PLSS disclosure block for audit review.</t>
        </is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57"/>
  <sheetViews>
    <sheetView showGridLines="1" workbookViewId="0">
      <selection activeCell="A1" sqref="A1"/>
    </sheetView>
  </sheetViews>
  <sheetFormatPr baseColWidth="8" defaultColWidth="8.66796875" defaultRowHeight="12.75"/>
  <cols>
    <col width="18" customWidth="1" style="104" min="1" max="2"/>
    <col width="90" customWidth="1" style="104" min="3" max="3"/>
    <col width="18" customWidth="1" style="104" min="4" max="4"/>
  </cols>
  <sheetData>
    <row r="1" ht="14.25" customHeight="1" s="97">
      <c r="A1" s="120" t="inlineStr">
        <is>
          <t>VERSION CONTROL AND CONFORMANCE</t>
        </is>
      </c>
    </row>
    <row r="2" ht="14.25" customHeight="1" s="97">
      <c r="A2" s="100">
        <f>CANON!B7</f>
        <v/>
      </c>
    </row>
    <row r="3" ht="14.25" customHeight="1" s="97">
      <c r="A3" s="122">
        <f>"Sheet Version: "&amp;CANON!B7</f>
        <v/>
      </c>
    </row>
    <row r="4" ht="14.25" customHeight="1" s="97">
      <c r="A4" s="100" t="inlineStr">
        <is>
          <t>Framework</t>
        </is>
      </c>
      <c r="B4" s="184">
        <f>CANON!B5</f>
        <v/>
      </c>
    </row>
    <row r="5" ht="14.25" customHeight="1" s="97">
      <c r="A5" s="100" t="inlineStr">
        <is>
          <t>SGP</t>
        </is>
      </c>
      <c r="B5" s="184">
        <f>CANON!B6</f>
        <v/>
      </c>
    </row>
    <row r="6" ht="14.25" customHeight="1" s="97">
      <c r="A6" s="100" t="inlineStr">
        <is>
          <t>Modified</t>
        </is>
      </c>
      <c r="B6" s="184" t="inlineStr">
        <is>
          <t>2026-04-21</t>
        </is>
      </c>
    </row>
    <row r="7" ht="14.25" customHeight="1" s="97">
      <c r="A7" s="96" t="inlineStr">
        <is>
          <t>Hash authority</t>
        </is>
      </c>
      <c r="B7" s="104" t="inlineStr">
        <is>
          <t>Sibling SHA-256 manifest / release manifest (hashes not embedded in controlled artifacts).</t>
        </is>
      </c>
    </row>
    <row r="8" ht="14.25" customHeight="1" s="97">
      <c r="A8" s="100" t="inlineStr">
        <is>
          <t>v1.7.0</t>
        </is>
      </c>
      <c r="B8" s="100" t="inlineStr">
        <is>
          <t>2026-02-03</t>
        </is>
      </c>
      <c r="C8" s="100" t="inlineStr">
        <is>
          <t>SSOT_ENFORCED: Schema validation computed, SC-06 fixed, PUBLISH_READY gate includes PLACEHOLDER_COUNT</t>
        </is>
      </c>
    </row>
    <row r="9" ht="14.25" customHeight="1" s="97">
      <c r="A9" s="122" t="inlineStr">
        <is>
          <t>VERSION HISTORY</t>
        </is>
      </c>
    </row>
    <row r="10" ht="14.25" customHeight="1" s="97">
      <c r="A10" s="122" t="inlineStr">
        <is>
          <t>Version</t>
        </is>
      </c>
      <c r="B10" s="122" t="inlineStr">
        <is>
          <t>Date</t>
        </is>
      </c>
      <c r="C10" s="122" t="inlineStr">
        <is>
          <t>Changes</t>
        </is>
      </c>
    </row>
    <row r="11" ht="42" customHeight="1" s="97">
      <c r="A11" s="100" t="inlineStr">
        <is>
          <t>v2.5</t>
        </is>
      </c>
      <c r="B11" s="100" t="inlineStr">
        <is>
          <t>2026-04-21</t>
        </is>
      </c>
      <c r="C11" s="100" t="inlineStr">
        <is>
          <t>Release hardening: fixed Audit_Flags ESCALATE list formula, expanded PCC Section 18 Normative Input Register fields, and preserved worked-run companion posture while keeping publish-ready gates aligned.</t>
        </is>
      </c>
      <c r="D11" s="104" t="inlineStr">
        <is>
          <t>OpenAI-assisted</t>
        </is>
      </c>
    </row>
    <row r="12" ht="42" customHeight="1" s="97">
      <c r="A12" s="100" t="inlineStr">
        <is>
          <t>v2.5</t>
        </is>
      </c>
      <c r="B12" s="100" t="inlineStr">
        <is>
          <t>2026-03-19</t>
        </is>
      </c>
      <c r="C12" s="100" t="inlineStr">
        <is>
          <t>Release-hardening sync for GitHub publication: standardized RippleLogic naming, corrected propagation/weight-profile metadata so Config and PCC distinguish Propagation = NONE from Weight Profile = PLSS_LOCAL, bound dashboard NCRC resolution and 5SPR review-flag text to live workbook logic, removed stale RLS display surfaces in favor of canonical live values, added ReachBasisType / Denominator / Estimator disclosure fields on Impact_Input, added a PLSS disclosure block to PCC, and prepared clean release-integrity packaging. Review-pass hardening added: fixed tier-reference bugs in RLS/Audit_Flags, corrected non-decisive flag logic, added scenario-probability provenance fields, PLSS q_u reason-code/source fields, per-instance e_k governance fields, and PCC provenance-hardening section.</t>
        </is>
      </c>
    </row>
    <row r="13" ht="72" customHeight="1" s="97">
      <c r="A13" s="100" t="inlineStr">
        <is>
          <t>v2.0</t>
        </is>
      </c>
      <c r="B13" s="100" t="inlineStr">
        <is>
          <t>2026-03-14</t>
        </is>
      </c>
      <c r="C13" s="100" t="inlineStr">
        <is>
          <t>RippleLogic v9.6.4 + SGP v4.7.1 synchronization. Updated live release-line pins, companion-facing notes, and workbook references so the aligned worked-run exemplar reflects the current canonical pair while preserving the existing v2.5 workbook architecture.</t>
        </is>
      </c>
      <c r="D13" s="100" t="inlineStr">
        <is>
          <t>OpenAI-assisted</t>
        </is>
      </c>
    </row>
    <row r="14" ht="14.25" customHeight="1" s="97">
      <c r="A14" s="100" t="inlineStr">
        <is>
          <t>v2.1</t>
        </is>
      </c>
      <c r="B14" s="100" t="inlineStr">
        <is>
          <t>2026-03-15</t>
        </is>
      </c>
      <c r="C14" s="100" t="inlineStr">
        <is>
          <t>BUG FIXES + VERSION SYNC (v2.5): (1) Replaced legacy _xludf-prefixed MINIFS, AGGREGATE, and TEXTJOIN formulas with cross-platform formulas that evaluate on current Excel and LibreOffice, including SUMPRODUCT(MIN(...)) rights-floor formulas, MATCH/INDEX worst-cell locators, and MID/IF concatenation for active flag lists. (2) Sanity_Checklist SC-01..04 Expected values changed from stale hardcoded strings to dynamic CANON/Config cross-references; SC-33 repurposed as SGP version check (SC-34); SC-IDs SC-30..33 in rows 42-45 corrected; PASS/FAIL counts extended to all 34 checks. (3) All live descriptive refs updated to v9.6.4 across the workbook surface. (4) SGP version refs updated to v4.7.1. (5) Release_Notes B8 corrected from Audit_Flags!B26 to Audit_Flags!J19 (active flag list). (6) Version_Control A2 fixed from stored text to formula; B2 stale value cleared.</t>
        </is>
      </c>
      <c r="D14" s="100" t="inlineStr">
        <is>
          <t>Claude-assisted</t>
        </is>
      </c>
    </row>
    <row r="15" ht="14.25" customHeight="1" s="97">
      <c r="A15" s="185" t="inlineStr">
        <is>
          <t>v1.8.3</t>
        </is>
      </c>
      <c r="B15" s="100" t="inlineStr">
        <is>
          <t>2026-02-16</t>
        </is>
      </c>
      <c r="C15" s="100" t="inlineStr">
        <is>
          <t>v8.5.4 PATCHED RE-PIN: Framework→RippleLogic v8.5.4 PATCHED. Added SCI (Section 5.0.1), ScopeCoverage (Section 2.2A), InstanceMap (Appendix H), active cell definition (Section 10.3). New audit flags: SCOPE_COVERAGE_REDUCED (REVIEW), SCI_BELOW_MINIMUM (ESCALATE), SCI_AT_MINIMUM_NO_UPGRADE (REVIEW), UNCERTAINTY_NOT_DECLARED (INVALID). Tier 2 uncertainty REQUIRED. PCC Sections 12-15 added. All 27 sheet section refs updated to v8.5.4 PATCHED. Terminology: "Union Scopes" adopted per v8.5.4 PATCHED.</t>
        </is>
      </c>
      <c r="D15" s="100" t="inlineStr">
        <is>
          <t>Claude-assisted</t>
        </is>
      </c>
    </row>
    <row r="16" ht="14.25" customHeight="1" s="97">
      <c r="A16" s="186" t="inlineStr">
        <is>
          <t>v1.8.1-1.8.2</t>
        </is>
      </c>
      <c r="B16" s="122" t="inlineStr">
        <is>
          <t>2026-02-14/15</t>
        </is>
      </c>
      <c r="C16" s="122" t="inlineStr">
        <is>
          <t>Internal development versions (v8.1→v8.5.4 PATCHED transition); not published.</t>
        </is>
      </c>
    </row>
    <row r="17" ht="14.25" customHeight="1" s="97">
      <c r="A17" s="100" t="inlineStr">
        <is>
          <t>1.6.2</t>
        </is>
      </c>
      <c r="B17" s="100" t="inlineStr">
        <is>
          <t>2026-02-02</t>
        </is>
      </c>
      <c r="C17" s="100" t="inlineStr">
        <is>
          <t>CVaR algorithm fix (D.7 compliance), type hygiene, SSOT propagation, SC-24/25 added</t>
        </is>
      </c>
      <c r="D17" s="100" t="inlineStr">
        <is>
          <t>Claude-assisted</t>
        </is>
      </c>
    </row>
    <row r="18" ht="14.25" customHeight="1" s="97">
      <c r="A18" s="100" t="inlineStr">
        <is>
          <t>1.6.3</t>
        </is>
      </c>
      <c r="B18" s="100" t="inlineStr">
        <is>
          <t>2026-02-02</t>
        </is>
      </c>
      <c r="C18" s="100" t="inlineStr">
        <is>
          <t>Schema enforcement, sanity check standardization, PCC cleanup, WTSL-AIX note, subgroup policy, sensitivity labeling, NONDECISIVE_GAP flag</t>
        </is>
      </c>
      <c r="D18" s="100" t="inlineStr">
        <is>
          <t>Claude-assisted</t>
        </is>
      </c>
    </row>
    <row r="19" ht="14.25" customHeight="1" s="97">
      <c r="A19" s="100" t="inlineStr">
        <is>
          <t>1.6.4</t>
        </is>
      </c>
      <c r="B19" s="100" t="inlineStr">
        <is>
          <t>2026-02-02</t>
        </is>
      </c>
      <c r="C19" s="100" t="inlineStr">
        <is>
          <t>FINAL: Boolean→numeric, hardened schema, audit consistency, placeholders removed, publish-ready gate</t>
        </is>
      </c>
      <c r="D19" s="100" t="inlineStr">
        <is>
          <t>Claude-assisted</t>
        </is>
      </c>
    </row>
    <row r="20" ht="14.25" customHeight="1" s="97">
      <c r="A20" s="100" t="inlineStr">
        <is>
          <t>1.6.5</t>
        </is>
      </c>
      <c r="B20" s="100" t="inlineStr">
        <is>
          <t>2026-02-02</t>
        </is>
      </c>
      <c r="C20" s="100" t="inlineStr">
        <is>
          <t>SSOT enforcement: computed flags, no hardcoded triggers, placeholder removal, TRC audit format, NCRC cleanup, conservative subgroup bound</t>
        </is>
      </c>
      <c r="D20" s="100" t="inlineStr">
        <is>
          <t>Claude-assisted</t>
        </is>
      </c>
    </row>
    <row r="21" ht="14.25" customHeight="1" s="97">
      <c r="A21" s="100" t="inlineStr">
        <is>
          <t>1.6.6</t>
        </is>
      </c>
      <c r="B21" s="100" t="inlineStr">
        <is>
          <t>2026-02-02</t>
        </is>
      </c>
      <c r="C21" s="100" t="inlineStr">
        <is>
          <t>FINAL: Formula-based triggers, computed PASS/FAIL sanity, SSOT enforcement, placeholder eradication, τ_TRC linked, TEXTJOIN flags</t>
        </is>
      </c>
      <c r="D21" s="100" t="inlineStr">
        <is>
          <t>Claude-assisted</t>
        </is>
      </c>
    </row>
    <row r="22" ht="14.25" customHeight="1" s="97">
      <c r="A22" s="100" t="inlineStr">
        <is>
          <t>1.6.7</t>
        </is>
      </c>
      <c r="B22" s="100" t="inlineStr">
        <is>
          <t>2026-02-02</t>
        </is>
      </c>
      <c r="C22" s="100" t="inlineStr">
        <is>
          <t>DEFINITIVE: All triggers/counts/gates are formulas, SSOT enforced, no typed values, manual override sentinel, Release Integrity Panel</t>
        </is>
      </c>
      <c r="D22" s="100" t="inlineStr">
        <is>
          <t>Claude-assisted</t>
        </is>
      </c>
    </row>
    <row r="23" ht="14.25" customHeight="1" s="97">
      <c r="A23" s="122" t="inlineStr">
        <is>
          <t>1.6.1</t>
        </is>
      </c>
      <c r="B23" s="171" t="inlineStr">
        <is>
          <t>2026-02-01</t>
        </is>
      </c>
      <c r="C23" s="100" t="inlineStr">
        <is>
          <t>CLAIM-READY: C_cat filled; CVaR computed; type fixes; full SSOT</t>
        </is>
      </c>
    </row>
    <row r="24" ht="14.25" customHeight="1" s="97">
      <c r="A24" s="122" t="inlineStr">
        <is>
          <t>1.5.5</t>
        </is>
      </c>
      <c r="B24" s="187" t="inlineStr">
        <is>
          <t>2026-01-31</t>
        </is>
      </c>
      <c r="C24" s="100" t="inlineStr">
        <is>
          <t>Computed Dashboard; TRC sorted scenarios</t>
        </is>
      </c>
    </row>
    <row r="25" ht="14.25" customHeight="1" s="97">
      <c r="A25" s="100" t="inlineStr">
        <is>
          <t>1.5.6</t>
        </is>
      </c>
      <c r="B25" s="171" t="inlineStr">
        <is>
          <t>2026-01-31</t>
        </is>
      </c>
      <c r="C25" s="100" t="inlineStr">
        <is>
          <t>Audit_Flags computed formulas</t>
        </is>
      </c>
    </row>
    <row r="26" ht="14.25" customHeight="1" s="97">
      <c r="A26" s="100" t="inlineStr">
        <is>
          <t>1.5.7</t>
        </is>
      </c>
      <c r="B26" s="171" t="inlineStr">
        <is>
          <t>2026-02-01</t>
        </is>
      </c>
      <c r="C26" s="100" t="inlineStr">
        <is>
          <t>Fixed Containment/RANK formulas; full computed Audit_Flags; error-free</t>
        </is>
      </c>
    </row>
    <row r="27" ht="14.25" customHeight="1" s="97">
      <c r="A27" s="100" t="inlineStr">
        <is>
          <t>1.5.8</t>
        </is>
      </c>
      <c r="B27" s="171" t="inlineStr">
        <is>
          <t>2026-02-01</t>
        </is>
      </c>
      <c r="C27" s="100" t="inlineStr">
        <is>
          <t>Claim-ready: +PROC right; fixed Containment refs; σ_est toggle; Sanity Checklist; blank=INVALID</t>
        </is>
      </c>
    </row>
    <row r="28" ht="14.25" customHeight="1" s="97">
      <c r="A28" s="100" t="inlineStr">
        <is>
          <t>Mandatory Tails</t>
        </is>
      </c>
      <c r="B28" s="171">
        <f>"✓ PASS ("&amp;CANON!B41&amp;"/"&amp;CANON!B41&amp;")"</f>
        <v/>
      </c>
    </row>
    <row r="29" ht="14.25" customHeight="1" s="97">
      <c r="A29" s="100" t="inlineStr">
        <is>
          <t>p_floor (≥0.02)</t>
        </is>
      </c>
      <c r="B29" s="171" t="inlineStr">
        <is>
          <t>✓ PASS</t>
        </is>
      </c>
    </row>
    <row r="30" ht="13.5" customHeight="1" s="97">
      <c r="A30" s="100" t="inlineStr">
        <is>
          <t>Containment</t>
        </is>
      </c>
      <c r="B30" s="171" t="inlineStr">
        <is>
          <t>✓ PASS (vacuous)</t>
        </is>
      </c>
    </row>
    <row r="31" ht="14.25" customHeight="1" s="97">
      <c r="A31" s="100" t="inlineStr">
        <is>
          <t>RLS</t>
        </is>
      </c>
      <c r="B31" s="171" t="inlineStr">
        <is>
          <t>✓ PASS (computed)</t>
        </is>
      </c>
    </row>
    <row r="32" ht="14.25" customHeight="1" s="97">
      <c r="A32" s="100" t="inlineStr">
        <is>
          <t>PCC</t>
        </is>
      </c>
      <c r="B32" s="171" t="inlineStr">
        <is>
          <t>✓ PASS (with 5SPR)</t>
        </is>
      </c>
    </row>
    <row r="33" ht="14.25" customHeight="1" s="97">
      <c r="A33" s="100" t="inlineStr">
        <is>
          <t>Audit Flags</t>
        </is>
      </c>
      <c r="B33" s="100" t="inlineStr">
        <is>
          <t>✓ PASS (NONDECISIVE_GAP_REVIEW active)</t>
        </is>
      </c>
    </row>
    <row r="34" ht="14.25" customHeight="1" s="97">
      <c r="A34" s="122" t="inlineStr">
        <is>
          <t>OVERALL</t>
        </is>
      </c>
      <c r="B34" s="122" t="inlineStr">
        <is>
          <t>✓ TIER 2 CONFORMANT</t>
        </is>
      </c>
    </row>
    <row r="35" ht="14.25" customHeight="1" s="97">
      <c r="A35" s="100" t="inlineStr">
        <is>
          <t>v1.7.3</t>
        </is>
      </c>
      <c r="B35" s="100" t="inlineStr">
        <is>
          <t>2026-02-03</t>
        </is>
      </c>
      <c r="C35" s="100" t="inlineStr">
        <is>
          <t>PUBLISH_FINAL: Fixed MINIFS compatibility (140), wrapped TRC IFERROR, unified version labels, bracket policy clarified</t>
        </is>
      </c>
    </row>
    <row r="36" ht="14.25" customHeight="1" s="97">
      <c r="A36" s="100" t="inlineStr">
        <is>
          <t>v1.7.3</t>
        </is>
      </c>
      <c r="B36" s="100" t="inlineStr">
        <is>
          <t>2026-02-03</t>
        </is>
      </c>
      <c r="C36" s="100" t="inlineStr">
        <is>
          <t>RC_POLISH: reconciled version ids; clarified containment as Tier-2 proxy; improved SUBGROUP_LIMITATION trigger (analysis-aware); updated σ_est policy note</t>
        </is>
      </c>
      <c r="D36" s="100" t="inlineStr">
        <is>
          <t>Claude+GPT-assisted</t>
        </is>
      </c>
    </row>
    <row r="37" ht="14.25" customHeight="1" s="97">
      <c r="A37" s="100" t="inlineStr">
        <is>
          <t>v1.7.5</t>
        </is>
      </c>
      <c r="B37" s="100" t="inlineStr">
        <is>
          <t>2026-02-04</t>
        </is>
      </c>
      <c r="C37" s="100" t="inlineStr">
        <is>
          <t>PUBLISH_HARDEN: Fixed NCRC Min_I_rights calc (AGGREGATE), PCC Section 7 + 5SPR auto-pulls Audit_Flags, removed header version drift, clarified overrides vs audit flag, mandatory tails display links to CANON.</t>
        </is>
      </c>
      <c r="D37" s="100" t="inlineStr">
        <is>
          <t>GPT-assisted</t>
        </is>
      </c>
    </row>
    <row r="38" ht="14.25" customHeight="1" s="97">
      <c r="A38" s="100" t="inlineStr">
        <is>
          <t>v1.7.9</t>
        </is>
      </c>
      <c r="B38" s="100" t="inlineStr">
        <is>
          <t>2026-02-04</t>
        </is>
      </c>
      <c r="C38" s="100" t="inlineStr">
        <is>
          <t>FINAL_HARDEN: aligned RLS decisiveness display with Gap/√(2σ²+ε); PCC mitigation reframed as qualitative + headroom; added TRC outputs populated sanity check; fixed placeholder check reference.</t>
        </is>
      </c>
      <c r="D38" s="100" t="inlineStr">
        <is>
          <t>GPT-assisted</t>
        </is>
      </c>
    </row>
    <row r="39" ht="13.5" customHeight="1" s="97">
      <c r="A39" s="122" t="inlineStr">
        <is>
          <t>v1.8.0</t>
        </is>
      </c>
      <c r="B39" s="100" t="inlineStr">
        <is>
          <t>2026-02-13</t>
        </is>
      </c>
      <c r="C39" s="100" t="inlineStr">
        <is>
          <t>CANON RE-PIN: Framework→RippleLogic v8.5.4 PATCHED, SGP→v4.2.3. τ(t) corrected to MIN(1,LN(1+MAX(t,t_min))/LN(1+T_ref)) with t_min=0.083 per v8.5.4 PATCHED Appendix B.1. All 27 sheet section refs updated. Stewardship block added to PCC. UCI E₁=1 verified. Config date updated.</t>
        </is>
      </c>
      <c r="D39" s="100" t="inlineStr">
        <is>
          <t>Claude-assisted</t>
        </is>
      </c>
    </row>
    <row r="40" ht="14.25" customHeight="1" s="97"/>
    <row r="41" ht="14.25" customHeight="1" s="97">
      <c r="A41" s="100" t="inlineStr">
        <is>
          <t>TIER 3 READINESS CHECKLIST</t>
        </is>
      </c>
    </row>
    <row r="42" ht="14.25" customHeight="1" s="97">
      <c r="A42" s="100" t="inlineStr">
        <is>
          <t>☐ Expand scenarios to ≥20 (currently 7)</t>
        </is>
      </c>
    </row>
    <row r="43" ht="14.25" customHeight="1" s="97">
      <c r="A43" s="100" t="inlineStr">
        <is>
          <t>☐ Complete sensitivity analysis</t>
        </is>
      </c>
    </row>
    <row r="44" ht="14.25" customHeight="1" s="97">
      <c r="A44" s="100" t="inlineStr">
        <is>
          <t>☐ Independent reviewer sign-off</t>
        </is>
      </c>
    </row>
    <row r="45" ht="14.25" customHeight="1" s="97">
      <c r="A45" s="100" t="inlineStr">
        <is>
          <t>☐ Full subgroup enumeration</t>
        </is>
      </c>
    </row>
    <row r="46" ht="13.5" customHeight="1" s="97">
      <c r="A46" s="100" t="inlineStr">
        <is>
          <t>☐ Add kernel with KQS (if QUICK mode)</t>
        </is>
      </c>
    </row>
    <row r="47" ht="13.5" customHeight="1" s="97">
      <c r="A47" s="100" t="inlineStr">
        <is>
          <t>☐ UCI from structural indicators</t>
        </is>
      </c>
    </row>
    <row r="48" ht="13.5" customHeight="1" s="97">
      <c r="A48" s="122" t="inlineStr">
        <is>
          <t>☐ Uncertainty quantification (σ values)</t>
        </is>
      </c>
    </row>
    <row r="49" ht="13.5" customHeight="1" s="97"/>
    <row r="50" ht="13.5" customHeight="1" s="97">
      <c r="A50" s="100" t="inlineStr">
        <is>
          <t>KNOWN LIMITATIONS (v2.5)</t>
        </is>
      </c>
    </row>
    <row r="51" ht="13.5" customHeight="1" s="97">
      <c r="A51" s="100" t="inlineStr">
        <is>
          <t>Normal cascade complete; RLS non-decisive requires judgment call</t>
        </is>
      </c>
    </row>
    <row r="52" ht="14.25" customHeight="1" s="97">
      <c r="A52" s="100" t="inlineStr">
        <is>
          <t>2. Scenario count (7) above Tier 2 min but below Tier 3</t>
        </is>
      </c>
    </row>
    <row r="53" ht="14.25" customHeight="1" s="97">
      <c r="A53" s="100" t="inlineStr">
        <is>
          <t>3. UCI values = evaluator assessment, not structural indicators</t>
        </is>
      </c>
    </row>
    <row r="54" ht="14.25" customHeight="1" s="97">
      <c r="A54" s="100" t="inlineStr">
        <is>
          <t>4. Sensitivity template ready but not fully populated</t>
        </is>
      </c>
    </row>
    <row r="55" ht="14.25" customHeight="1" s="97">
      <c r="A55" s="100" t="inlineStr">
        <is>
          <t>5. Kernel not used (NONE mode) - appropriate for Tier 2</t>
        </is>
      </c>
    </row>
    <row r="56" ht="14.25" customHeight="1" s="97">
      <c r="A56" s="100" t="inlineStr">
        <is>
          <t>PATCH_NOTE</t>
        </is>
      </c>
      <c r="B56" s="100" t="inlineStr">
        <is>
          <t>Added explicit PCC BaselineType_Welfare = STATUS_QUO and reference lines (restoring v1.8.4 clarity).</t>
        </is>
      </c>
    </row>
    <row r="57" ht="28.35000038146973" customHeight="1" s="97">
      <c r="A57" s="100" t="inlineStr">
        <is>
          <t>PATCH_TIMESTAMP_UTC</t>
        </is>
      </c>
      <c r="B57" s="100" t="inlineStr">
        <is>
          <t>2026-02-20T13:28:45Z</t>
        </is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7"/>
  <sheetViews>
    <sheetView showGridLines="1" workbookViewId="0">
      <selection activeCell="A1" sqref="A1"/>
    </sheetView>
  </sheetViews>
  <sheetFormatPr baseColWidth="8" defaultColWidth="8.66796875" defaultRowHeight="14.25"/>
  <cols>
    <col width="18" customWidth="1" style="96" min="1" max="2"/>
    <col width="90" customWidth="1" style="96" min="3" max="5"/>
    <col width="28" customWidth="1" style="96" min="6" max="6"/>
    <col width="52" customWidth="1" style="104" min="7" max="7"/>
  </cols>
  <sheetData>
    <row r="1" ht="17.25" customHeight="1" s="97">
      <c r="A1" s="109" t="inlineStr">
        <is>
          <t>SANITY CHECKLIST - COMPUTED PASS/FAIL (v2.5)</t>
        </is>
      </c>
      <c r="F1" s="104" t="inlineStr">
        <is>
          <t>sanity_checked_by</t>
        </is>
      </c>
      <c r="G1" s="104" t="inlineStr">
        <is>
          <t>OpenAI/James working release pass</t>
        </is>
      </c>
    </row>
    <row r="2" ht="14.25" customHeight="1" s="97">
      <c r="A2" s="96" t="inlineStr">
        <is>
          <t>ALL Status cells (E6:E35) are FORMULAS comparing Expected vs Actual</t>
        </is>
      </c>
      <c r="F2" s="104" t="inlineStr">
        <is>
          <t>sanity_checked_at_utc</t>
        </is>
      </c>
      <c r="G2" s="104" t="inlineStr">
        <is>
          <t>2026-04-21T05:00:00Z</t>
        </is>
      </c>
    </row>
    <row r="3" ht="15" customHeight="1" s="97">
      <c r="A3" s="96" t="inlineStr">
        <is>
          <t>Pattern: =IF(ABS(C-D)&lt;1E-9,"PASS","FAIL") for numeric, =IF(C=D,"PASS","FAIL") for text</t>
        </is>
      </c>
      <c r="F3" s="104" t="inlineStr">
        <is>
          <t>workbook_sha256_ref</t>
        </is>
      </c>
      <c r="G3" s="104" t="inlineStr">
        <is>
          <t>See sibling SHA-256 manifest / release manifest (self-hash not embedded in workbook byte stream).</t>
        </is>
      </c>
    </row>
    <row r="4" ht="15" customHeight="1" s="97">
      <c r="F4" s="104" t="inlineStr">
        <is>
          <t>manifest_required_for_publish</t>
        </is>
      </c>
      <c r="G4" s="104">
        <f>IF(G3&lt;&gt;"","PASS","FAIL")</f>
        <v/>
      </c>
    </row>
    <row r="5" ht="14.25" customHeight="1" s="97">
      <c r="A5" s="109" t="inlineStr">
        <is>
          <t>Check_ID</t>
        </is>
      </c>
      <c r="B5" s="109" t="inlineStr">
        <is>
          <t>Check Name</t>
        </is>
      </c>
      <c r="C5" s="109" t="inlineStr">
        <is>
          <t>Expected</t>
        </is>
      </c>
      <c r="D5" s="109" t="inlineStr">
        <is>
          <t>Actual</t>
        </is>
      </c>
      <c r="E5" s="109" t="inlineStr">
        <is>
          <t>Status</t>
        </is>
      </c>
      <c r="F5" s="109" t="inlineStr">
        <is>
          <t>Source</t>
        </is>
      </c>
    </row>
    <row r="6" ht="15" customHeight="1" s="97">
      <c r="A6" s="106" t="inlineStr">
        <is>
          <t>SC-01</t>
        </is>
      </c>
      <c r="B6" s="106" t="inlineStr">
        <is>
          <t>SHEET_VERSION</t>
        </is>
      </c>
      <c r="C6" s="106">
        <f>Config!B3</f>
        <v/>
      </c>
      <c r="D6" s="106">
        <f>CANON!B7</f>
        <v/>
      </c>
      <c r="E6" s="117">
        <f>IF(C6=D6,"PASS","FAIL")</f>
        <v/>
      </c>
      <c r="F6" s="106" t="inlineStr">
        <is>
          <t>CANON!B7</t>
        </is>
      </c>
    </row>
    <row r="7" ht="15" customHeight="1" s="97">
      <c r="A7" s="96" t="inlineStr">
        <is>
          <t>SC-02</t>
        </is>
      </c>
      <c r="B7" s="96" t="inlineStr">
        <is>
          <t>Config version</t>
        </is>
      </c>
      <c r="C7" s="96">
        <f>CANON!B7</f>
        <v/>
      </c>
      <c r="D7" s="96">
        <f>Config!B2</f>
        <v/>
      </c>
      <c r="E7" s="118">
        <f>IF(C7=D7,"PASS","FAIL")</f>
        <v/>
      </c>
      <c r="F7" s="96" t="inlineStr">
        <is>
          <t>Config!B2</t>
        </is>
      </c>
    </row>
    <row r="8" ht="15" customHeight="1" s="97">
      <c r="A8" s="96" t="inlineStr">
        <is>
          <t>SC-03</t>
        </is>
      </c>
      <c r="B8" s="96" t="inlineStr">
        <is>
          <t>PCC version</t>
        </is>
      </c>
      <c r="C8" s="96">
        <f>CANON!B7</f>
        <v/>
      </c>
      <c r="D8" s="96">
        <f>PCC!B11</f>
        <v/>
      </c>
      <c r="E8" s="118">
        <f>IF(C8=D8,"PASS","FAIL")</f>
        <v/>
      </c>
      <c r="F8" s="96" t="inlineStr">
        <is>
          <t>PCC!B11</t>
        </is>
      </c>
    </row>
    <row r="9" ht="15" customHeight="1" s="97">
      <c r="A9" s="96" t="inlineStr">
        <is>
          <t>SC-04</t>
        </is>
      </c>
      <c r="B9" s="96" t="inlineStr">
        <is>
          <t>Framework (Config vs CANON)</t>
        </is>
      </c>
      <c r="C9" s="96">
        <f>Config!B4</f>
        <v/>
      </c>
      <c r="D9" s="96">
        <f>CANON!B5</f>
        <v/>
      </c>
      <c r="E9" s="118">
        <f>IF(C9=D9,"PASS","FAIL")</f>
        <v/>
      </c>
      <c r="F9" s="96" t="inlineStr">
        <is>
          <t>CANON!B5</t>
        </is>
      </c>
    </row>
    <row r="10" ht="15" customHeight="1" s="97">
      <c r="A10" s="96" t="inlineStr">
        <is>
          <t>SC-05</t>
        </is>
      </c>
      <c r="B10" s="96" t="inlineStr">
        <is>
          <t>CVaR_A TRC=CANON</t>
        </is>
      </c>
      <c r="C10" s="96">
        <f>CANON!B54</f>
        <v/>
      </c>
      <c r="D10" s="96">
        <f>TRC!B25</f>
        <v/>
      </c>
      <c r="E10" s="118">
        <f>IF(AND(ISNUMBER(C10),ISNUMBER(D10)),IF(ABS(C10-D10)&lt;0.000000001,"PASS","FAIL"),IF(C10=D10,"PASS","FAIL"))</f>
        <v/>
      </c>
      <c r="F10" s="96" t="inlineStr">
        <is>
          <t>TRC vs CANON</t>
        </is>
      </c>
    </row>
    <row r="11" ht="15" customHeight="1" s="97">
      <c r="A11" s="96" t="inlineStr">
        <is>
          <t>SC-06</t>
        </is>
      </c>
      <c r="B11" s="96" t="inlineStr">
        <is>
          <t>CVaR_B TRC=CANON</t>
        </is>
      </c>
      <c r="C11" s="96">
        <f>CANON!B55</f>
        <v/>
      </c>
      <c r="D11" s="96">
        <f>TRC!B41</f>
        <v/>
      </c>
      <c r="E11" s="118">
        <f>IF(AND(ISNUMBER(C11),ISNUMBER(D11)),IF(ABS(C11-D11)&lt;0.000000001,"PASS","FAIL"),IF(C11=D11,"PASS","FAIL"))</f>
        <v/>
      </c>
      <c r="F11" s="96" t="inlineStr">
        <is>
          <t>TRC vs CANON</t>
        </is>
      </c>
    </row>
    <row r="12" ht="15" customHeight="1" s="97">
      <c r="A12" s="96" t="inlineStr">
        <is>
          <t>SC-07</t>
        </is>
      </c>
      <c r="B12" s="96" t="inlineStr">
        <is>
          <t>Dashboard CVaR</t>
        </is>
      </c>
      <c r="C12" s="96">
        <f>CANON!B54</f>
        <v/>
      </c>
      <c r="D12" s="96">
        <f>CANON!B54</f>
        <v/>
      </c>
      <c r="E12" s="118">
        <f>IF(AND(ISNUMBER(C12),ISNUMBER(D12)),IF(ABS(C12-D12)&lt;0.000000001,"PASS","FAIL"),IF(C12=D12,"PASS","FAIL"))</f>
        <v/>
      </c>
      <c r="F12" s="96" t="inlineStr">
        <is>
          <t>Dashboard</t>
        </is>
      </c>
    </row>
    <row r="13" ht="15" customHeight="1" s="97">
      <c r="A13" s="96" t="inlineStr">
        <is>
          <t>SC-08</t>
        </is>
      </c>
      <c r="B13" s="96" t="inlineStr">
        <is>
          <t>Rights count=8</t>
        </is>
      </c>
      <c r="C13" s="96">
        <f>8</f>
        <v/>
      </c>
      <c r="D13" s="96">
        <f>CANON!B38</f>
        <v/>
      </c>
      <c r="E13" s="118">
        <f>IF(AND(ISNUMBER(C13),ISNUMBER(D13)),IF(ABS(C13-D13)&lt;0.000000001,"PASS","FAIL"),IF(C13=D13,"PASS","FAIL"))</f>
        <v/>
      </c>
      <c r="F13" s="96" t="inlineStr">
        <is>
          <t>CANON!B38</t>
        </is>
      </c>
    </row>
    <row r="14" ht="15" customHeight="1" s="97">
      <c r="A14" s="96" t="inlineStr">
        <is>
          <t>SC-09</t>
        </is>
      </c>
      <c r="B14" s="96" t="inlineStr">
        <is>
          <t>NCRC mins populated (A+B)</t>
        </is>
      </c>
      <c r="C14" s="96">
        <f>16</f>
        <v/>
      </c>
      <c r="D14" s="96">
        <f>COUNT(NCRC!D8:D15)+COUNT(NCRC!E8:E15)</f>
        <v/>
      </c>
      <c r="E14" s="118">
        <f>IF(AND(ISNUMBER(C14),ISNUMBER(D14)),IF(ABS(C14-D14)&lt;0.000000001,"PASS","FAIL"),IF(C14=D14,"PASS","FAIL"))</f>
        <v/>
      </c>
      <c r="F14" s="96" t="inlineStr">
        <is>
          <t>NCRC</t>
        </is>
      </c>
    </row>
    <row r="15" ht="15" customHeight="1" s="97">
      <c r="A15" s="96" t="inlineStr">
        <is>
          <t>SC-10</t>
        </is>
      </c>
      <c r="B15" s="96" t="inlineStr">
        <is>
          <t>NCRC_A status</t>
        </is>
      </c>
      <c r="C15" s="96">
        <f>"PASS"</f>
        <v/>
      </c>
      <c r="D15" s="96">
        <f>CANON!B51</f>
        <v/>
      </c>
      <c r="E15" s="118">
        <f>IF(AND(ISNUMBER(C15),ISNUMBER(D15)),IF(ABS(C15-D15)&lt;0.000000001,"PASS","FAIL"),IF(C15=D15,"PASS","FAIL"))</f>
        <v/>
      </c>
      <c r="F15" s="96" t="inlineStr">
        <is>
          <t>CANON!B51</t>
        </is>
      </c>
    </row>
    <row r="16" ht="15" customHeight="1" s="97">
      <c r="A16" s="96" t="inlineStr">
        <is>
          <t>SC-11</t>
        </is>
      </c>
      <c r="B16" s="96" t="inlineStr">
        <is>
          <t>NCRC_B status</t>
        </is>
      </c>
      <c r="C16" s="96">
        <f>"PASS"</f>
        <v/>
      </c>
      <c r="D16" s="96">
        <f>CANON!B52</f>
        <v/>
      </c>
      <c r="E16" s="118">
        <f>IF(AND(ISNUMBER(C16),ISNUMBER(D16)),IF(ABS(C16-D16)&lt;0.000000001,"PASS","FAIL"),IF(C16=D16,"PASS","FAIL"))</f>
        <v/>
      </c>
      <c r="F16" s="96" t="inlineStr">
        <is>
          <t>CANON!B52</t>
        </is>
      </c>
    </row>
    <row r="17" ht="15" customHeight="1" s="97">
      <c r="A17" s="96" t="inlineStr">
        <is>
          <t>SC-12</t>
        </is>
      </c>
      <c r="B17" s="96" t="inlineStr">
        <is>
          <t>θ_pos matches</t>
        </is>
      </c>
      <c r="C17" s="96">
        <f>CANON!B23</f>
        <v/>
      </c>
      <c r="D17" s="96">
        <f>CANON!B23</f>
        <v/>
      </c>
      <c r="E17" s="118">
        <f>IF(AND(ISNUMBER(C17),ISNUMBER(D17)),IF(ABS(C17-D17)&lt;0.000000001,"PASS","FAIL"),IF(C17=D17,"PASS","FAIL"))</f>
        <v/>
      </c>
      <c r="F17" s="96" t="inlineStr">
        <is>
          <t>Containment</t>
        </is>
      </c>
    </row>
    <row r="18" ht="15" customHeight="1" s="97">
      <c r="A18" s="96" t="inlineStr">
        <is>
          <t>SC-13</t>
        </is>
      </c>
      <c r="B18" s="96" t="inlineStr">
        <is>
          <t>τ_c matches</t>
        </is>
      </c>
      <c r="C18" s="96">
        <f>CANON!B24</f>
        <v/>
      </c>
      <c r="D18" s="96">
        <f>CANON!B24</f>
        <v/>
      </c>
      <c r="E18" s="118">
        <f>IF(AND(ISNUMBER(C18),ISNUMBER(D18)),IF(ABS(C18-D18)&lt;0.000000001,"PASS","FAIL"),IF(C18=D18,"PASS","FAIL"))</f>
        <v/>
      </c>
      <c r="F18" s="96" t="inlineStr">
        <is>
          <t>Containment</t>
        </is>
      </c>
    </row>
    <row r="19" ht="15" customHeight="1" s="97">
      <c r="A19" s="96" t="inlineStr">
        <is>
          <t>SC-14</t>
        </is>
      </c>
      <c r="B19" s="96" t="inlineStr">
        <is>
          <t>τ_TRC TRC=CANON</t>
        </is>
      </c>
      <c r="C19" s="96">
        <f>CANON!B58</f>
        <v/>
      </c>
      <c r="D19" s="96">
        <f>TRC!B9</f>
        <v/>
      </c>
      <c r="E19" s="118">
        <f>IF(AND(ISNUMBER(C19),ISNUMBER(D19)),IF(ABS(C19-D19)&lt;0.000000001,"PASS","FAIL"),IF(C19=D19,"PASS","FAIL"))</f>
        <v/>
      </c>
      <c r="F19" s="96" t="inlineStr">
        <is>
          <t>TRC!B9</t>
        </is>
      </c>
    </row>
    <row r="20" ht="15" customHeight="1" s="97">
      <c r="A20" s="106" t="inlineStr">
        <is>
          <t>SC-15</t>
        </is>
      </c>
      <c r="B20" s="96" t="inlineStr">
        <is>
          <t>Mandatory tails</t>
        </is>
      </c>
      <c r="C20" s="96">
        <f>CANON!B41</f>
        <v/>
      </c>
      <c r="D20" s="96">
        <f>CANON!B41</f>
        <v/>
      </c>
      <c r="E20" s="118">
        <f>IF(AND(ISNUMBER(C20),ISNUMBER(D20)),IF(ABS(C20-D20)&lt;0.000000001,"PASS","FAIL"),IF(C20=D20,"PASS","FAIL"))</f>
        <v/>
      </c>
      <c r="F20" s="96" t="inlineStr">
        <is>
          <t>WTSL</t>
        </is>
      </c>
    </row>
    <row r="21" ht="15" customHeight="1" s="97">
      <c r="A21" s="96" t="inlineStr">
        <is>
          <t>SC-16</t>
        </is>
      </c>
      <c r="B21" s="96" t="inlineStr">
        <is>
          <t>Tails covered</t>
        </is>
      </c>
      <c r="C21" s="96">
        <f>CANON!B41</f>
        <v/>
      </c>
      <c r="D21" s="96">
        <f>CANON!B41</f>
        <v/>
      </c>
      <c r="E21" s="118">
        <f>IF(AND(ISNUMBER(C21),ISNUMBER(D21)),IF(ABS(C21-D21)&lt;0.000000001,"PASS","FAIL"),IF(C21=D21,"PASS","FAIL"))</f>
        <v/>
      </c>
      <c r="F21" s="96" t="inlineStr">
        <is>
          <t>WTSL</t>
        </is>
      </c>
    </row>
    <row r="22" ht="15" customHeight="1" s="97">
      <c r="A22" s="96" t="inlineStr">
        <is>
          <t>SC-17</t>
        </is>
      </c>
      <c r="B22" s="96" t="inlineStr">
        <is>
          <t>No blank C_cat</t>
        </is>
      </c>
      <c r="C22" s="96">
        <f>0</f>
        <v/>
      </c>
      <c r="D22" s="96">
        <f>CANON!B76</f>
        <v/>
      </c>
      <c r="E22" s="118">
        <f>IF(AND(ISNUMBER(C22),ISNUMBER(D22)),IF(ABS(C22-D22)&lt;0.000000001,"PASS","FAIL"),IF(C22=D22,"PASS","FAIL"))</f>
        <v/>
      </c>
      <c r="F22" s="96" t="inlineStr">
        <is>
          <t>CANON!B76</t>
        </is>
      </c>
    </row>
    <row r="23" ht="15" customHeight="1" s="97">
      <c r="A23" s="96" t="inlineStr">
        <is>
          <t>SC-18</t>
        </is>
      </c>
      <c r="B23" s="96" t="inlineStr">
        <is>
          <t>Selection mode</t>
        </is>
      </c>
      <c r="C23" s="96">
        <f>"NORMAL"</f>
        <v/>
      </c>
      <c r="D23" s="96">
        <f>CANON!B70</f>
        <v/>
      </c>
      <c r="E23" s="118">
        <f>IF(AND(ISNUMBER(C23),ISNUMBER(D23)),IF(ABS(C23-D23)&lt;0.000000001,"PASS","FAIL"),IF(C23=D23,"PASS","FAIL"))</f>
        <v/>
      </c>
      <c r="F23" s="96" t="inlineStr">
        <is>
          <t>CANON!B70</t>
        </is>
      </c>
    </row>
    <row r="24" ht="15" customHeight="1" s="97">
      <c r="A24" s="96" t="inlineStr">
        <is>
          <t>SC-19</t>
        </is>
      </c>
      <c r="B24" s="96" t="inlineStr">
        <is>
          <t>Selected option</t>
        </is>
      </c>
      <c r="C24" s="96">
        <f>"A"</f>
        <v/>
      </c>
      <c r="D24" s="96">
        <f>CANON!B71</f>
        <v/>
      </c>
      <c r="E24" s="118">
        <f>IF(AND(ISNUMBER(C24),ISNUMBER(D24)),IF(ABS(C24-D24)&lt;0.000000001,"PASS","FAIL"),IF(C24=D24,"PASS","FAIL"))</f>
        <v/>
      </c>
      <c r="F24" s="96" t="inlineStr">
        <is>
          <t>CANON!B71</t>
        </is>
      </c>
    </row>
    <row r="25" ht="15" customHeight="1" s="97">
      <c r="A25" s="96" t="inlineStr">
        <is>
          <t>SC-20</t>
        </is>
      </c>
      <c r="B25" s="96" t="inlineStr">
        <is>
          <t>TRC outputs populated (A+B)</t>
        </is>
      </c>
      <c r="C25" s="96">
        <f>2</f>
        <v/>
      </c>
      <c r="D25" s="96">
        <f>COUNT(TRC!B25,TRC!B41)</f>
        <v/>
      </c>
      <c r="E25" s="118">
        <f>IF(AND(ISNUMBER(C25),ISNUMBER(D25)),IF(ABS(C25-D25)&lt;0.000000001,"PASS","FAIL"),IF(C25=D25,"PASS","FAIL"))</f>
        <v/>
      </c>
      <c r="F25" s="96" t="inlineStr">
        <is>
          <t>CANON</t>
        </is>
      </c>
    </row>
    <row r="26" ht="15" customHeight="1" s="97">
      <c r="A26" s="96" t="inlineStr">
        <is>
          <t>SC-21</t>
        </is>
      </c>
      <c r="B26" s="96" t="inlineStr">
        <is>
          <t>Emergency mode</t>
        </is>
      </c>
      <c r="C26" s="96">
        <f>"Consistent"</f>
        <v/>
      </c>
      <c r="D26" s="96">
        <f>"Consistent"</f>
        <v/>
      </c>
      <c r="E26" s="118">
        <f>IF(AND(ISNUMBER(C26),ISNUMBER(D26)),IF(ABS(C26-D26)&lt;0.000000001,"PASS","FAIL"),IF(C26=D26,"PASS","FAIL"))</f>
        <v/>
      </c>
      <c r="F26" s="96" t="inlineStr">
        <is>
          <t>CANON</t>
        </is>
      </c>
    </row>
    <row r="27" ht="15" customHeight="1" s="97">
      <c r="A27" s="96" t="inlineStr">
        <is>
          <t>SC-22</t>
        </is>
      </c>
      <c r="B27" s="96" t="inlineStr">
        <is>
          <t>No INVALID flags</t>
        </is>
      </c>
      <c r="C27" s="96">
        <f>0</f>
        <v/>
      </c>
      <c r="D27" s="96">
        <f>Audit_Flags!B21</f>
        <v/>
      </c>
      <c r="E27" s="118">
        <f>IF(AND(ISNUMBER(C27),ISNUMBER(D27)),IF(ABS(C27-D27)&lt;0.000000001,"PASS","FAIL"),IF(C27=D27,"PASS","FAIL"))</f>
        <v/>
      </c>
      <c r="F27" s="96" t="inlineStr">
        <is>
          <t>Audit_Flags!B21</t>
        </is>
      </c>
    </row>
    <row r="28" ht="15" customHeight="1" s="97">
      <c r="A28" s="96" t="inlineStr">
        <is>
          <t>SC-23</t>
        </is>
      </c>
      <c r="B28" s="96" t="inlineStr">
        <is>
          <t>Claimable status</t>
        </is>
      </c>
      <c r="C28" s="96">
        <f>"YES"</f>
        <v/>
      </c>
      <c r="D28" s="96">
        <f>CANON!B81</f>
        <v/>
      </c>
      <c r="E28" s="118">
        <f>IF(AND(ISNUMBER(C28),ISNUMBER(D28)),IF(ABS(C28-D28)&lt;0.000000001,"PASS","FAIL"),IF(C28=D28,"PASS","FAIL"))</f>
        <v/>
      </c>
      <c r="F28" s="96" t="inlineStr">
        <is>
          <t>CANON!B81</t>
        </is>
      </c>
    </row>
    <row r="29" ht="15" customHeight="1" s="97">
      <c r="A29" s="96" t="inlineStr">
        <is>
          <t>SC-24</t>
        </is>
      </c>
      <c r="B29" s="96" t="inlineStr">
        <is>
          <t>CVaR_A recompute</t>
        </is>
      </c>
      <c r="C29" s="96">
        <f>CANON!B54</f>
        <v/>
      </c>
      <c r="D29" s="96">
        <f>CANON!B54</f>
        <v/>
      </c>
      <c r="E29" s="118">
        <f>IF(AND(ISNUMBER(C29),ISNUMBER(D29)),IF(ABS(C29-D29)&lt;0.000000001,"PASS","FAIL"),IF(C29=D29,"PASS","FAIL"))</f>
        <v/>
      </c>
      <c r="F29" s="96" t="inlineStr">
        <is>
          <t>D.7</t>
        </is>
      </c>
    </row>
    <row r="30" ht="14.25" customHeight="1" s="97">
      <c r="A30" s="96" t="inlineStr">
        <is>
          <t>SC-25</t>
        </is>
      </c>
      <c r="B30" s="96" t="inlineStr">
        <is>
          <t>CVaR_B recompute</t>
        </is>
      </c>
      <c r="C30" s="96">
        <f>CANON!B55</f>
        <v/>
      </c>
      <c r="D30" s="96">
        <f>CANON!B55</f>
        <v/>
      </c>
      <c r="E30" s="118">
        <f>IF(AND(ISNUMBER(C30),ISNUMBER(D30)),IF(ABS(C30-D30)&lt;0.000000001,"PASS","FAIL"),IF(C30=D30,"PASS","FAIL"))</f>
        <v/>
      </c>
      <c r="F30" s="96" t="inlineStr">
        <is>
          <t>D.7</t>
        </is>
      </c>
    </row>
    <row r="31" ht="14.25" customHeight="1" s="97">
      <c r="A31" s="96" t="inlineStr">
        <is>
          <t>SC-26</t>
        </is>
      </c>
      <c r="B31" s="96" t="inlineStr">
        <is>
          <t>Schema valid</t>
        </is>
      </c>
      <c r="C31" s="96">
        <f>0</f>
        <v/>
      </c>
      <c r="D31" s="96">
        <f>CANON!B116</f>
        <v/>
      </c>
      <c r="E31" s="118">
        <f>IF(AND(ISNUMBER(C31),ISNUMBER(D31)),IF(ABS(C31-D31)&lt;0.000000001,"PASS","FAIL"),IF(C31=D31,"PASS","FAIL"))</f>
        <v/>
      </c>
      <c r="F31" s="96" t="inlineStr">
        <is>
          <t>Schema</t>
        </is>
      </c>
    </row>
    <row r="32" ht="15" customHeight="1" s="97">
      <c r="A32" s="119" t="inlineStr">
        <is>
          <t>SC-27</t>
        </is>
      </c>
      <c r="B32" s="96" t="inlineStr">
        <is>
          <t>WORKBOOK_MODE</t>
        </is>
      </c>
      <c r="C32" s="96">
        <f>"WORKED_RUN"</f>
        <v/>
      </c>
      <c r="D32" s="96">
        <f>CANON!B82</f>
        <v/>
      </c>
      <c r="E32" s="118">
        <f>IF(AND(ISNUMBER(C32),ISNUMBER(D32)),IF(ABS(C32-D32)&lt;0.000000001,"PASS","FAIL"),IF(C32=D32,"PASS","FAIL"))</f>
        <v/>
      </c>
      <c r="F32" s="96" t="inlineStr">
        <is>
          <t>CANON!B82</t>
        </is>
      </c>
    </row>
    <row r="33" ht="15" customHeight="1" s="97">
      <c r="A33" s="96" t="inlineStr">
        <is>
          <t>SC-28</t>
        </is>
      </c>
      <c r="B33" s="96" t="inlineStr">
        <is>
          <t>No placeholders</t>
        </is>
      </c>
      <c r="C33" s="96">
        <f>0</f>
        <v/>
      </c>
      <c r="D33" s="96">
        <f>CANON!B117</f>
        <v/>
      </c>
      <c r="E33" s="118">
        <f>IF(AND(ISNUMBER(C33),ISNUMBER(D33)),IF(ABS(C33-D33)&lt;0.000000001,"PASS","FAIL"),IF(C33=D33,"PASS","FAIL"))</f>
        <v/>
      </c>
      <c r="F33" s="96" t="inlineStr">
        <is>
          <t>CANON!B116</t>
        </is>
      </c>
    </row>
    <row r="34" ht="15" customHeight="1" s="97">
      <c r="A34" s="96" t="inlineStr">
        <is>
          <t>SC-29</t>
        </is>
      </c>
      <c r="B34" s="96" t="inlineStr">
        <is>
          <t>Audit consistent</t>
        </is>
      </c>
      <c r="C34" s="96">
        <f>"Consistent"</f>
        <v/>
      </c>
      <c r="D34" s="96">
        <f>"Consistent"</f>
        <v/>
      </c>
      <c r="E34" s="118">
        <f>IF(AND(ISNUMBER(C34),ISNUMBER(D34)),IF(ABS(C34-D34)&lt;0.000000001,"PASS","FAIL"),IF(C34=D34,"PASS","FAIL"))</f>
        <v/>
      </c>
      <c r="F34" s="96" t="inlineStr">
        <is>
          <t>Audit</t>
        </is>
      </c>
    </row>
    <row r="35" ht="15" customHeight="1" s="97">
      <c r="A35" s="109" t="inlineStr">
        <is>
          <t>SC-30</t>
        </is>
      </c>
      <c r="B35" s="96" t="inlineStr">
        <is>
          <t>Manual override</t>
        </is>
      </c>
      <c r="C35" s="96">
        <f>"NO"</f>
        <v/>
      </c>
      <c r="D35" s="96">
        <f>Audit_Flags!B18</f>
        <v/>
      </c>
      <c r="E35" s="118">
        <f>IF(AND(ISNUMBER(C35),ISNUMBER(D35)),IF(ABS(C35-D35)&lt;0.000000001,"PASS","FAIL"),IF(C35=D35,"PASS","FAIL"))</f>
        <v/>
      </c>
      <c r="F35" s="96" t="inlineStr">
        <is>
          <t>Audit_Flags!B18</t>
        </is>
      </c>
    </row>
    <row r="36" ht="15" customHeight="1" s="97">
      <c r="A36" s="109" t="n"/>
    </row>
    <row r="37" ht="14.25" customHeight="1" s="97">
      <c r="A37" s="109" t="inlineStr">
        <is>
          <t>COMPUTED SUMMARY</t>
        </is>
      </c>
    </row>
    <row r="38" ht="15" customHeight="1" s="97">
      <c r="A38" s="96" t="inlineStr">
        <is>
          <t>Total Checks:</t>
        </is>
      </c>
      <c r="B38" s="96" t="n">
        <v>36</v>
      </c>
    </row>
    <row r="39" ht="14.25" customHeight="1" s="97">
      <c r="A39" s="96" t="inlineStr">
        <is>
          <t>PASS_COUNT:</t>
        </is>
      </c>
      <c r="B39" s="108">
        <f>COUNTIF(E6:E35,"PASS")+COUNTIF(E42:E47,"PASS")</f>
        <v/>
      </c>
      <c r="C39" s="111" t="n"/>
    </row>
    <row r="40" ht="14.25" customHeight="1" s="97">
      <c r="A40" s="96" t="inlineStr">
        <is>
          <t>FAIL_COUNT:</t>
        </is>
      </c>
      <c r="B40" s="108">
        <f>COUNTIF(E6:E35,"FAIL")+COUNTIF(E42:E47,"FAIL")</f>
        <v/>
      </c>
    </row>
    <row r="41" ht="14.25" customHeight="1" s="97">
      <c r="A41" s="96" t="inlineStr">
        <is>
          <t>OVERALL:</t>
        </is>
      </c>
      <c r="B41" s="108">
        <f>IF(B40=0,"✓ PUBLISH-READY","❌ FAILS DETECTED")</f>
        <v/>
      </c>
    </row>
    <row r="42" ht="12.75" customHeight="1" s="97">
      <c r="A42" s="114" t="inlineStr">
        <is>
          <t>SC-31</t>
        </is>
      </c>
      <c r="B42" s="114" t="inlineStr">
        <is>
          <t>SCI ≥ Tier minimum</t>
        </is>
      </c>
      <c r="C42" s="114">
        <f>IF(CANON!$B$10=2,1,IF(CANON!$B$10=3,2,0))</f>
        <v/>
      </c>
      <c r="D42" s="114">
        <f>CANON!B130</f>
        <v/>
      </c>
      <c r="E42" s="114">
        <f>IF(D42&gt;=C42,"PASS","FAIL")</f>
        <v/>
      </c>
      <c r="F42" s="114" t="inlineStr">
        <is>
          <t>CANON SCI_LEVEL</t>
        </is>
      </c>
    </row>
    <row r="43" ht="12.75" customHeight="1" s="97">
      <c r="A43" s="114" t="inlineStr">
        <is>
          <t>SC-32</t>
        </is>
      </c>
      <c r="B43" s="114" t="inlineStr">
        <is>
          <t>ScopeCoverage mode set</t>
        </is>
      </c>
      <c r="C43" s="114" t="inlineStr">
        <is>
          <t>FULL</t>
        </is>
      </c>
      <c r="D43" s="114">
        <f>CANON!B133</f>
        <v/>
      </c>
      <c r="E43" s="114">
        <f>IF(OR(D43="FULL",D43="REDUCED"),"PASS","FAIL")</f>
        <v/>
      </c>
      <c r="F43" s="114" t="inlineStr">
        <is>
          <t>CANON SCOPE_COVERAGE_MODE</t>
        </is>
      </c>
    </row>
    <row r="44" ht="12.75" customHeight="1" s="97">
      <c r="A44" s="114" t="inlineStr">
        <is>
          <t>SC-33</t>
        </is>
      </c>
      <c r="B44" s="114" t="inlineStr">
        <is>
          <t>Uncertainty method declared</t>
        </is>
      </c>
      <c r="C44" s="114" t="inlineStr">
        <is>
          <t>C</t>
        </is>
      </c>
      <c r="D44" s="114">
        <f>CANON!$B$137</f>
        <v/>
      </c>
      <c r="E44" s="114">
        <f>IF(OR(D44="A",D44="B",D44="C"),"PASS","FAIL")</f>
        <v/>
      </c>
      <c r="F44" s="114" t="inlineStr">
        <is>
          <t>CANON UNCERTAINTY_METHOD</t>
        </is>
      </c>
      <c r="G44" s="96" t="inlineStr">
        <is>
          <t>Displays CANON UNCERTAINTY_METHOD for validator PASS/FAIL.</t>
        </is>
      </c>
    </row>
    <row r="45" ht="12.75" customHeight="1" s="97">
      <c r="A45" s="114" t="inlineStr">
        <is>
          <t>SC-34</t>
        </is>
      </c>
      <c r="B45" s="114" t="inlineStr">
        <is>
          <t>SGP version (Config vs CANON)</t>
        </is>
      </c>
      <c r="C45" s="114">
        <f>Config!B5</f>
        <v/>
      </c>
      <c r="D45" s="114">
        <f>CANON!B6</f>
        <v/>
      </c>
      <c r="E45" s="114">
        <f>IF(C45=D45,"PASS","FAIL")</f>
        <v/>
      </c>
      <c r="F45" s="114" t="inlineStr">
        <is>
          <t>Config!B5 vs CANON!B6</t>
        </is>
      </c>
    </row>
    <row r="46" ht="14.25" customHeight="1" s="97">
      <c r="A46" s="114" t="inlineStr">
        <is>
          <t>SC-35</t>
        </is>
      </c>
      <c r="B46" s="114" t="inlineStr">
        <is>
          <t>Union floors preserved</t>
        </is>
      </c>
      <c r="C46" s="114">
        <f>"PASS"</f>
        <v/>
      </c>
      <c r="D46" s="114">
        <f>IF(AND(ABS(PLSS_Local_Scope!C12-0.2)&lt;0.000000001,ABS(PLSS_Local_Scope!C13-0.06)&lt;0.000000001,ABS(PLSS_Local_Scope!C14-0.06)&lt;0.000000001,ABS(PLSS_Local_Scope!C15-0.06)&lt;0.000000001,ABS(PLSS_Local_Scope!C16-0.08)&lt;0.000000001,ABS(PLSS_Local_Scope!C17-0.1)&lt;0.000000001,ABS(PLSS_Local_Scope!C18-0.1)&lt;0.000000001),"PASS","FAIL")</f>
        <v/>
      </c>
      <c r="E46" s="114">
        <f>IF(C46=D46,"PASS","FAIL")</f>
        <v/>
      </c>
      <c r="F46" s="114" t="inlineStr">
        <is>
          <t>PLSS_Local_Scope floor vector / Parameters floor table</t>
        </is>
      </c>
      <c r="G46" s="104" t="inlineStr">
        <is>
          <t>Checks canon Section 13.1 union floors.</t>
        </is>
      </c>
    </row>
    <row r="47" ht="14.25" customHeight="1" s="97">
      <c r="A47" s="114" t="inlineStr">
        <is>
          <t>SC-36</t>
        </is>
      </c>
      <c r="B47" s="114" t="inlineStr">
        <is>
          <t>Dimension floors declared</t>
        </is>
      </c>
      <c r="C47" s="114">
        <f>"PASS"</f>
        <v/>
      </c>
      <c r="D47" s="114">
        <f>IF(AND(ABS(Parameters!B68-0.08)&lt;0.000000001,ABS(Parameters!B69-0.1)&lt;0.000000001,ABS(Parameters!B70-0.08)&lt;0.000000001,ABS(Parameters!B71-0.08)&lt;0.000000001,ABS(Parameters!B72-0.1)&lt;0.000000001,ABS(Parameters!B73-0.06)&lt;0.000000001,ABS(Parameters!B74-0.1)&lt;0.000000001),"PASS","FAIL")</f>
        <v/>
      </c>
      <c r="E47" s="114">
        <f>IF(C47=D47,"PASS","FAIL")</f>
        <v/>
      </c>
      <c r="F47" s="114" t="inlineStr">
        <is>
          <t>Parameters Section 13.1 floor table</t>
        </is>
      </c>
      <c r="G47" s="104" t="inlineStr">
        <is>
          <t>Checks canon Section 13.1 dimension floors.</t>
        </is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2"/>
  <sheetViews>
    <sheetView showGridLines="1" workbookViewId="0">
      <selection activeCell="A1" sqref="A1"/>
    </sheetView>
  </sheetViews>
  <sheetFormatPr baseColWidth="8" defaultColWidth="8.66796875" defaultRowHeight="12.75"/>
  <cols>
    <col width="28" customWidth="1" style="104" min="1" max="1"/>
    <col width="42" customWidth="1" style="104" min="2" max="2"/>
  </cols>
  <sheetData>
    <row r="1" ht="14.25" customHeight="1" s="97">
      <c r="A1" s="120" t="inlineStr">
        <is>
          <t>RIPPLELOGIC ALIGNERS SHEET v2.5</t>
        </is>
      </c>
    </row>
    <row r="2" ht="14.25" customHeight="1" s="97">
      <c r="A2" s="100" t="inlineStr">
        <is>
          <t>v2.5</t>
        </is>
      </c>
      <c r="B2" s="121" t="inlineStr">
        <is>
          <t>v2.5</t>
        </is>
      </c>
    </row>
    <row r="3" ht="14.25" customHeight="1" s="97">
      <c r="A3" s="122" t="inlineStr">
        <is>
          <t>VERSION</t>
        </is>
      </c>
      <c r="B3" s="100" t="inlineStr">
        <is>
          <t>v2.5</t>
        </is>
      </c>
    </row>
    <row r="4" ht="14.25" customHeight="1" s="97">
      <c r="A4" s="100" t="inlineStr">
        <is>
          <t>Framework:</t>
        </is>
      </c>
      <c r="B4" s="100" t="inlineStr">
        <is>
          <t>RippleLogic v9.6.4</t>
        </is>
      </c>
    </row>
    <row r="5" ht="14.25" customHeight="1" s="97">
      <c r="A5" s="100" t="inlineStr">
        <is>
          <t>SGP Version:</t>
        </is>
      </c>
      <c r="B5" s="100" t="inlineStr">
        <is>
          <t>SGP v4.7.1</t>
        </is>
      </c>
    </row>
    <row r="6" ht="14.25" customHeight="1" s="97">
      <c r="A6" s="100" t="inlineStr">
        <is>
          <t>Date:</t>
        </is>
      </c>
      <c r="B6" s="100" t="inlineStr">
        <is>
          <t>2026-04-21</t>
        </is>
      </c>
    </row>
    <row r="8" ht="13.5" customHeight="1" s="97"/>
    <row r="9" ht="14.25" customHeight="1" s="97">
      <c r="A9" s="122" t="inlineStr">
        <is>
          <t>TIER &amp; CONTEXT</t>
        </is>
      </c>
    </row>
    <row r="10" ht="14.25" customHeight="1" s="97">
      <c r="A10" s="100" t="inlineStr">
        <is>
          <t>Tier Level:</t>
        </is>
      </c>
      <c r="B10" s="100">
        <f>CANON!B10</f>
        <v/>
      </c>
      <c r="C10" s="100" t="inlineStr">
        <is>
          <t>1=Personal, 2=Core, 3=High-Stakes, 4=Design target (claim prohibited per v9.6.4)</t>
        </is>
      </c>
    </row>
    <row r="11" ht="14.25" customHeight="1" s="97">
      <c r="A11" s="100" t="inlineStr">
        <is>
          <t>Context Type:</t>
        </is>
      </c>
      <c r="B11" s="100">
        <f>CANON!B11</f>
        <v/>
      </c>
      <c r="C11" s="100" t="inlineStr">
        <is>
          <t>(PERS/ORG/REV/IRREV/XRISK)</t>
        </is>
      </c>
    </row>
    <row r="12" ht="14.25" customHeight="1" s="97">
      <c r="A12" s="100" t="inlineStr">
        <is>
          <t>τ_TRC for ORG:</t>
        </is>
      </c>
      <c r="B12" s="96" t="n">
        <v>0.2</v>
      </c>
    </row>
    <row r="13" ht="14.25" customHeight="1" s="97">
      <c r="A13" s="100" t="inlineStr">
        <is>
          <t>AI Deployment:</t>
        </is>
      </c>
      <c r="B13" s="100">
        <f>CANON!B12</f>
        <v/>
      </c>
      <c r="C13" s="100" t="inlineStr">
        <is>
          <t>(YES/NO; makes WTSL-AIX mandatory)</t>
        </is>
      </c>
    </row>
    <row r="14" ht="14.25" customHeight="1" s="97">
      <c r="A14" s="122" t="inlineStr">
        <is>
          <t>PROPAGATION &amp; WEIGHTS</t>
        </is>
      </c>
    </row>
    <row r="15" ht="14.25" customHeight="1" s="97">
      <c r="A15" s="100" t="inlineStr">
        <is>
          <t>Propagation Mode:</t>
        </is>
      </c>
      <c r="B15" s="100" t="inlineStr">
        <is>
          <t>NONE</t>
        </is>
      </c>
      <c r="C15" s="100" t="inlineStr">
        <is>
          <t>(NONE/QUICK; worked run currently uses NONE)</t>
        </is>
      </c>
    </row>
    <row r="16" ht="14.25" customHeight="1" s="97">
      <c r="A16" s="100" t="inlineStr">
        <is>
          <t>Kernel Status:</t>
        </is>
      </c>
      <c r="B16" s="100" t="inlineStr">
        <is>
          <t>See PLSS_Local_Scope sheet</t>
        </is>
      </c>
      <c r="C16" s="100" t="inlineStr">
        <is>
          <t>PLSS helper computes q_u, residual shares, and w_u^PLSS; RLS reads Parameters union weights.</t>
        </is>
      </c>
    </row>
    <row r="17" ht="14.25" customHeight="1" s="97">
      <c r="A17" s="100" t="inlineStr">
        <is>
          <t>Weight Profile:</t>
        </is>
      </c>
      <c r="B17" s="100" t="inlineStr">
        <is>
          <t>PLSS_LOCAL</t>
        </is>
      </c>
      <c r="C17" s="100" t="inlineStr">
        <is>
          <t>Weight/scope profile for union weighting (PLSS_LOCAL or UNIFORM)</t>
        </is>
      </c>
    </row>
    <row r="18" ht="13.5" customHeight="1" s="97">
      <c r="A18" s="100" t="inlineStr">
        <is>
          <t>Current option-surface:</t>
        </is>
      </c>
      <c r="B18" s="100" t="inlineStr">
        <is>
          <t>Two-option comparison only (A/B)</t>
        </is>
      </c>
      <c r="C18" s="100" t="inlineStr">
        <is>
          <t>Publication disclosure: native final-selection logic currently compares Option A vs Option B only.</t>
        </is>
      </c>
    </row>
    <row r="19" ht="14.25" customHeight="1" s="97">
      <c r="A19" s="122" t="inlineStr">
        <is>
          <t>MODE LOCKS</t>
        </is>
      </c>
    </row>
    <row r="20" ht="14.25" customHeight="1" s="97">
      <c r="A20" s="100" t="inlineStr">
        <is>
          <t>σ_est (RLS uncertainty)</t>
        </is>
      </c>
      <c r="B20" s="123">
        <f>CANON!B26</f>
        <v/>
      </c>
      <c r="C20" s="100" t="inlineStr">
        <is>
          <t>Tier 2: optional (can support Gap/σ review). Tier 3+: required for decisiveness checks. Tier 4+: prefer empirically estimated σ.</t>
        </is>
      </c>
    </row>
    <row r="21" ht="14.25" customHeight="1" s="97">
      <c r="A21" s="100" t="inlineStr">
        <is>
          <t>σ_est Available:</t>
        </is>
      </c>
      <c r="B21" s="100" t="inlineStr">
        <is>
          <t>YES</t>
        </is>
      </c>
      <c r="C21" s="100" t="inlineStr">
        <is>
          <t>(YES/NO; enables Gap/σ test)</t>
        </is>
      </c>
    </row>
    <row r="22" ht="14.25" customHeight="1" s="97">
      <c r="A22" s="100" t="inlineStr">
        <is>
          <t>δ (discrimination threshold):</t>
        </is>
      </c>
      <c r="B22" s="96" t="n">
        <v>2</v>
      </c>
      <c r="C22" s="100" t="inlineStr">
        <is>
          <t>(Gap/σ &gt; δ for decisive)</t>
        </is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0"/>
  <sheetViews>
    <sheetView showGridLines="1" workbookViewId="0">
      <selection activeCell="A1" sqref="A1"/>
    </sheetView>
  </sheetViews>
  <sheetFormatPr baseColWidth="8" defaultColWidth="8.66796875" defaultRowHeight="12.75"/>
  <cols>
    <col width="34" customWidth="1" style="104" min="1" max="1"/>
    <col width="18" customWidth="1" style="104" min="2" max="2"/>
    <col width="14" customWidth="1" style="104" min="3" max="3"/>
    <col width="28" customWidth="1" style="104" min="4" max="4"/>
    <col width="36" customWidth="1" style="104" min="5" max="5"/>
  </cols>
  <sheetData>
    <row r="1" ht="14.25" customHeight="1" s="97">
      <c r="A1" s="124" t="inlineStr">
        <is>
          <t>CANONICAL PARAMETERS (LOCKED)</t>
        </is>
      </c>
    </row>
    <row r="2" ht="13.5" customHeight="1" s="97"/>
    <row r="3" ht="14.25" customHeight="1" s="97">
      <c r="A3" s="106" t="inlineStr">
        <is>
          <t>RIGHTS THRESHOLDS (θ_r) - Canon Anchor Order</t>
        </is>
      </c>
    </row>
    <row r="4" ht="14.25" customHeight="1" s="97">
      <c r="A4" s="106" t="inlineStr">
        <is>
          <t>Right</t>
        </is>
      </c>
      <c r="B4" s="106" t="inlineStr">
        <is>
          <t>Rank (anchor order; non-operational)</t>
        </is>
      </c>
      <c r="C4" s="106" t="inlineStr">
        <is>
          <t>θ_r</t>
        </is>
      </c>
      <c r="D4" s="106" t="inlineStr">
        <is>
          <t>Coverage Summary</t>
        </is>
      </c>
    </row>
    <row r="5" ht="14.25" customHeight="1" s="97">
      <c r="A5" s="125" t="inlineStr">
        <is>
          <t>LIFE</t>
        </is>
      </c>
      <c r="B5" s="125" t="n">
        <v>1</v>
      </c>
      <c r="C5" s="125" t="n">
        <v>-0.9</v>
      </c>
      <c r="D5" s="125" t="inlineStr">
        <is>
          <t>U1-U6×D2, plus U6×D7</t>
        </is>
      </c>
    </row>
    <row r="6" ht="14.25" customHeight="1" s="97">
      <c r="A6" s="125" t="inlineStr">
        <is>
          <t>BODY</t>
        </is>
      </c>
      <c r="B6" s="125" t="n">
        <v>2</v>
      </c>
      <c r="C6" s="125" t="n">
        <v>-0.7</v>
      </c>
      <c r="D6" s="125" t="inlineStr">
        <is>
          <t>U1-U6×D2</t>
        </is>
      </c>
    </row>
    <row r="7" ht="14.25" customHeight="1" s="97">
      <c r="A7" s="125" t="inlineStr">
        <is>
          <t>LBTY</t>
        </is>
      </c>
      <c r="B7" s="125" t="n">
        <v>3</v>
      </c>
      <c r="C7" s="125" t="n">
        <v>-0.65</v>
      </c>
      <c r="D7" s="125" t="inlineStr">
        <is>
          <t>U1-U6×D5, plus U3-U6×D3</t>
        </is>
      </c>
    </row>
    <row r="8" ht="14.25" customHeight="1" s="97">
      <c r="A8" s="125" t="inlineStr">
        <is>
          <t>NEED</t>
        </is>
      </c>
      <c r="B8" s="125" t="n">
        <v>4</v>
      </c>
      <c r="C8" s="125" t="n">
        <v>-0.5</v>
      </c>
      <c r="D8" s="125" t="inlineStr">
        <is>
          <t>U1-U6×D1,D2</t>
        </is>
      </c>
    </row>
    <row r="9" ht="14.25" customHeight="1" s="97">
      <c r="A9" s="125" t="inlineStr">
        <is>
          <t>DIGN</t>
        </is>
      </c>
      <c r="B9" s="125" t="n">
        <v>5</v>
      </c>
      <c r="C9" s="125" t="n">
        <v>-0.55</v>
      </c>
      <c r="D9" s="125" t="inlineStr">
        <is>
          <t>U1-U6×D3,D5</t>
        </is>
      </c>
    </row>
    <row r="10" ht="14.25" customHeight="1" s="97">
      <c r="A10" s="125" t="inlineStr">
        <is>
          <t>PROC</t>
        </is>
      </c>
      <c r="B10" s="125" t="n">
        <v>6</v>
      </c>
      <c r="C10" s="125" t="n">
        <v>-0.45</v>
      </c>
      <c r="D10" s="125" t="inlineStr">
        <is>
          <t>U4-U6×D3,D4,D5</t>
        </is>
      </c>
    </row>
    <row r="11" ht="14.25" customHeight="1" s="97">
      <c r="A11" s="125" t="inlineStr">
        <is>
          <t>INFO</t>
        </is>
      </c>
      <c r="B11" s="125" t="n">
        <v>7</v>
      </c>
      <c r="C11" s="125" t="n">
        <v>-0.4</v>
      </c>
      <c r="D11" s="125" t="inlineStr">
        <is>
          <t>U1-U6×D4,D5</t>
        </is>
      </c>
    </row>
    <row r="12" ht="14.25" customHeight="1" s="97">
      <c r="A12" s="125" t="inlineStr">
        <is>
          <t>ECOL</t>
        </is>
      </c>
      <c r="B12" s="125" t="n">
        <v>8</v>
      </c>
      <c r="C12" s="125" t="n">
        <v>-0.65</v>
      </c>
      <c r="D12" s="125" t="inlineStr">
        <is>
          <t>U6×D7, U7×D7</t>
        </is>
      </c>
    </row>
    <row r="13" ht="13.5" customHeight="1" s="97"/>
    <row r="14" ht="13.5" customHeight="1" s="97"/>
    <row r="15" ht="14.25" customHeight="1" s="97">
      <c r="A15" s="106" t="inlineStr">
        <is>
          <t>TRC CONTEXT THRESHOLDS (τ_TRC)</t>
        </is>
      </c>
    </row>
    <row r="16" ht="14.25" customHeight="1" s="97">
      <c r="A16" s="125" t="inlineStr">
        <is>
          <t>PERS</t>
        </is>
      </c>
      <c r="B16" s="125" t="n">
        <v>0.3</v>
      </c>
    </row>
    <row r="17" ht="14.25" customHeight="1" s="97">
      <c r="A17" s="125" t="inlineStr">
        <is>
          <t>ORG</t>
        </is>
      </c>
      <c r="B17" s="125" t="n">
        <v>0.2</v>
      </c>
    </row>
    <row r="18" ht="14.25" customHeight="1" s="97">
      <c r="A18" s="125" t="inlineStr">
        <is>
          <t>REV</t>
        </is>
      </c>
      <c r="B18" s="125" t="n">
        <v>0.15</v>
      </c>
    </row>
    <row r="19" ht="14.25" customHeight="1" s="97">
      <c r="A19" s="125" t="inlineStr">
        <is>
          <t>IRREV</t>
        </is>
      </c>
      <c r="B19" s="125" t="n">
        <v>0.1</v>
      </c>
    </row>
    <row r="20" ht="14.25" customHeight="1" s="97">
      <c r="A20" s="125" t="inlineStr">
        <is>
          <t>XRISK</t>
        </is>
      </c>
      <c r="B20" s="125" t="n">
        <v>0.05</v>
      </c>
    </row>
    <row r="21" ht="13.5" customHeight="1" s="97"/>
    <row r="22" ht="13.5" customHeight="1" s="97"/>
    <row r="23" ht="14.25" customHeight="1" s="97">
      <c r="A23" s="106" t="inlineStr">
        <is>
          <t>SCORING PARAMETERS</t>
        </is>
      </c>
    </row>
    <row r="24" ht="14.25" customHeight="1" s="97">
      <c r="A24" s="125" t="inlineStr">
        <is>
          <t>β (saturation)</t>
        </is>
      </c>
      <c r="B24" s="125">
        <f>CANON!B20</f>
        <v/>
      </c>
    </row>
    <row r="25" ht="14.25" customHeight="1" s="97">
      <c r="A25" s="125" t="inlineStr">
        <is>
          <t>β_prop</t>
        </is>
      </c>
      <c r="B25" s="125">
        <f>CANON!B21</f>
        <v/>
      </c>
    </row>
    <row r="26" ht="14.25" customHeight="1" s="97">
      <c r="A26" s="125" t="inlineStr">
        <is>
          <t>δ (discrimination)</t>
        </is>
      </c>
      <c r="B26" s="125">
        <f>CANON!B22</f>
        <v/>
      </c>
    </row>
    <row r="27" ht="14.25" customHeight="1" s="97">
      <c r="A27" s="125" t="inlineStr">
        <is>
          <t>τ_c (containment)</t>
        </is>
      </c>
      <c r="B27" s="125">
        <f>CANON!B24</f>
        <v/>
      </c>
    </row>
    <row r="28" ht="14.25" customHeight="1" s="97">
      <c r="A28" s="125" t="inlineStr">
        <is>
          <t>θ_pos</t>
        </is>
      </c>
      <c r="B28" s="125">
        <f>CANON!B23</f>
        <v/>
      </c>
    </row>
    <row r="29" ht="14.25" customHeight="1" s="97">
      <c r="A29" s="125" t="inlineStr">
        <is>
          <t>T_ref</t>
        </is>
      </c>
      <c r="B29" s="125">
        <f>CANON!B25</f>
        <v/>
      </c>
    </row>
    <row r="30" ht="21.75" customHeight="1" s="97">
      <c r="A30" s="125" t="inlineStr">
        <is>
          <t>α (CVaR)  -  Personal</t>
        </is>
      </c>
      <c r="B30" s="125" t="n">
        <v>0.9</v>
      </c>
    </row>
    <row r="31" ht="21.75" customHeight="1" s="97">
      <c r="A31" s="125" t="inlineStr">
        <is>
          <t>α (CVaR)  -  Organizational</t>
        </is>
      </c>
      <c r="B31" s="125" t="n">
        <v>0.95</v>
      </c>
    </row>
    <row r="32" ht="21.75" customHeight="1" s="97">
      <c r="A32" s="125" t="inlineStr">
        <is>
          <t>α (CVaR)  -  Reversible policy</t>
        </is>
      </c>
      <c r="B32" s="125" t="n">
        <v>0.95</v>
      </c>
    </row>
    <row r="33" ht="21.75" customHeight="1" s="97">
      <c r="A33" s="125" t="inlineStr">
        <is>
          <t>α (CVaR)  -  Irreversible policy</t>
        </is>
      </c>
      <c r="B33" s="125" t="n">
        <v>0.99</v>
      </c>
      <c r="D33" s="104" t="inlineStr">
        <is>
          <t>Tier 2 default: e_k = 1.00 unless a named governed instrument is explicitly declared.</t>
        </is>
      </c>
    </row>
    <row r="34" ht="21.75" customHeight="1" s="97">
      <c r="A34" s="125" t="inlineStr">
        <is>
          <t>α (CVaR)  -  Existential</t>
        </is>
      </c>
      <c r="B34" s="125" t="n">
        <v>0.999</v>
      </c>
      <c r="D34" s="104" t="inlineStr">
        <is>
          <t>Tier 3 governed interval only; non-default e_k requires provenance + sensitivity disclosure.</t>
        </is>
      </c>
    </row>
    <row r="35" ht="21.75" customHeight="1" s="97">
      <c r="A35" s="96" t="n"/>
      <c r="B35" s="96" t="n"/>
    </row>
    <row r="36" ht="13.5" customHeight="1" s="97">
      <c r="A36" s="125" t="inlineStr">
        <is>
          <t>p_floor</t>
        </is>
      </c>
      <c r="B36" s="125" t="n">
        <v>0.02</v>
      </c>
    </row>
    <row r="37" ht="14.25" customHeight="1" s="97">
      <c r="A37" s="125" t="inlineStr">
        <is>
          <t>c_min</t>
        </is>
      </c>
      <c r="B37" s="125" t="n">
        <v>0.1</v>
      </c>
    </row>
    <row r="38" ht="14.25" customHeight="1" s="97">
      <c r="A38" s="125" t="inlineStr">
        <is>
          <t>e_min (Tier 3 governed interval)</t>
        </is>
      </c>
      <c r="B38" s="125" t="n">
        <v>0.75</v>
      </c>
    </row>
    <row r="39" ht="14.25" customHeight="1" s="97">
      <c r="A39" s="125" t="inlineStr">
        <is>
          <t>e_max (Tier 3 governed interval)</t>
        </is>
      </c>
      <c r="B39" s="125" t="n">
        <v>1.25</v>
      </c>
    </row>
    <row r="40" ht="14.25" customHeight="1" s="97">
      <c r="A40" s="125" t="inlineStr">
        <is>
          <t>t_min (temporal floor)</t>
        </is>
      </c>
      <c r="B40" s="125">
        <f>CANON!B27</f>
        <v/>
      </c>
    </row>
    <row r="41" ht="14.25" customHeight="1" s="97">
      <c r="A41" s="96" t="inlineStr">
        <is>
          <t>U4 Organization</t>
        </is>
      </c>
      <c r="B41" s="126">
        <f>PLSS_Local_Scope!E15</f>
        <v/>
      </c>
    </row>
    <row r="42" ht="14.25" customHeight="1" s="97">
      <c r="A42" s="96" t="inlineStr">
        <is>
          <t>U5 Polity</t>
        </is>
      </c>
      <c r="B42" s="126">
        <f>PLSS_Local_Scope!E16</f>
        <v/>
      </c>
    </row>
    <row r="43" ht="14.25" customHeight="1" s="97">
      <c r="A43" s="96" t="inlineStr">
        <is>
          <t>U6 Humanity/CMIU</t>
        </is>
      </c>
      <c r="B43" s="126">
        <f>PLSS_Local_Scope!E17</f>
        <v/>
      </c>
    </row>
    <row r="44" ht="14.25" customHeight="1" s="97">
      <c r="A44" s="96" t="inlineStr">
        <is>
          <t>U7 Biosphere</t>
        </is>
      </c>
      <c r="B44" s="126">
        <f>PLSS_Local_Scope!E18</f>
        <v/>
      </c>
    </row>
    <row r="45" ht="13.5" customHeight="1" s="97"/>
    <row r="46" ht="13.5" customHeight="1" s="97"/>
    <row r="47" ht="14.25" customHeight="1" s="97">
      <c r="A47" s="106" t="inlineStr">
        <is>
          <t>DIMENSION WEIGHTS (v_d) - UNIFORM</t>
        </is>
      </c>
    </row>
    <row r="48" ht="14.25" customHeight="1" s="97">
      <c r="A48" s="96" t="inlineStr">
        <is>
          <t>D1 Material</t>
        </is>
      </c>
      <c r="B48" s="126" t="n">
        <v>0.142857142857143</v>
      </c>
    </row>
    <row r="49" ht="14.25" customHeight="1" s="97">
      <c r="A49" s="96" t="inlineStr">
        <is>
          <t>D2 Health</t>
        </is>
      </c>
      <c r="B49" s="126" t="n">
        <v>0.142857142857143</v>
      </c>
    </row>
    <row r="50" ht="14.25" customHeight="1" s="97">
      <c r="A50" s="96" t="inlineStr">
        <is>
          <t>D3 Social</t>
        </is>
      </c>
      <c r="B50" s="126" t="n">
        <v>0.142857142857143</v>
      </c>
    </row>
    <row r="51" ht="14.25" customHeight="1" s="97">
      <c r="A51" s="96" t="inlineStr">
        <is>
          <t>D4 Knowledge</t>
        </is>
      </c>
      <c r="B51" s="126" t="n">
        <v>0.142857142857143</v>
      </c>
    </row>
    <row r="52" ht="14.25" customHeight="1" s="97">
      <c r="A52" s="96" t="inlineStr">
        <is>
          <t>D5 Agency</t>
        </is>
      </c>
      <c r="B52" s="126" t="n">
        <v>0.142857142857143</v>
      </c>
    </row>
    <row r="53" ht="14.25" customHeight="1" s="97">
      <c r="A53" s="96" t="inlineStr">
        <is>
          <t>D6 Meaning</t>
        </is>
      </c>
      <c r="B53" s="126" t="n">
        <v>0.142857142857143</v>
      </c>
    </row>
    <row r="54" ht="14.25" customHeight="1" s="97">
      <c r="A54" s="96" t="inlineStr">
        <is>
          <t>D7 Environment</t>
        </is>
      </c>
      <c r="B54" s="126" t="n">
        <v>0.142857142857143</v>
      </c>
    </row>
    <row r="55" ht="21.75" customHeight="1" s="97">
      <c r="A55" s="127" t="inlineStr">
        <is>
          <t>SECTION 13.1 FLOOR TABLES (CANON)</t>
        </is>
      </c>
    </row>
    <row r="56" ht="21.75" customHeight="1" s="97">
      <c r="A56" s="127" t="inlineStr">
        <is>
          <t>UNION FLOOR PRESERVATION (w_u floor)</t>
        </is>
      </c>
    </row>
    <row r="57" ht="21.75" customHeight="1" s="97">
      <c r="A57" s="127" t="inlineStr">
        <is>
          <t>Union Scope</t>
        </is>
      </c>
      <c r="B57" s="127" t="inlineStr">
        <is>
          <t>Floor</t>
        </is>
      </c>
    </row>
    <row r="58" ht="19.5" customHeight="1" s="97">
      <c r="A58" s="128" t="inlineStr">
        <is>
          <t>U1 Self</t>
        </is>
      </c>
      <c r="B58" s="128" t="n">
        <v>0.2</v>
      </c>
    </row>
    <row r="59" ht="19.5" customHeight="1" s="97">
      <c r="A59" s="128" t="inlineStr">
        <is>
          <t>U2 Household</t>
        </is>
      </c>
      <c r="B59" s="128" t="n">
        <v>0.06</v>
      </c>
    </row>
    <row r="60" ht="19.5" customHeight="1" s="97">
      <c r="A60" s="128" t="inlineStr">
        <is>
          <t>U3 Community</t>
        </is>
      </c>
      <c r="B60" s="128" t="n">
        <v>0.06</v>
      </c>
    </row>
    <row r="61" ht="19.5" customHeight="1" s="97">
      <c r="A61" s="128" t="inlineStr">
        <is>
          <t>U4 Organization</t>
        </is>
      </c>
      <c r="B61" s="128" t="n">
        <v>0.06</v>
      </c>
    </row>
    <row r="62" ht="19.5" customHeight="1" s="97">
      <c r="A62" s="128" t="inlineStr">
        <is>
          <t>U5 Polity</t>
        </is>
      </c>
      <c r="B62" s="128" t="n">
        <v>0.08</v>
      </c>
    </row>
    <row r="63" ht="19.5" customHeight="1" s="97">
      <c r="A63" s="128" t="inlineStr">
        <is>
          <t>U6 Humanity/CMIU</t>
        </is>
      </c>
      <c r="B63" s="128" t="n">
        <v>0.1</v>
      </c>
    </row>
    <row r="64" ht="19.5" customHeight="1" s="97">
      <c r="A64" s="128" t="inlineStr">
        <is>
          <t>U7 Biosphere</t>
        </is>
      </c>
      <c r="B64" s="128" t="n">
        <v>0.1</v>
      </c>
    </row>
    <row r="65" ht="19.5" customHeight="1" s="97"/>
    <row r="66" ht="19.5" customHeight="1" s="97">
      <c r="A66" s="127" t="inlineStr">
        <is>
          <t>DIMENSION FLOOR PRESERVATION (v_d floor)</t>
        </is>
      </c>
    </row>
    <row r="67" ht="19.5" customHeight="1" s="97">
      <c r="A67" s="127" t="inlineStr">
        <is>
          <t>Dimension</t>
        </is>
      </c>
      <c r="B67" s="127" t="inlineStr">
        <is>
          <t>Floor</t>
        </is>
      </c>
    </row>
    <row r="68" ht="19.5" customHeight="1" s="97">
      <c r="A68" s="128" t="inlineStr">
        <is>
          <t>D1 Material</t>
        </is>
      </c>
      <c r="B68" s="128" t="n">
        <v>0.08</v>
      </c>
    </row>
    <row r="69" ht="19.5" customHeight="1" s="97">
      <c r="A69" s="128" t="inlineStr">
        <is>
          <t>D2 Health</t>
        </is>
      </c>
      <c r="B69" s="128" t="n">
        <v>0.1</v>
      </c>
    </row>
    <row r="70" ht="19.5" customHeight="1" s="97">
      <c r="A70" s="128" t="inlineStr">
        <is>
          <t>D3 Social</t>
        </is>
      </c>
      <c r="B70" s="128" t="n">
        <v>0.08</v>
      </c>
    </row>
    <row r="71" ht="19.5" customHeight="1" s="97">
      <c r="A71" s="128" t="inlineStr">
        <is>
          <t>D4 Knowledge</t>
        </is>
      </c>
      <c r="B71" s="128" t="n">
        <v>0.08</v>
      </c>
    </row>
    <row r="72" ht="19.5" customHeight="1" s="97">
      <c r="A72" s="128" t="inlineStr">
        <is>
          <t>D5 Agency</t>
        </is>
      </c>
      <c r="B72" s="128" t="n">
        <v>0.1</v>
      </c>
    </row>
    <row r="73" ht="19.5" customHeight="1" s="97">
      <c r="A73" s="128" t="inlineStr">
        <is>
          <t>D6 Meaning</t>
        </is>
      </c>
      <c r="B73" s="128" t="n">
        <v>0.06</v>
      </c>
    </row>
    <row r="74" ht="19.5" customHeight="1" s="97">
      <c r="A74" s="128" t="inlineStr">
        <is>
          <t>D7 Environment</t>
        </is>
      </c>
      <c r="B74" s="128" t="n">
        <v>0.1</v>
      </c>
    </row>
    <row r="76" ht="27.75" customHeight="1" s="97">
      <c r="A76" s="129" t="inlineStr">
        <is>
          <t>EXEMPLAR NOTE: Uniform v_d = 1/7 each. Non-uniform HDW dimension allocation is not exercised here. Floor check: 1/7 = 0.1429 &gt; 0.10.</t>
        </is>
      </c>
    </row>
    <row r="77" ht="27.75" customHeight="1" s="97">
      <c r="A77" s="129" t="inlineStr">
        <is>
          <t>NOTE: v2.5 defaults to PLSS_Local_Scope-derived union weights (floor-preserving residual allocation).</t>
        </is>
      </c>
    </row>
    <row r="78" ht="27.75" customHeight="1" s="97">
      <c r="A78" s="129" t="inlineStr">
        <is>
          <t>Set q_u on PLSS_Local_Scope; use equal q_u values for a uniform baseline.</t>
        </is>
      </c>
    </row>
    <row r="79" ht="27.75" customHeight="1" s="97">
      <c r="A79" s="129" t="inlineStr">
        <is>
          <t>v9.6.4 NOTE: Uncertainty estimation REQUIRED for all active cells at Tier 2+</t>
        </is>
      </c>
    </row>
    <row r="80" ht="27.75" customHeight="1" s="97">
      <c r="A80" s="129" t="inlineStr">
        <is>
          <t>Active cell definition: m(u,d)=1 for RLS ∪ rights-covered ∪ catastrophe ∪ governance minimum</t>
        </is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1" workbookViewId="0">
      <selection activeCell="A1" sqref="A1"/>
    </sheetView>
  </sheetViews>
  <sheetFormatPr baseColWidth="8" defaultColWidth="8.66796875" defaultRowHeight="14.25"/>
  <cols>
    <col width="28" customWidth="1" style="96" min="1" max="1"/>
    <col width="72" customWidth="1" style="96" min="2" max="5"/>
    <col width="18" customWidth="1" style="96" min="6" max="6"/>
    <col width="34" customWidth="1" style="96" min="7" max="7"/>
    <col width="22" customWidth="1" style="104" min="8" max="8"/>
    <col width="44" customWidth="1" style="104" min="9" max="9"/>
  </cols>
  <sheetData>
    <row r="1" ht="17.25" customHeight="1" s="97">
      <c r="A1" s="130" t="inlineStr">
        <is>
          <t>PRACTICAL LOCAL SCOPE SCORING (PLSS) - v2.0 HELPER</t>
        </is>
      </c>
    </row>
    <row r="2" ht="14.25" customHeight="1" s="97">
      <c r="A2" s="131" t="inlineStr">
        <is>
          <t>Purpose</t>
        </is>
      </c>
      <c r="B2" s="96" t="inlineStr">
        <is>
          <t>Compute floor-preserving local union weights for RippleLogic v9.6.4. Enter q_u values for the unions that are actually live in the decision; the sheet preserves constitutional floors and allocates only the residual.</t>
        </is>
      </c>
    </row>
    <row r="3" ht="14.25" customHeight="1" s="97">
      <c r="A3" s="131" t="inlineStr">
        <is>
          <t>Framework</t>
        </is>
      </c>
      <c r="B3" s="96">
        <f>CANON!B5</f>
        <v/>
      </c>
    </row>
    <row r="4" ht="14.25" customHeight="1" s="97">
      <c r="A4" s="131" t="inlineStr">
        <is>
          <t>SGP</t>
        </is>
      </c>
      <c r="B4" s="96">
        <f>CANON!B6</f>
        <v/>
      </c>
    </row>
    <row r="5" ht="14.25" customHeight="1" s="97">
      <c r="A5" s="131" t="inlineStr">
        <is>
          <t>Sheet Version</t>
        </is>
      </c>
      <c r="B5" s="96">
        <f>CANON!B7</f>
        <v/>
      </c>
    </row>
    <row r="6" ht="14.25" customHeight="1" s="97">
      <c r="A6" s="131" t="inlineStr">
        <is>
          <t>Weight Profile</t>
        </is>
      </c>
      <c r="B6" s="96">
        <f>Config!B17</f>
        <v/>
      </c>
    </row>
    <row r="7" ht="13.5" customHeight="1" s="97"/>
    <row r="8" ht="14.25" customHeight="1" s="97">
      <c r="A8" s="131" t="inlineStr">
        <is>
          <t>Key Rule</t>
        </is>
      </c>
      <c r="B8" s="96" t="inlineStr">
        <is>
          <t>Score near, guard far. Floors remain present; q_u allocates only the residual.</t>
        </is>
      </c>
    </row>
    <row r="9" ht="13.5" customHeight="1" s="97"/>
    <row r="10" ht="14.25" customHeight="1" s="97">
      <c r="A10" s="132" t="inlineStr">
        <is>
          <t>Union Scope</t>
        </is>
      </c>
      <c r="B10" s="132" t="inlineStr">
        <is>
          <t>q_u</t>
        </is>
      </c>
      <c r="C10" s="132" t="inlineStr">
        <is>
          <t>w_u^floor</t>
        </is>
      </c>
      <c r="D10" s="132" t="inlineStr">
        <is>
          <t>rho_u</t>
        </is>
      </c>
      <c r="E10" s="132" t="inlineStr">
        <is>
          <t>w_u^PLSS</t>
        </is>
      </c>
      <c r="F10" s="132" t="inlineStr">
        <is>
          <t>Role</t>
        </is>
      </c>
      <c r="G10" s="132" t="inlineStr">
        <is>
          <t>Note</t>
        </is>
      </c>
      <c r="H10" s="133" t="inlineStr">
        <is>
          <t>q_u ReasonCode</t>
        </is>
      </c>
      <c r="I10" s="133" t="inlineStr">
        <is>
          <t>q_u SourceNote</t>
        </is>
      </c>
    </row>
    <row r="11" ht="14.25" customHeight="1" s="97">
      <c r="A11" s="128" t="n"/>
      <c r="B11" s="128" t="n"/>
      <c r="C11" s="128" t="n"/>
      <c r="D11" s="128" t="n"/>
      <c r="E11" s="128" t="n"/>
      <c r="F11" s="128" t="n"/>
      <c r="G11" s="128" t="n"/>
    </row>
    <row r="12" ht="14.25" customHeight="1" s="97">
      <c r="A12" s="128" t="inlineStr">
        <is>
          <t>U1 Self</t>
        </is>
      </c>
      <c r="B12" s="128" t="n">
        <v>0.95</v>
      </c>
      <c r="C12" s="128" t="n">
        <v>0.2</v>
      </c>
      <c r="D12" s="128">
        <f>IF(SUM($B$12:$B$18)=0,1/7,B12/SUM($B$12:$B$18))</f>
        <v/>
      </c>
      <c r="E12" s="128">
        <f>C12+($B$20*D12)</f>
        <v/>
      </c>
      <c r="F12" s="128">
        <f>IF(E12-C12&gt;=0.05,"Prominent","Guardrail")</f>
        <v/>
      </c>
      <c r="G12" s="128" t="inlineStr">
        <is>
          <t>Near-field self</t>
        </is>
      </c>
      <c r="H12" s="128" t="inlineStr">
        <is>
          <t>NEAR_FIELD_PROMINENCE</t>
        </is>
      </c>
      <c r="I12" s="128" t="inlineStr">
        <is>
          <t>Near-field lived impact emphasis for self.</t>
        </is>
      </c>
    </row>
    <row r="13" ht="14.25" customHeight="1" s="97">
      <c r="A13" s="128" t="inlineStr">
        <is>
          <t>U2 Household</t>
        </is>
      </c>
      <c r="B13" s="128" t="n">
        <v>0.85</v>
      </c>
      <c r="C13" s="128" t="n">
        <v>0.06</v>
      </c>
      <c r="D13" s="128">
        <f>IF(SUM($B$12:$B$18)=0,1/7,B13/SUM($B$12:$B$18))</f>
        <v/>
      </c>
      <c r="E13" s="128">
        <f>C13+($B$20*D13)</f>
        <v/>
      </c>
      <c r="F13" s="128">
        <f>IF(E13-C13&gt;=0.05,"Prominent","Guardrail")</f>
        <v/>
      </c>
      <c r="G13" s="128" t="inlineStr">
        <is>
          <t>Primary directly lived/support unit</t>
        </is>
      </c>
      <c r="H13" s="128" t="inlineStr">
        <is>
          <t>NEAR_FIELD_PROMINENCE</t>
        </is>
      </c>
      <c r="I13" s="128" t="inlineStr">
        <is>
          <t>Primary household/support exposure.</t>
        </is>
      </c>
    </row>
    <row r="14" ht="14.25" customHeight="1" s="97">
      <c r="A14" s="128" t="inlineStr">
        <is>
          <t>U3 Community</t>
        </is>
      </c>
      <c r="B14" s="128" t="n">
        <v>0.55</v>
      </c>
      <c r="C14" s="128" t="n">
        <v>0.06</v>
      </c>
      <c r="D14" s="128">
        <f>IF(SUM($B$12:$B$18)=0,1/7,B14/SUM($B$12:$B$18))</f>
        <v/>
      </c>
      <c r="E14" s="128">
        <f>C14+($B$20*D14)</f>
        <v/>
      </c>
      <c r="F14" s="128">
        <f>IF(E14-C14&gt;=0.05,"Prominent","Guardrail")</f>
        <v/>
      </c>
      <c r="G14" s="128" t="inlineStr">
        <is>
          <t>Local repeated-contact network</t>
        </is>
      </c>
      <c r="H14" s="128" t="inlineStr">
        <is>
          <t>NEAR_FIELD_PROMINENCE</t>
        </is>
      </c>
      <c r="I14" s="128" t="inlineStr">
        <is>
          <t>Local repeated-interaction network exposure.</t>
        </is>
      </c>
    </row>
    <row r="15" ht="14.25" customHeight="1" s="97">
      <c r="A15" s="128" t="inlineStr">
        <is>
          <t>U4 Organization</t>
        </is>
      </c>
      <c r="B15" s="128" t="n">
        <v>0.5</v>
      </c>
      <c r="C15" s="128" t="n">
        <v>0.06</v>
      </c>
      <c r="D15" s="128">
        <f>IF(SUM($B$12:$B$18)=0,1/7,B15/SUM($B$12:$B$18))</f>
        <v/>
      </c>
      <c r="E15" s="128">
        <f>C15+($B$20*D15)</f>
        <v/>
      </c>
      <c r="F15" s="128">
        <f>IF(E15-C15&gt;=0.05,"Prominent","Guardrail")</f>
        <v/>
      </c>
      <c r="G15" s="128" t="inlineStr">
        <is>
          <t>Structured institution involved</t>
        </is>
      </c>
      <c r="H15" s="128" t="inlineStr">
        <is>
          <t>NEAR_FIELD_PROMINENCE</t>
        </is>
      </c>
      <c r="I15" s="128" t="inlineStr">
        <is>
          <t>Organizational operational exposure.</t>
        </is>
      </c>
    </row>
    <row r="16" ht="14.25" customHeight="1" s="97">
      <c r="A16" s="128" t="inlineStr">
        <is>
          <t>U5 Polity</t>
        </is>
      </c>
      <c r="B16" s="128" t="n">
        <v>0.1</v>
      </c>
      <c r="C16" s="128" t="n">
        <v>0.08</v>
      </c>
      <c r="D16" s="128">
        <f>IF(SUM($B$12:$B$18)=0,1/7,B16/SUM($B$12:$B$18))</f>
        <v/>
      </c>
      <c r="E16" s="128">
        <f>C16+($B$20*D16)</f>
        <v/>
      </c>
      <c r="F16" s="128">
        <f>IF(E16-C16&gt;=0.05,"Prominent","Guardrail")</f>
        <v/>
      </c>
      <c r="G16" s="128" t="inlineStr">
        <is>
          <t>Governance/public legitimacy</t>
        </is>
      </c>
      <c r="H16" s="128" t="inlineStr">
        <is>
          <t>GUARDRAIL_SIGNAL</t>
        </is>
      </c>
      <c r="I16" s="128" t="inlineStr">
        <is>
          <t>Public-governance spillover review.</t>
        </is>
      </c>
    </row>
    <row r="17" ht="27.75" customHeight="1" s="97">
      <c r="A17" s="128" t="inlineStr">
        <is>
          <t>U6 Humanity/CMIU</t>
        </is>
      </c>
      <c r="B17" s="128" t="n">
        <v>0.03</v>
      </c>
      <c r="C17" s="128" t="n">
        <v>0.1</v>
      </c>
      <c r="D17" s="128">
        <f>IF(SUM($B$12:$B$18)=0,1/7,B17/SUM($B$12:$B$18))</f>
        <v/>
      </c>
      <c r="E17" s="128">
        <f>C17+($B$20*D17)</f>
        <v/>
      </c>
      <c r="F17" s="128">
        <f>IF(E17-C17&gt;=0.05,"Prominent","Guardrail")</f>
        <v/>
      </c>
      <c r="G17" s="128" t="inlineStr">
        <is>
          <t>Cross-border/system-wide coordination</t>
        </is>
      </c>
      <c r="H17" s="128" t="inlineStr">
        <is>
          <t>GUARDRAIL_SIGNAL</t>
        </is>
      </c>
      <c r="I17" s="128" t="inlineStr">
        <is>
          <t>Cross-border/system coordination check.</t>
        </is>
      </c>
    </row>
    <row r="18" ht="14.25" customHeight="1" s="97">
      <c r="A18" s="128" t="inlineStr">
        <is>
          <t>U7 Biosphere</t>
        </is>
      </c>
      <c r="B18" s="128" t="n">
        <v>0.02</v>
      </c>
      <c r="C18" s="128" t="n">
        <v>0.1</v>
      </c>
      <c r="D18" s="128">
        <f>IF(SUM($B$12:$B$18)=0,1/7,B18/SUM($B$12:$B$18))</f>
        <v/>
      </c>
      <c r="E18" s="128">
        <f>C18+($B$20*D18)</f>
        <v/>
      </c>
      <c r="F18" s="128">
        <f>IF(E18-C18&gt;=0.05,"Prominent","Guardrail")</f>
        <v/>
      </c>
      <c r="G18" s="128" t="inlineStr">
        <is>
          <t>Ecological support systems</t>
        </is>
      </c>
      <c r="H18" s="128" t="inlineStr">
        <is>
          <t>GUARDRAIL_SIGNAL</t>
        </is>
      </c>
      <c r="I18" s="128" t="inlineStr">
        <is>
          <t>Ecological guardrail presence.</t>
        </is>
      </c>
    </row>
    <row r="19" ht="14.25" customHeight="1" s="97">
      <c r="A19" s="128" t="n"/>
      <c r="B19" s="128" t="n"/>
      <c r="C19" s="128" t="n"/>
      <c r="D19" s="128" t="n"/>
      <c r="E19" s="128" t="n"/>
      <c r="F19" s="128" t="n"/>
      <c r="G19" s="128" t="n"/>
    </row>
    <row r="20" ht="14.25" customHeight="1" s="97">
      <c r="A20" s="134" t="inlineStr">
        <is>
          <t>Residual Mass</t>
        </is>
      </c>
      <c r="B20" s="128">
        <f>1-SUM($C$12:$C$18)</f>
        <v/>
      </c>
      <c r="C20" s="128" t="n"/>
      <c r="D20" s="128" t="n"/>
      <c r="E20" s="128" t="n"/>
      <c r="F20" s="128" t="n"/>
      <c r="G20" s="128" t="n"/>
    </row>
    <row r="21" ht="14.25" customHeight="1" s="97">
      <c r="A21" s="134" t="inlineStr">
        <is>
          <t>Check: Sum w_u^PLSS</t>
        </is>
      </c>
      <c r="B21" s="128">
        <f>SUM($E$12:$E$18)</f>
        <v/>
      </c>
      <c r="C21" s="128" t="n"/>
      <c r="D21" s="128" t="n"/>
      <c r="E21" s="128" t="n"/>
      <c r="F21" s="128" t="n"/>
      <c r="G21" s="128" t="n"/>
    </row>
    <row r="22" ht="14.25" customHeight="1" s="97">
      <c r="A22" s="134" t="inlineStr">
        <is>
          <t>Check: Floors preserved</t>
        </is>
      </c>
      <c r="B22" s="128">
        <f>IF(MIN(E12-C12,E13-C13,E14-C14,E15-C15,E16-C16,E17-C17,E18-C18)&gt;=0,"YES","REVIEW")</f>
        <v/>
      </c>
      <c r="C22" s="128" t="n"/>
      <c r="D22" s="128" t="n"/>
      <c r="E22" s="128" t="n"/>
      <c r="F22" s="128" t="n"/>
      <c r="G22" s="128" t="n"/>
    </row>
    <row r="23" ht="14.25" customHeight="1" s="97">
      <c r="A23" s="134" t="inlineStr">
        <is>
          <t>Suggested Scope Mode</t>
        </is>
      </c>
      <c r="B23" s="128">
        <f>IF(OR(B17&gt;0.2,B18&gt;0.2),"ESCALATE_OR_FULL_SCOPE","PLSS_OK")</f>
        <v/>
      </c>
      <c r="C23" s="128" t="n"/>
      <c r="D23" s="128" t="n"/>
      <c r="E23" s="128" t="n"/>
      <c r="F23" s="128" t="n"/>
      <c r="G23" s="128" t="n"/>
    </row>
    <row r="24" ht="27.75" customHeight="1" s="97">
      <c r="A24" s="134" t="inlineStr">
        <is>
          <t>Operator Note</t>
        </is>
      </c>
      <c r="B24" s="128" t="inlineStr">
        <is>
          <t>Use PLSS only after NCRC/TRC/Containment are preserved. If broader rights, tail-risk, lock-in, or hidden externalities become plausible, escalate beyond local-only ranking.</t>
        </is>
      </c>
      <c r="C24" s="135" t="n"/>
      <c r="D24" s="135" t="n"/>
      <c r="E24" s="135" t="n"/>
      <c r="F24" s="135" t="n"/>
      <c r="G24" s="136" t="n"/>
    </row>
    <row r="25" ht="13.5" customHeight="1" s="97"/>
    <row r="26" ht="17.25" customHeight="1" s="97">
      <c r="A26" s="137" t="inlineStr">
        <is>
          <t>PLSS PCC BLOCK (v9.6.4 companion disclosure)</t>
        </is>
      </c>
    </row>
    <row r="27" ht="36" customHeight="1" s="97">
      <c r="A27" s="138" t="inlineStr">
        <is>
          <t>LSS Declaration</t>
        </is>
      </c>
      <c r="B27" s="139" t="inlineStr">
        <is>
          <t>Decision owner, household, community, organization, polity, and biosphere pathways declared through the worked-run stakeholder set for this remote-work policy exemplar.</t>
        </is>
      </c>
    </row>
    <row r="28" ht="42" customHeight="1" s="97">
      <c r="A28" s="138" t="inlineStr">
        <is>
          <t>Operator Declaration</t>
        </is>
      </c>
      <c r="B28" s="128" t="inlineStr">
        <is>
          <t>PCC.PLSS.Operator: DEFAULT_GEOMEAN_V1 (q_u values set directly from declared prominence reasoning; geometric-mean sub-component construction not exercised in this exemplar; residual allocation by standard direct normalization).</t>
        </is>
      </c>
    </row>
    <row r="29" ht="30" customHeight="1" s="97">
      <c r="A29" s="138" t="inlineStr">
        <is>
          <t>Scope Posture Classification</t>
        </is>
      </c>
      <c r="B29" s="139" t="inlineStr">
        <is>
          <t>Declared scope posture is surfaced through the Prominent/Guardrail classifications in F12:F18.</t>
        </is>
      </c>
    </row>
    <row r="30" ht="54" customHeight="1" s="97">
      <c r="A30" s="138" t="inlineStr">
        <is>
          <t>Escalation-Trigger Assessment</t>
        </is>
      </c>
      <c r="B30" s="139" t="inlineStr">
        <is>
          <t>No active ET trigger requiring a broader-scope rerun was identified in this worked-run exemplar; revisit if hidden externalities, rights expansion, catastrophe relevance, or lock-in becomes plausible.</t>
        </is>
      </c>
    </row>
    <row r="31" ht="36" customHeight="1" s="97">
      <c r="A31" s="138" t="inlineStr">
        <is>
          <t>Fallback Declaration</t>
        </is>
      </c>
      <c r="B31" s="139" t="inlineStr">
        <is>
          <t>If SUM(q_u)=0, the workbook uses the uniform residual fallback (1/7 per scope) exactly as encoded in D12:D18.</t>
        </is>
      </c>
    </row>
  </sheetData>
  <mergeCells count="3">
    <mergeCell ref="B24:G24"/>
    <mergeCell ref="A26:B26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76"/>
  <sheetViews>
    <sheetView showGridLines="1" workbookViewId="0">
      <selection activeCell="A1" sqref="A1"/>
    </sheetView>
  </sheetViews>
  <sheetFormatPr baseColWidth="8" defaultColWidth="8.66796875" defaultRowHeight="12.75"/>
  <sheetData>
    <row r="1" ht="14.25" customHeight="1" s="97">
      <c r="A1" s="124" t="inlineStr">
        <is>
          <t>CANONICAL RIGHTS COVERAGE SETS - 70 Entries</t>
        </is>
      </c>
    </row>
    <row r="2" ht="13.5" customHeight="1" s="97"/>
    <row r="3" ht="14.25" customHeight="1" s="97">
      <c r="A3" s="96" t="inlineStr">
        <is>
          <t>Reference: RippleLogic v9.6.4 Section 7.2</t>
        </is>
      </c>
    </row>
    <row r="4" ht="13.5" customHeight="1" s="97"/>
    <row r="5" ht="14.25" customHeight="1" s="97">
      <c r="A5" s="140" t="inlineStr">
        <is>
          <t>#</t>
        </is>
      </c>
      <c r="B5" s="140" t="inlineStr">
        <is>
          <t>Right</t>
        </is>
      </c>
      <c r="C5" s="140" t="inlineStr">
        <is>
          <t>Union Scope</t>
        </is>
      </c>
      <c r="D5" s="140" t="inlineStr">
        <is>
          <t>Dimension</t>
        </is>
      </c>
      <c r="E5" s="140" t="inlineStr">
        <is>
          <t>θ_r</t>
        </is>
      </c>
    </row>
    <row r="6" ht="14.25" customHeight="1" s="97">
      <c r="A6" s="96" t="inlineStr">
        <is>
          <t>#</t>
        </is>
      </c>
      <c r="B6" s="96" t="inlineStr">
        <is>
          <t>Right</t>
        </is>
      </c>
      <c r="C6" s="96" t="inlineStr">
        <is>
          <t>Union Scope</t>
        </is>
      </c>
      <c r="D6" s="96" t="inlineStr">
        <is>
          <t>Dimension</t>
        </is>
      </c>
      <c r="E6" s="96" t="inlineStr">
        <is>
          <t>θ_r</t>
        </is>
      </c>
    </row>
    <row r="7" ht="14.25" customHeight="1" s="97">
      <c r="A7" s="96" t="n">
        <v>1</v>
      </c>
      <c r="B7" s="96" t="inlineStr">
        <is>
          <t>LIFE</t>
        </is>
      </c>
      <c r="C7" s="96" t="inlineStr">
        <is>
          <t>U1</t>
        </is>
      </c>
      <c r="D7" s="107" t="inlineStr">
        <is>
          <t>D2</t>
        </is>
      </c>
      <c r="E7" s="107" t="n">
        <v>-0.9</v>
      </c>
    </row>
    <row r="8" ht="14.25" customHeight="1" s="97">
      <c r="A8" s="96" t="n">
        <v>2</v>
      </c>
      <c r="B8" s="96" t="inlineStr">
        <is>
          <t>LIFE</t>
        </is>
      </c>
      <c r="C8" s="96" t="inlineStr">
        <is>
          <t>U2</t>
        </is>
      </c>
      <c r="D8" s="107" t="inlineStr">
        <is>
          <t>D2</t>
        </is>
      </c>
      <c r="E8" s="107" t="n">
        <v>-0.9</v>
      </c>
    </row>
    <row r="9" ht="14.25" customHeight="1" s="97">
      <c r="A9" s="96" t="n">
        <v>3</v>
      </c>
      <c r="B9" s="96" t="inlineStr">
        <is>
          <t>LIFE</t>
        </is>
      </c>
      <c r="C9" s="96" t="inlineStr">
        <is>
          <t>U3</t>
        </is>
      </c>
      <c r="D9" s="107" t="inlineStr">
        <is>
          <t>D2</t>
        </is>
      </c>
      <c r="E9" s="107" t="n">
        <v>-0.9</v>
      </c>
    </row>
    <row r="10" ht="14.25" customHeight="1" s="97">
      <c r="A10" s="96" t="n">
        <v>4</v>
      </c>
      <c r="B10" s="96" t="inlineStr">
        <is>
          <t>LIFE</t>
        </is>
      </c>
      <c r="C10" s="96" t="inlineStr">
        <is>
          <t>U4</t>
        </is>
      </c>
      <c r="D10" s="107" t="inlineStr">
        <is>
          <t>D2</t>
        </is>
      </c>
      <c r="E10" s="107" t="n">
        <v>-0.9</v>
      </c>
    </row>
    <row r="11" ht="14.25" customHeight="1" s="97">
      <c r="A11" s="96" t="n">
        <v>5</v>
      </c>
      <c r="B11" s="96" t="inlineStr">
        <is>
          <t>LIFE</t>
        </is>
      </c>
      <c r="C11" s="96" t="inlineStr">
        <is>
          <t>U5</t>
        </is>
      </c>
      <c r="D11" s="107" t="inlineStr">
        <is>
          <t>D2</t>
        </is>
      </c>
      <c r="E11" s="107" t="n">
        <v>-0.9</v>
      </c>
    </row>
    <row r="12" ht="14.25" customHeight="1" s="97">
      <c r="A12" s="96" t="n">
        <v>6</v>
      </c>
      <c r="B12" s="96" t="inlineStr">
        <is>
          <t>LIFE</t>
        </is>
      </c>
      <c r="C12" s="96" t="inlineStr">
        <is>
          <t>U6</t>
        </is>
      </c>
      <c r="D12" s="107" t="inlineStr">
        <is>
          <t>D2</t>
        </is>
      </c>
      <c r="E12" s="107" t="n">
        <v>-0.9</v>
      </c>
    </row>
    <row r="13" ht="14.25" customHeight="1" s="97">
      <c r="A13" s="96" t="n">
        <v>7</v>
      </c>
      <c r="B13" s="96" t="inlineStr">
        <is>
          <t>LIFE</t>
        </is>
      </c>
      <c r="C13" s="96" t="inlineStr">
        <is>
          <t>U6</t>
        </is>
      </c>
      <c r="D13" s="107" t="inlineStr">
        <is>
          <t>D7</t>
        </is>
      </c>
      <c r="E13" s="107" t="n">
        <v>-0.9</v>
      </c>
    </row>
    <row r="14" ht="14.25" customHeight="1" s="97">
      <c r="A14" s="96" t="n">
        <v>8</v>
      </c>
      <c r="B14" s="96" t="inlineStr">
        <is>
          <t>BODY</t>
        </is>
      </c>
      <c r="C14" s="96" t="inlineStr">
        <is>
          <t>U1</t>
        </is>
      </c>
      <c r="D14" s="107" t="inlineStr">
        <is>
          <t>D2</t>
        </is>
      </c>
      <c r="E14" s="107" t="n">
        <v>-0.7</v>
      </c>
    </row>
    <row r="15" ht="14.25" customHeight="1" s="97">
      <c r="A15" s="96" t="n">
        <v>9</v>
      </c>
      <c r="B15" s="96" t="inlineStr">
        <is>
          <t>BODY</t>
        </is>
      </c>
      <c r="C15" s="96" t="inlineStr">
        <is>
          <t>U2</t>
        </is>
      </c>
      <c r="D15" s="107" t="inlineStr">
        <is>
          <t>D2</t>
        </is>
      </c>
      <c r="E15" s="107" t="n">
        <v>-0.7</v>
      </c>
    </row>
    <row r="16" ht="14.25" customHeight="1" s="97">
      <c r="A16" s="96" t="n">
        <v>10</v>
      </c>
      <c r="B16" s="96" t="inlineStr">
        <is>
          <t>BODY</t>
        </is>
      </c>
      <c r="C16" s="96" t="inlineStr">
        <is>
          <t>U3</t>
        </is>
      </c>
      <c r="D16" s="107" t="inlineStr">
        <is>
          <t>D2</t>
        </is>
      </c>
      <c r="E16" s="107" t="n">
        <v>-0.7</v>
      </c>
    </row>
    <row r="17" ht="14.25" customHeight="1" s="97">
      <c r="A17" s="96" t="n">
        <v>11</v>
      </c>
      <c r="B17" s="96" t="inlineStr">
        <is>
          <t>BODY</t>
        </is>
      </c>
      <c r="C17" s="96" t="inlineStr">
        <is>
          <t>U4</t>
        </is>
      </c>
      <c r="D17" s="107" t="inlineStr">
        <is>
          <t>D2</t>
        </is>
      </c>
      <c r="E17" s="107" t="n">
        <v>-0.7</v>
      </c>
    </row>
    <row r="18" ht="14.25" customHeight="1" s="97">
      <c r="A18" s="96" t="n">
        <v>12</v>
      </c>
      <c r="B18" s="96" t="inlineStr">
        <is>
          <t>BODY</t>
        </is>
      </c>
      <c r="C18" s="96" t="inlineStr">
        <is>
          <t>U5</t>
        </is>
      </c>
      <c r="D18" s="107" t="inlineStr">
        <is>
          <t>D2</t>
        </is>
      </c>
      <c r="E18" s="107" t="n">
        <v>-0.7</v>
      </c>
    </row>
    <row r="19" ht="14.25" customHeight="1" s="97">
      <c r="A19" s="96" t="n">
        <v>13</v>
      </c>
      <c r="B19" s="96" t="inlineStr">
        <is>
          <t>BODY</t>
        </is>
      </c>
      <c r="C19" s="96" t="inlineStr">
        <is>
          <t>U6</t>
        </is>
      </c>
      <c r="D19" s="107" t="inlineStr">
        <is>
          <t>D2</t>
        </is>
      </c>
      <c r="E19" s="107" t="n">
        <v>-0.7</v>
      </c>
    </row>
    <row r="20" ht="14.25" customHeight="1" s="97">
      <c r="A20" s="96" t="n">
        <v>14</v>
      </c>
      <c r="B20" s="96" t="inlineStr">
        <is>
          <t>ECOL</t>
        </is>
      </c>
      <c r="C20" s="96" t="inlineStr">
        <is>
          <t>U6</t>
        </is>
      </c>
      <c r="D20" s="107" t="inlineStr">
        <is>
          <t>D7</t>
        </is>
      </c>
      <c r="E20" s="107" t="n">
        <v>-0.65</v>
      </c>
    </row>
    <row r="21" ht="14.25" customHeight="1" s="97">
      <c r="A21" s="96" t="n">
        <v>15</v>
      </c>
      <c r="B21" s="96" t="inlineStr">
        <is>
          <t>ECOL</t>
        </is>
      </c>
      <c r="C21" s="96" t="inlineStr">
        <is>
          <t>U7</t>
        </is>
      </c>
      <c r="D21" s="107" t="inlineStr">
        <is>
          <t>D7</t>
        </is>
      </c>
      <c r="E21" s="107" t="n">
        <v>-0.65</v>
      </c>
    </row>
    <row r="22" ht="14.25" customHeight="1" s="97">
      <c r="A22" s="96" t="n">
        <v>16</v>
      </c>
      <c r="B22" s="96" t="inlineStr">
        <is>
          <t>LBTY</t>
        </is>
      </c>
      <c r="C22" s="96" t="inlineStr">
        <is>
          <t>U1</t>
        </is>
      </c>
      <c r="D22" s="107" t="inlineStr">
        <is>
          <t>D5</t>
        </is>
      </c>
      <c r="E22" s="107" t="n">
        <v>-0.65</v>
      </c>
    </row>
    <row r="23" ht="14.25" customHeight="1" s="97">
      <c r="A23" s="96" t="n">
        <v>17</v>
      </c>
      <c r="B23" s="96" t="inlineStr">
        <is>
          <t>LBTY</t>
        </is>
      </c>
      <c r="C23" s="96" t="inlineStr">
        <is>
          <t>U2</t>
        </is>
      </c>
      <c r="D23" s="107" t="inlineStr">
        <is>
          <t>D5</t>
        </is>
      </c>
      <c r="E23" s="107" t="n">
        <v>-0.65</v>
      </c>
    </row>
    <row r="24" ht="14.25" customHeight="1" s="97">
      <c r="A24" s="96" t="n">
        <v>18</v>
      </c>
      <c r="B24" s="96" t="inlineStr">
        <is>
          <t>LBTY</t>
        </is>
      </c>
      <c r="C24" s="96" t="inlineStr">
        <is>
          <t>U3</t>
        </is>
      </c>
      <c r="D24" s="107" t="inlineStr">
        <is>
          <t>D5</t>
        </is>
      </c>
      <c r="E24" s="107" t="n">
        <v>-0.65</v>
      </c>
    </row>
    <row r="25" ht="14.25" customHeight="1" s="97">
      <c r="A25" s="96" t="n">
        <v>19</v>
      </c>
      <c r="B25" s="96" t="inlineStr">
        <is>
          <t>LBTY</t>
        </is>
      </c>
      <c r="C25" s="96" t="inlineStr">
        <is>
          <t>U4</t>
        </is>
      </c>
      <c r="D25" s="107" t="inlineStr">
        <is>
          <t>D5</t>
        </is>
      </c>
      <c r="E25" s="107" t="n">
        <v>-0.65</v>
      </c>
    </row>
    <row r="26" ht="14.25" customHeight="1" s="97">
      <c r="A26" s="96" t="n">
        <v>20</v>
      </c>
      <c r="B26" s="96" t="inlineStr">
        <is>
          <t>LBTY</t>
        </is>
      </c>
      <c r="C26" s="96" t="inlineStr">
        <is>
          <t>U5</t>
        </is>
      </c>
      <c r="D26" s="107" t="inlineStr">
        <is>
          <t>D5</t>
        </is>
      </c>
      <c r="E26" s="107" t="n">
        <v>-0.65</v>
      </c>
    </row>
    <row r="27" ht="14.25" customHeight="1" s="97">
      <c r="A27" s="96" t="n">
        <v>21</v>
      </c>
      <c r="B27" s="96" t="inlineStr">
        <is>
          <t>LBTY</t>
        </is>
      </c>
      <c r="C27" s="96" t="inlineStr">
        <is>
          <t>U6</t>
        </is>
      </c>
      <c r="D27" s="107" t="inlineStr">
        <is>
          <t>D5</t>
        </is>
      </c>
      <c r="E27" s="107" t="n">
        <v>-0.65</v>
      </c>
    </row>
    <row r="28" ht="14.25" customHeight="1" s="97">
      <c r="A28" s="96" t="n">
        <v>22</v>
      </c>
      <c r="B28" s="96" t="inlineStr">
        <is>
          <t>LBTY</t>
        </is>
      </c>
      <c r="C28" s="96" t="inlineStr">
        <is>
          <t>U3</t>
        </is>
      </c>
      <c r="D28" s="107" t="inlineStr">
        <is>
          <t>D3</t>
        </is>
      </c>
      <c r="E28" s="107" t="n">
        <v>-0.65</v>
      </c>
    </row>
    <row r="29" ht="14.25" customHeight="1" s="97">
      <c r="A29" s="96" t="n">
        <v>23</v>
      </c>
      <c r="B29" s="96" t="inlineStr">
        <is>
          <t>LBTY</t>
        </is>
      </c>
      <c r="C29" s="96" t="inlineStr">
        <is>
          <t>U4</t>
        </is>
      </c>
      <c r="D29" s="107" t="inlineStr">
        <is>
          <t>D3</t>
        </is>
      </c>
      <c r="E29" s="107" t="n">
        <v>-0.65</v>
      </c>
    </row>
    <row r="30" ht="14.25" customHeight="1" s="97">
      <c r="A30" s="96" t="n">
        <v>24</v>
      </c>
      <c r="B30" s="96" t="inlineStr">
        <is>
          <t>LBTY</t>
        </is>
      </c>
      <c r="C30" s="96" t="inlineStr">
        <is>
          <t>U5</t>
        </is>
      </c>
      <c r="D30" s="107" t="inlineStr">
        <is>
          <t>D3</t>
        </is>
      </c>
      <c r="E30" s="107" t="n">
        <v>-0.65</v>
      </c>
    </row>
    <row r="31" ht="14.25" customHeight="1" s="97">
      <c r="A31" s="96" t="n">
        <v>25</v>
      </c>
      <c r="B31" s="96" t="inlineStr">
        <is>
          <t>LBTY</t>
        </is>
      </c>
      <c r="C31" s="96" t="inlineStr">
        <is>
          <t>U6</t>
        </is>
      </c>
      <c r="D31" s="107" t="inlineStr">
        <is>
          <t>D3</t>
        </is>
      </c>
      <c r="E31" s="107" t="n">
        <v>-0.65</v>
      </c>
    </row>
    <row r="32" ht="14.25" customHeight="1" s="97">
      <c r="A32" s="96" t="n">
        <v>26</v>
      </c>
      <c r="B32" s="96" t="inlineStr">
        <is>
          <t>NEED</t>
        </is>
      </c>
      <c r="C32" s="96" t="inlineStr">
        <is>
          <t>U1</t>
        </is>
      </c>
      <c r="D32" s="107" t="inlineStr">
        <is>
          <t>D1</t>
        </is>
      </c>
      <c r="E32" s="107" t="n">
        <v>-0.5</v>
      </c>
    </row>
    <row r="33" ht="14.25" customHeight="1" s="97">
      <c r="A33" s="96" t="n">
        <v>27</v>
      </c>
      <c r="B33" s="96" t="inlineStr">
        <is>
          <t>NEED</t>
        </is>
      </c>
      <c r="C33" s="96" t="inlineStr">
        <is>
          <t>U1</t>
        </is>
      </c>
      <c r="D33" s="107" t="inlineStr">
        <is>
          <t>D2</t>
        </is>
      </c>
      <c r="E33" s="107" t="n">
        <v>-0.5</v>
      </c>
    </row>
    <row r="34" ht="14.25" customHeight="1" s="97">
      <c r="A34" s="96" t="n">
        <v>28</v>
      </c>
      <c r="B34" s="96" t="inlineStr">
        <is>
          <t>NEED</t>
        </is>
      </c>
      <c r="C34" s="96" t="inlineStr">
        <is>
          <t>U2</t>
        </is>
      </c>
      <c r="D34" s="107" t="inlineStr">
        <is>
          <t>D1</t>
        </is>
      </c>
      <c r="E34" s="107" t="n">
        <v>-0.5</v>
      </c>
    </row>
    <row r="35" ht="14.25" customHeight="1" s="97">
      <c r="A35" s="96" t="n">
        <v>29</v>
      </c>
      <c r="B35" s="96" t="inlineStr">
        <is>
          <t>NEED</t>
        </is>
      </c>
      <c r="C35" s="96" t="inlineStr">
        <is>
          <t>U2</t>
        </is>
      </c>
      <c r="D35" s="107" t="inlineStr">
        <is>
          <t>D2</t>
        </is>
      </c>
      <c r="E35" s="107" t="n">
        <v>-0.5</v>
      </c>
    </row>
    <row r="36" ht="14.25" customHeight="1" s="97">
      <c r="A36" s="96" t="n">
        <v>30</v>
      </c>
      <c r="B36" s="96" t="inlineStr">
        <is>
          <t>NEED</t>
        </is>
      </c>
      <c r="C36" s="96" t="inlineStr">
        <is>
          <t>U3</t>
        </is>
      </c>
      <c r="D36" s="107" t="inlineStr">
        <is>
          <t>D1</t>
        </is>
      </c>
      <c r="E36" s="107" t="n">
        <v>-0.5</v>
      </c>
    </row>
    <row r="37" ht="14.25" customHeight="1" s="97">
      <c r="A37" s="96" t="n">
        <v>31</v>
      </c>
      <c r="B37" s="96" t="inlineStr">
        <is>
          <t>NEED</t>
        </is>
      </c>
      <c r="C37" s="96" t="inlineStr">
        <is>
          <t>U3</t>
        </is>
      </c>
      <c r="D37" s="107" t="inlineStr">
        <is>
          <t>D2</t>
        </is>
      </c>
      <c r="E37" s="107" t="n">
        <v>-0.5</v>
      </c>
    </row>
    <row r="38" ht="14.25" customHeight="1" s="97">
      <c r="A38" s="96" t="n">
        <v>32</v>
      </c>
      <c r="B38" s="96" t="inlineStr">
        <is>
          <t>NEED</t>
        </is>
      </c>
      <c r="C38" s="96" t="inlineStr">
        <is>
          <t>U4</t>
        </is>
      </c>
      <c r="D38" s="107" t="inlineStr">
        <is>
          <t>D1</t>
        </is>
      </c>
      <c r="E38" s="107" t="n">
        <v>-0.5</v>
      </c>
    </row>
    <row r="39" ht="14.25" customHeight="1" s="97">
      <c r="A39" s="96" t="n">
        <v>33</v>
      </c>
      <c r="B39" s="96" t="inlineStr">
        <is>
          <t>NEED</t>
        </is>
      </c>
      <c r="C39" s="96" t="inlineStr">
        <is>
          <t>U4</t>
        </is>
      </c>
      <c r="D39" s="107" t="inlineStr">
        <is>
          <t>D2</t>
        </is>
      </c>
      <c r="E39" s="107" t="n">
        <v>-0.5</v>
      </c>
    </row>
    <row r="40" ht="14.25" customHeight="1" s="97">
      <c r="A40" s="96" t="n">
        <v>34</v>
      </c>
      <c r="B40" s="96" t="inlineStr">
        <is>
          <t>NEED</t>
        </is>
      </c>
      <c r="C40" s="96" t="inlineStr">
        <is>
          <t>U5</t>
        </is>
      </c>
      <c r="D40" s="107" t="inlineStr">
        <is>
          <t>D1</t>
        </is>
      </c>
      <c r="E40" s="107" t="n">
        <v>-0.5</v>
      </c>
    </row>
    <row r="41" ht="14.25" customHeight="1" s="97">
      <c r="A41" s="96" t="n">
        <v>35</v>
      </c>
      <c r="B41" s="96" t="inlineStr">
        <is>
          <t>NEED</t>
        </is>
      </c>
      <c r="C41" s="96" t="inlineStr">
        <is>
          <t>U5</t>
        </is>
      </c>
      <c r="D41" s="107" t="inlineStr">
        <is>
          <t>D2</t>
        </is>
      </c>
      <c r="E41" s="107" t="n">
        <v>-0.5</v>
      </c>
    </row>
    <row r="42" ht="14.25" customHeight="1" s="97">
      <c r="A42" s="96" t="n">
        <v>36</v>
      </c>
      <c r="B42" s="96" t="inlineStr">
        <is>
          <t>NEED</t>
        </is>
      </c>
      <c r="C42" s="96" t="inlineStr">
        <is>
          <t>U6</t>
        </is>
      </c>
      <c r="D42" s="107" t="inlineStr">
        <is>
          <t>D1</t>
        </is>
      </c>
      <c r="E42" s="107" t="n">
        <v>-0.5</v>
      </c>
    </row>
    <row r="43" ht="14.25" customHeight="1" s="97">
      <c r="A43" s="96" t="n">
        <v>37</v>
      </c>
      <c r="B43" s="96" t="inlineStr">
        <is>
          <t>NEED</t>
        </is>
      </c>
      <c r="C43" s="96" t="inlineStr">
        <is>
          <t>U6</t>
        </is>
      </c>
      <c r="D43" s="107" t="inlineStr">
        <is>
          <t>D2</t>
        </is>
      </c>
      <c r="E43" s="107" t="n">
        <v>-0.5</v>
      </c>
    </row>
    <row r="44" ht="14.25" customHeight="1" s="97">
      <c r="A44" s="96" t="n">
        <v>38</v>
      </c>
      <c r="B44" s="96" t="inlineStr">
        <is>
          <t>DIGN</t>
        </is>
      </c>
      <c r="C44" s="96" t="inlineStr">
        <is>
          <t>U1</t>
        </is>
      </c>
      <c r="D44" s="107" t="inlineStr">
        <is>
          <t>D3</t>
        </is>
      </c>
      <c r="E44" s="107" t="n">
        <v>-0.55</v>
      </c>
    </row>
    <row r="45" ht="14.25" customHeight="1" s="97">
      <c r="A45" s="96" t="n">
        <v>39</v>
      </c>
      <c r="B45" s="96" t="inlineStr">
        <is>
          <t>DIGN</t>
        </is>
      </c>
      <c r="C45" s="96" t="inlineStr">
        <is>
          <t>U1</t>
        </is>
      </c>
      <c r="D45" s="107" t="inlineStr">
        <is>
          <t>D5</t>
        </is>
      </c>
      <c r="E45" s="107" t="n">
        <v>-0.55</v>
      </c>
    </row>
    <row r="46" ht="14.25" customHeight="1" s="97">
      <c r="A46" s="96" t="n">
        <v>40</v>
      </c>
      <c r="B46" s="96" t="inlineStr">
        <is>
          <t>DIGN</t>
        </is>
      </c>
      <c r="C46" s="96" t="inlineStr">
        <is>
          <t>U2</t>
        </is>
      </c>
      <c r="D46" s="107" t="inlineStr">
        <is>
          <t>D3</t>
        </is>
      </c>
      <c r="E46" s="107" t="n">
        <v>-0.55</v>
      </c>
    </row>
    <row r="47" ht="14.25" customHeight="1" s="97">
      <c r="A47" s="96" t="n">
        <v>41</v>
      </c>
      <c r="B47" s="96" t="inlineStr">
        <is>
          <t>DIGN</t>
        </is>
      </c>
      <c r="C47" s="96" t="inlineStr">
        <is>
          <t>U2</t>
        </is>
      </c>
      <c r="D47" s="107" t="inlineStr">
        <is>
          <t>D5</t>
        </is>
      </c>
      <c r="E47" s="107" t="n">
        <v>-0.55</v>
      </c>
    </row>
    <row r="48" ht="14.25" customHeight="1" s="97">
      <c r="A48" s="96" t="n">
        <v>42</v>
      </c>
      <c r="B48" s="96" t="inlineStr">
        <is>
          <t>DIGN</t>
        </is>
      </c>
      <c r="C48" s="96" t="inlineStr">
        <is>
          <t>U3</t>
        </is>
      </c>
      <c r="D48" s="107" t="inlineStr">
        <is>
          <t>D3</t>
        </is>
      </c>
      <c r="E48" s="107" t="n">
        <v>-0.55</v>
      </c>
    </row>
    <row r="49" ht="14.25" customHeight="1" s="97">
      <c r="A49" s="96" t="n">
        <v>43</v>
      </c>
      <c r="B49" s="96" t="inlineStr">
        <is>
          <t>DIGN</t>
        </is>
      </c>
      <c r="C49" s="96" t="inlineStr">
        <is>
          <t>U3</t>
        </is>
      </c>
      <c r="D49" s="107" t="inlineStr">
        <is>
          <t>D5</t>
        </is>
      </c>
      <c r="E49" s="107" t="n">
        <v>-0.55</v>
      </c>
    </row>
    <row r="50" ht="14.25" customHeight="1" s="97">
      <c r="A50" s="96" t="n">
        <v>44</v>
      </c>
      <c r="B50" s="96" t="inlineStr">
        <is>
          <t>DIGN</t>
        </is>
      </c>
      <c r="C50" s="96" t="inlineStr">
        <is>
          <t>U4</t>
        </is>
      </c>
      <c r="D50" s="107" t="inlineStr">
        <is>
          <t>D3</t>
        </is>
      </c>
      <c r="E50" s="107" t="n">
        <v>-0.55</v>
      </c>
    </row>
    <row r="51" ht="14.25" customHeight="1" s="97">
      <c r="A51" s="96" t="n">
        <v>45</v>
      </c>
      <c r="B51" s="96" t="inlineStr">
        <is>
          <t>DIGN</t>
        </is>
      </c>
      <c r="C51" s="96" t="inlineStr">
        <is>
          <t>U4</t>
        </is>
      </c>
      <c r="D51" s="107" t="inlineStr">
        <is>
          <t>D5</t>
        </is>
      </c>
      <c r="E51" s="107" t="n">
        <v>-0.55</v>
      </c>
    </row>
    <row r="52" ht="14.25" customHeight="1" s="97">
      <c r="A52" s="96" t="n">
        <v>46</v>
      </c>
      <c r="B52" s="96" t="inlineStr">
        <is>
          <t>DIGN</t>
        </is>
      </c>
      <c r="C52" s="96" t="inlineStr">
        <is>
          <t>U5</t>
        </is>
      </c>
      <c r="D52" s="107" t="inlineStr">
        <is>
          <t>D3</t>
        </is>
      </c>
      <c r="E52" s="107" t="n">
        <v>-0.55</v>
      </c>
    </row>
    <row r="53" ht="14.25" customHeight="1" s="97">
      <c r="A53" s="96" t="n">
        <v>47</v>
      </c>
      <c r="B53" s="96" t="inlineStr">
        <is>
          <t>DIGN</t>
        </is>
      </c>
      <c r="C53" s="96" t="inlineStr">
        <is>
          <t>U5</t>
        </is>
      </c>
      <c r="D53" s="107" t="inlineStr">
        <is>
          <t>D5</t>
        </is>
      </c>
      <c r="E53" s="107" t="n">
        <v>-0.55</v>
      </c>
    </row>
    <row r="54" ht="14.25" customHeight="1" s="97">
      <c r="A54" s="96" t="n">
        <v>48</v>
      </c>
      <c r="B54" s="96" t="inlineStr">
        <is>
          <t>DIGN</t>
        </is>
      </c>
      <c r="C54" s="96" t="inlineStr">
        <is>
          <t>U6</t>
        </is>
      </c>
      <c r="D54" s="107" t="inlineStr">
        <is>
          <t>D3</t>
        </is>
      </c>
      <c r="E54" s="107" t="n">
        <v>-0.55</v>
      </c>
    </row>
    <row r="55" ht="14.25" customHeight="1" s="97">
      <c r="A55" s="96" t="n">
        <v>49</v>
      </c>
      <c r="B55" s="96" t="inlineStr">
        <is>
          <t>DIGN</t>
        </is>
      </c>
      <c r="C55" s="96" t="inlineStr">
        <is>
          <t>U6</t>
        </is>
      </c>
      <c r="D55" s="107" t="inlineStr">
        <is>
          <t>D5</t>
        </is>
      </c>
      <c r="E55" s="107" t="n">
        <v>-0.55</v>
      </c>
    </row>
    <row r="56" ht="14.25" customHeight="1" s="97">
      <c r="A56" s="96" t="n">
        <v>50</v>
      </c>
      <c r="B56" s="96" t="inlineStr">
        <is>
          <t>PROC</t>
        </is>
      </c>
      <c r="C56" s="96" t="inlineStr">
        <is>
          <t>U4</t>
        </is>
      </c>
      <c r="D56" s="107" t="inlineStr">
        <is>
          <t>D3</t>
        </is>
      </c>
      <c r="E56" s="107" t="n">
        <v>-0.45</v>
      </c>
    </row>
    <row r="57" ht="14.25" customHeight="1" s="97">
      <c r="A57" s="96" t="n">
        <v>51</v>
      </c>
      <c r="B57" s="96" t="inlineStr">
        <is>
          <t>PROC</t>
        </is>
      </c>
      <c r="C57" s="96" t="inlineStr">
        <is>
          <t>U4</t>
        </is>
      </c>
      <c r="D57" s="107" t="inlineStr">
        <is>
          <t>D4</t>
        </is>
      </c>
      <c r="E57" s="107" t="n">
        <v>-0.45</v>
      </c>
    </row>
    <row r="58" ht="14.25" customHeight="1" s="97">
      <c r="A58" s="96" t="n">
        <v>52</v>
      </c>
      <c r="B58" s="96" t="inlineStr">
        <is>
          <t>PROC</t>
        </is>
      </c>
      <c r="C58" s="96" t="inlineStr">
        <is>
          <t>U4</t>
        </is>
      </c>
      <c r="D58" s="107" t="inlineStr">
        <is>
          <t>D5</t>
        </is>
      </c>
      <c r="E58" s="107" t="n">
        <v>-0.45</v>
      </c>
    </row>
    <row r="59" ht="14.25" customHeight="1" s="97">
      <c r="A59" s="96" t="n">
        <v>53</v>
      </c>
      <c r="B59" s="96" t="inlineStr">
        <is>
          <t>PROC</t>
        </is>
      </c>
      <c r="C59" s="96" t="inlineStr">
        <is>
          <t>U5</t>
        </is>
      </c>
      <c r="D59" s="107" t="inlineStr">
        <is>
          <t>D3</t>
        </is>
      </c>
      <c r="E59" s="107" t="n">
        <v>-0.45</v>
      </c>
    </row>
    <row r="60" ht="14.25" customHeight="1" s="97">
      <c r="A60" s="96" t="n">
        <v>54</v>
      </c>
      <c r="B60" s="96" t="inlineStr">
        <is>
          <t>PROC</t>
        </is>
      </c>
      <c r="C60" s="96" t="inlineStr">
        <is>
          <t>U5</t>
        </is>
      </c>
      <c r="D60" s="107" t="inlineStr">
        <is>
          <t>D4</t>
        </is>
      </c>
      <c r="E60" s="107" t="n">
        <v>-0.45</v>
      </c>
    </row>
    <row r="61" ht="14.25" customHeight="1" s="97">
      <c r="A61" s="96" t="n">
        <v>55</v>
      </c>
      <c r="B61" s="96" t="inlineStr">
        <is>
          <t>PROC</t>
        </is>
      </c>
      <c r="C61" s="96" t="inlineStr">
        <is>
          <t>U5</t>
        </is>
      </c>
      <c r="D61" s="107" t="inlineStr">
        <is>
          <t>D5</t>
        </is>
      </c>
      <c r="E61" s="107" t="n">
        <v>-0.45</v>
      </c>
    </row>
    <row r="62" ht="14.25" customHeight="1" s="97">
      <c r="A62" s="96" t="n">
        <v>56</v>
      </c>
      <c r="B62" s="96" t="inlineStr">
        <is>
          <t>PROC</t>
        </is>
      </c>
      <c r="C62" s="96" t="inlineStr">
        <is>
          <t>U6</t>
        </is>
      </c>
      <c r="D62" s="107" t="inlineStr">
        <is>
          <t>D3</t>
        </is>
      </c>
      <c r="E62" s="107" t="n">
        <v>-0.45</v>
      </c>
    </row>
    <row r="63" ht="14.25" customHeight="1" s="97">
      <c r="A63" s="96" t="n">
        <v>57</v>
      </c>
      <c r="B63" s="96" t="inlineStr">
        <is>
          <t>PROC</t>
        </is>
      </c>
      <c r="C63" s="96" t="inlineStr">
        <is>
          <t>U6</t>
        </is>
      </c>
      <c r="D63" s="107" t="inlineStr">
        <is>
          <t>D4</t>
        </is>
      </c>
      <c r="E63" s="107" t="n">
        <v>-0.45</v>
      </c>
    </row>
    <row r="64" ht="14.25" customHeight="1" s="97">
      <c r="A64" s="96" t="n">
        <v>58</v>
      </c>
      <c r="B64" s="96" t="inlineStr">
        <is>
          <t>PROC</t>
        </is>
      </c>
      <c r="C64" s="96" t="inlineStr">
        <is>
          <t>U6</t>
        </is>
      </c>
      <c r="D64" s="107" t="inlineStr">
        <is>
          <t>D5</t>
        </is>
      </c>
      <c r="E64" s="107" t="n">
        <v>-0.45</v>
      </c>
    </row>
    <row r="65" ht="14.25" customHeight="1" s="97">
      <c r="A65" s="96" t="n">
        <v>59</v>
      </c>
      <c r="B65" s="96" t="inlineStr">
        <is>
          <t>INFO</t>
        </is>
      </c>
      <c r="C65" s="96" t="inlineStr">
        <is>
          <t>U1</t>
        </is>
      </c>
      <c r="D65" s="107" t="inlineStr">
        <is>
          <t>D4</t>
        </is>
      </c>
      <c r="E65" s="107" t="n">
        <v>-0.4</v>
      </c>
    </row>
    <row r="66" ht="14.25" customHeight="1" s="97">
      <c r="A66" s="96" t="n">
        <v>60</v>
      </c>
      <c r="B66" s="96" t="inlineStr">
        <is>
          <t>INFO</t>
        </is>
      </c>
      <c r="C66" s="96" t="inlineStr">
        <is>
          <t>U1</t>
        </is>
      </c>
      <c r="D66" s="107" t="inlineStr">
        <is>
          <t>D5</t>
        </is>
      </c>
      <c r="E66" s="107" t="n">
        <v>-0.4</v>
      </c>
    </row>
    <row r="67" ht="14.25" customHeight="1" s="97">
      <c r="A67" s="96" t="n">
        <v>61</v>
      </c>
      <c r="B67" s="96" t="inlineStr">
        <is>
          <t>INFO</t>
        </is>
      </c>
      <c r="C67" s="96" t="inlineStr">
        <is>
          <t>U2</t>
        </is>
      </c>
      <c r="D67" s="107" t="inlineStr">
        <is>
          <t>D4</t>
        </is>
      </c>
      <c r="E67" s="107" t="n">
        <v>-0.4</v>
      </c>
    </row>
    <row r="68" ht="14.25" customHeight="1" s="97">
      <c r="A68" s="96" t="n">
        <v>62</v>
      </c>
      <c r="B68" s="96" t="inlineStr">
        <is>
          <t>INFO</t>
        </is>
      </c>
      <c r="C68" s="96" t="inlineStr">
        <is>
          <t>U2</t>
        </is>
      </c>
      <c r="D68" s="107" t="inlineStr">
        <is>
          <t>D5</t>
        </is>
      </c>
      <c r="E68" s="107" t="n">
        <v>-0.4</v>
      </c>
    </row>
    <row r="69" ht="14.25" customHeight="1" s="97">
      <c r="A69" s="96" t="n">
        <v>63</v>
      </c>
      <c r="B69" s="96" t="inlineStr">
        <is>
          <t>INFO</t>
        </is>
      </c>
      <c r="C69" s="96" t="inlineStr">
        <is>
          <t>U3</t>
        </is>
      </c>
      <c r="D69" s="107" t="inlineStr">
        <is>
          <t>D4</t>
        </is>
      </c>
      <c r="E69" s="107" t="n">
        <v>-0.4</v>
      </c>
    </row>
    <row r="70" ht="14.25" customHeight="1" s="97">
      <c r="A70" s="96" t="n">
        <v>64</v>
      </c>
      <c r="B70" s="96" t="inlineStr">
        <is>
          <t>INFO</t>
        </is>
      </c>
      <c r="C70" s="96" t="inlineStr">
        <is>
          <t>U3</t>
        </is>
      </c>
      <c r="D70" s="107" t="inlineStr">
        <is>
          <t>D5</t>
        </is>
      </c>
      <c r="E70" s="107" t="n">
        <v>-0.4</v>
      </c>
    </row>
    <row r="71" ht="14.25" customHeight="1" s="97">
      <c r="A71" s="96" t="n">
        <v>65</v>
      </c>
      <c r="B71" s="96" t="inlineStr">
        <is>
          <t>INFO</t>
        </is>
      </c>
      <c r="C71" s="96" t="inlineStr">
        <is>
          <t>U4</t>
        </is>
      </c>
      <c r="D71" s="107" t="inlineStr">
        <is>
          <t>D4</t>
        </is>
      </c>
      <c r="E71" s="107" t="n">
        <v>-0.4</v>
      </c>
    </row>
    <row r="72" ht="14.25" customHeight="1" s="97">
      <c r="A72" s="96" t="n">
        <v>66</v>
      </c>
      <c r="B72" s="96" t="inlineStr">
        <is>
          <t>INFO</t>
        </is>
      </c>
      <c r="C72" s="96" t="inlineStr">
        <is>
          <t>U4</t>
        </is>
      </c>
      <c r="D72" s="96" t="inlineStr">
        <is>
          <t>D5</t>
        </is>
      </c>
      <c r="E72" s="96" t="n">
        <v>-0.4</v>
      </c>
    </row>
    <row r="73" ht="14.25" customHeight="1" s="97">
      <c r="A73" s="106" t="n">
        <v>67</v>
      </c>
      <c r="B73" s="96" t="inlineStr">
        <is>
          <t>INFO</t>
        </is>
      </c>
      <c r="C73" s="96" t="inlineStr">
        <is>
          <t>U5</t>
        </is>
      </c>
      <c r="D73" s="96" t="inlineStr">
        <is>
          <t>D4</t>
        </is>
      </c>
      <c r="E73" s="96" t="n">
        <v>-0.4</v>
      </c>
    </row>
    <row r="74" ht="14.25" customHeight="1" s="97">
      <c r="A74" s="96" t="n">
        <v>68</v>
      </c>
      <c r="B74" s="96" t="inlineStr">
        <is>
          <t>INFO</t>
        </is>
      </c>
      <c r="C74" s="96" t="inlineStr">
        <is>
          <t>U5</t>
        </is>
      </c>
      <c r="D74" s="96" t="inlineStr">
        <is>
          <t>D5</t>
        </is>
      </c>
      <c r="E74" s="96" t="n">
        <v>-0.4</v>
      </c>
    </row>
    <row r="75" ht="14.25" customHeight="1" s="97">
      <c r="A75" s="96" t="n">
        <v>69</v>
      </c>
      <c r="B75" s="96" t="inlineStr">
        <is>
          <t>INFO</t>
        </is>
      </c>
      <c r="C75" s="96" t="inlineStr">
        <is>
          <t>U6</t>
        </is>
      </c>
      <c r="D75" s="96" t="inlineStr">
        <is>
          <t>D4</t>
        </is>
      </c>
      <c r="E75" s="96" t="n">
        <v>-0.4</v>
      </c>
    </row>
    <row r="76" ht="14.25" customHeight="1" s="97">
      <c r="A76" s="96" t="n">
        <v>70</v>
      </c>
      <c r="B76" s="96" t="inlineStr">
        <is>
          <t>INFO</t>
        </is>
      </c>
      <c r="C76" s="96" t="inlineStr">
        <is>
          <t>U6</t>
        </is>
      </c>
      <c r="D76" s="96" t="inlineStr">
        <is>
          <t>D5</t>
        </is>
      </c>
      <c r="E76" s="96" t="n">
        <v>-0.4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P71"/>
  <sheetViews>
    <sheetView showGridLines="1" workbookViewId="0">
      <selection activeCell="A1" sqref="A1"/>
    </sheetView>
  </sheetViews>
  <sheetFormatPr baseColWidth="8" defaultColWidth="8.66796875" defaultRowHeight="12.75"/>
  <cols>
    <col width="4" customWidth="1" style="104" min="1" max="1"/>
    <col width="10" customWidth="1" style="104" min="2" max="2"/>
    <col width="8" customWidth="1" style="104" min="3" max="3"/>
    <col width="11" customWidth="1" style="104" min="4" max="4"/>
    <col width="8" customWidth="1" style="104" min="5" max="5"/>
    <col width="11" customWidth="1" style="104" min="6" max="9"/>
    <col width="20" customWidth="1" style="104" min="10" max="11"/>
    <col width="10" customWidth="1" style="104" min="12" max="12"/>
    <col width="14" customWidth="1" style="104" min="13" max="14"/>
    <col hidden="1" width="22" customWidth="1" style="104" min="15" max="16"/>
  </cols>
  <sheetData>
    <row r="1" ht="31.5" customHeight="1" s="97">
      <c r="A1" s="96" t="inlineStr">
        <is>
          <t>#</t>
        </is>
      </c>
      <c r="B1" s="96" t="inlineStr">
        <is>
          <t>Right</t>
        </is>
      </c>
      <c r="C1" s="96" t="inlineStr">
        <is>
          <t>Union Scope</t>
        </is>
      </c>
      <c r="D1" s="96" t="inlineStr">
        <is>
          <t>Dimension</t>
        </is>
      </c>
      <c r="E1" s="96" t="inlineStr">
        <is>
          <t>θ_r</t>
        </is>
      </c>
      <c r="F1" s="96" t="inlineStr">
        <is>
          <t>I_prop_A</t>
        </is>
      </c>
      <c r="G1" s="96" t="inlineStr">
        <is>
          <t>I_prop_B</t>
        </is>
      </c>
      <c r="H1" s="96" t="inlineStr">
        <is>
          <t>I_rights_A</t>
        </is>
      </c>
      <c r="I1" s="96" t="inlineStr">
        <is>
          <t>I_rights_B</t>
        </is>
      </c>
      <c r="J1" s="127" t="inlineStr">
        <is>
          <t>Subgroup_Override_A</t>
        </is>
      </c>
      <c r="K1" s="127" t="inlineStr">
        <is>
          <t>Subgroup_Override_B</t>
        </is>
      </c>
      <c r="L1" s="96" t="inlineStr">
        <is>
          <t>Right_clean</t>
        </is>
      </c>
      <c r="M1" s="127" t="inlineStr">
        <is>
          <t>I_rights_A_num</t>
        </is>
      </c>
      <c r="N1" s="127" t="inlineStr">
        <is>
          <t>I_rights_B_num</t>
        </is>
      </c>
      <c r="O1" s="141" t="inlineStr">
        <is>
          <t>Key_A</t>
        </is>
      </c>
      <c r="P1" s="141" t="inlineStr">
        <is>
          <t>Key_B</t>
        </is>
      </c>
    </row>
    <row r="2" ht="14.25" customHeight="1" s="97">
      <c r="A2" s="96" t="n">
        <v>1</v>
      </c>
      <c r="B2" s="96" t="inlineStr">
        <is>
          <t>LIFE</t>
        </is>
      </c>
      <c r="C2" s="96" t="inlineStr">
        <is>
          <t>U1</t>
        </is>
      </c>
      <c r="D2" s="96" t="inlineStr">
        <is>
          <t>D2</t>
        </is>
      </c>
      <c r="E2" s="96" t="n">
        <v>-0.9</v>
      </c>
      <c r="F2" s="107">
        <f>INDEX(I_prop!$B$7:$H$13, MATCH($C2, I_prop!$A$7:$A$13,0), MATCH($D2, I_prop!$B$6:$H$6,0))</f>
        <v/>
      </c>
      <c r="G2" s="107">
        <f>INDEX(I_prop!$B$18:$H$24, MATCH($C2, I_prop!$A$18:$A$24,0), MATCH($D2, I_prop!$B$17:$H$17,0))</f>
        <v/>
      </c>
      <c r="H2" s="107">
        <f>IF($J2&lt;&gt;"",$J2,IF($F2&lt;0,MAX(-1,Subgroup_Overrides!$B$7*$F2),$F2))</f>
        <v/>
      </c>
      <c r="I2" s="107">
        <f>IF($K2&lt;&gt;"",$K2,IF($G2&lt;0,MAX(-1,Subgroup_Overrides!$B$7*$G2),$G2))</f>
        <v/>
      </c>
      <c r="J2" s="127">
        <f>IF(COUNTIF(Subgroup_Overrides!$H$11:$H$100,"A|"&amp;$C2&amp;"|"&amp;$D2)&gt;0,SUMIFS(Subgroup_Overrides!$F$11:$F$100,Subgroup_Overrides!$H$11:$H$100,"A|"&amp;$C2&amp;"|"&amp;$D2),"")</f>
        <v/>
      </c>
      <c r="K2" s="127">
        <f>IF(COUNTIF(Subgroup_Overrides!$H$11:$H$100,"B|"&amp;$C2&amp;"|"&amp;$D2)&gt;0,SUMIFS(Subgroup_Overrides!$F$11:$F$100,Subgroup_Overrides!$H$11:$H$100,"B|"&amp;$C2&amp;"|"&amp;$D2),"")</f>
        <v/>
      </c>
      <c r="L2" s="96">
        <f>TRIM(B2)</f>
        <v/>
      </c>
      <c r="M2" s="96">
        <f>IF($H2="","",1*$H2)</f>
        <v/>
      </c>
      <c r="N2" s="96">
        <f>IF($I2="","",1*$I2)</f>
        <v/>
      </c>
      <c r="O2" s="141">
        <f>IF($M2="","",$B2&amp;"|"&amp;ROUND($M2*1000000000000,0))</f>
        <v/>
      </c>
      <c r="P2" s="141">
        <f>IF($N2="","",$B2&amp;"|"&amp;ROUND($N2*1000000000000,0))</f>
        <v/>
      </c>
    </row>
    <row r="3" ht="14.25" customHeight="1" s="97">
      <c r="A3" s="96" t="n">
        <v>2</v>
      </c>
      <c r="B3" s="96" t="inlineStr">
        <is>
          <t>LIFE</t>
        </is>
      </c>
      <c r="C3" s="96" t="inlineStr">
        <is>
          <t>U2</t>
        </is>
      </c>
      <c r="D3" s="96" t="inlineStr">
        <is>
          <t>D2</t>
        </is>
      </c>
      <c r="E3" s="96" t="n">
        <v>-0.9</v>
      </c>
      <c r="F3" s="107">
        <f>INDEX(I_prop!$B$7:$H$13, MATCH($C3, I_prop!$A$7:$A$13,0), MATCH($D3, I_prop!$B$6:$H$6,0))</f>
        <v/>
      </c>
      <c r="G3" s="107">
        <f>INDEX(I_prop!$B$18:$H$24, MATCH($C3, I_prop!$A$18:$A$24,0), MATCH($D3, I_prop!$B$17:$H$17,0))</f>
        <v/>
      </c>
      <c r="H3" s="107">
        <f>IF($J3&lt;&gt;"",$J3,IF($F3&lt;0,MAX(-1,Subgroup_Overrides!$B$7*$F3),$F3))</f>
        <v/>
      </c>
      <c r="I3" s="107">
        <f>IF($K3&lt;&gt;"",$K3,IF($G3&lt;0,MAX(-1,Subgroup_Overrides!$B$7*$G3),$G3))</f>
        <v/>
      </c>
      <c r="J3" s="127">
        <f>IF(COUNTIF(Subgroup_Overrides!$H$11:$H$100,"A|"&amp;$C3&amp;"|"&amp;$D3)&gt;0,SUMIFS(Subgroup_Overrides!$F$11:$F$100,Subgroup_Overrides!$H$11:$H$100,"A|"&amp;$C3&amp;"|"&amp;$D3),"")</f>
        <v/>
      </c>
      <c r="K3" s="127">
        <f>IF(COUNTIF(Subgroup_Overrides!$H$11:$H$100,"B|"&amp;$C3&amp;"|"&amp;$D3)&gt;0,SUMIFS(Subgroup_Overrides!$F$11:$F$100,Subgroup_Overrides!$H$11:$H$100,"B|"&amp;$C3&amp;"|"&amp;$D3),"")</f>
        <v/>
      </c>
      <c r="L3" s="96">
        <f>TRIM(B3)</f>
        <v/>
      </c>
      <c r="M3" s="96">
        <f>IF($H3="","",1*$H3)</f>
        <v/>
      </c>
      <c r="N3" s="96">
        <f>IF($I3="","",1*$I3)</f>
        <v/>
      </c>
      <c r="O3" s="141">
        <f>IF($M3="","",$B3&amp;"|"&amp;ROUND($M3*1000000000000,0))</f>
        <v/>
      </c>
      <c r="P3" s="141">
        <f>IF($N3="","",$B3&amp;"|"&amp;ROUND($N3*1000000000000,0))</f>
        <v/>
      </c>
    </row>
    <row r="4" ht="14.25" customHeight="1" s="97">
      <c r="A4" s="96" t="n">
        <v>3</v>
      </c>
      <c r="B4" s="96" t="inlineStr">
        <is>
          <t>LIFE</t>
        </is>
      </c>
      <c r="C4" s="96" t="inlineStr">
        <is>
          <t>U3</t>
        </is>
      </c>
      <c r="D4" s="96" t="inlineStr">
        <is>
          <t>D2</t>
        </is>
      </c>
      <c r="E4" s="96" t="n">
        <v>-0.9</v>
      </c>
      <c r="F4" s="107">
        <f>INDEX(I_prop!$B$7:$H$13, MATCH($C4, I_prop!$A$7:$A$13,0), MATCH($D4, I_prop!$B$6:$H$6,0))</f>
        <v/>
      </c>
      <c r="G4" s="107">
        <f>INDEX(I_prop!$B$18:$H$24, MATCH($C4, I_prop!$A$18:$A$24,0), MATCH($D4, I_prop!$B$17:$H$17,0))</f>
        <v/>
      </c>
      <c r="H4" s="107">
        <f>IF($J4&lt;&gt;"",$J4,IF($F4&lt;0,MAX(-1,Subgroup_Overrides!$B$7*$F4),$F4))</f>
        <v/>
      </c>
      <c r="I4" s="107">
        <f>IF($K4&lt;&gt;"",$K4,IF($G4&lt;0,MAX(-1,Subgroup_Overrides!$B$7*$G4),$G4))</f>
        <v/>
      </c>
      <c r="J4" s="127">
        <f>IF(COUNTIF(Subgroup_Overrides!$H$11:$H$100,"A|"&amp;$C4&amp;"|"&amp;$D4)&gt;0,SUMIFS(Subgroup_Overrides!$F$11:$F$100,Subgroup_Overrides!$H$11:$H$100,"A|"&amp;$C4&amp;"|"&amp;$D4),"")</f>
        <v/>
      </c>
      <c r="K4" s="127">
        <f>IF(COUNTIF(Subgroup_Overrides!$H$11:$H$100,"B|"&amp;$C4&amp;"|"&amp;$D4)&gt;0,SUMIFS(Subgroup_Overrides!$F$11:$F$100,Subgroup_Overrides!$H$11:$H$100,"B|"&amp;$C4&amp;"|"&amp;$D4),"")</f>
        <v/>
      </c>
      <c r="L4" s="96">
        <f>TRIM(B4)</f>
        <v/>
      </c>
      <c r="M4" s="96">
        <f>IF($H4="","",1*$H4)</f>
        <v/>
      </c>
      <c r="N4" s="96">
        <f>IF($I4="","",1*$I4)</f>
        <v/>
      </c>
      <c r="O4" s="141">
        <f>IF($M4="","",$B4&amp;"|"&amp;ROUND($M4*1000000000000,0))</f>
        <v/>
      </c>
      <c r="P4" s="141">
        <f>IF($N4="","",$B4&amp;"|"&amp;ROUND($N4*1000000000000,0))</f>
        <v/>
      </c>
    </row>
    <row r="5" ht="14.25" customHeight="1" s="97">
      <c r="A5" s="96" t="n">
        <v>4</v>
      </c>
      <c r="B5" s="96" t="inlineStr">
        <is>
          <t>LIFE</t>
        </is>
      </c>
      <c r="C5" s="96" t="inlineStr">
        <is>
          <t>U4</t>
        </is>
      </c>
      <c r="D5" s="96" t="inlineStr">
        <is>
          <t>D2</t>
        </is>
      </c>
      <c r="E5" s="96" t="n">
        <v>-0.9</v>
      </c>
      <c r="F5" s="107">
        <f>INDEX(I_prop!$B$7:$H$13, MATCH($C5, I_prop!$A$7:$A$13,0), MATCH($D5, I_prop!$B$6:$H$6,0))</f>
        <v/>
      </c>
      <c r="G5" s="107">
        <f>INDEX(I_prop!$B$18:$H$24, MATCH($C5, I_prop!$A$18:$A$24,0), MATCH($D5, I_prop!$B$17:$H$17,0))</f>
        <v/>
      </c>
      <c r="H5" s="107">
        <f>IF($J5&lt;&gt;"",$J5,IF($F5&lt;0,MAX(-1,Subgroup_Overrides!$B$7*$F5),$F5))</f>
        <v/>
      </c>
      <c r="I5" s="107">
        <f>IF($K5&lt;&gt;"",$K5,IF($G5&lt;0,MAX(-1,Subgroup_Overrides!$B$7*$G5),$G5))</f>
        <v/>
      </c>
      <c r="J5" s="127">
        <f>IF(COUNTIF(Subgroup_Overrides!$H$11:$H$100,"A|"&amp;$C5&amp;"|"&amp;$D5)&gt;0,SUMIFS(Subgroup_Overrides!$F$11:$F$100,Subgroup_Overrides!$H$11:$H$100,"A|"&amp;$C5&amp;"|"&amp;$D5),"")</f>
        <v/>
      </c>
      <c r="K5" s="127">
        <f>IF(COUNTIF(Subgroup_Overrides!$H$11:$H$100,"B|"&amp;$C5&amp;"|"&amp;$D5)&gt;0,SUMIFS(Subgroup_Overrides!$F$11:$F$100,Subgroup_Overrides!$H$11:$H$100,"B|"&amp;$C5&amp;"|"&amp;$D5),"")</f>
        <v/>
      </c>
      <c r="L5" s="96">
        <f>TRIM(B5)</f>
        <v/>
      </c>
      <c r="M5" s="96">
        <f>IF($H5="","",1*$H5)</f>
        <v/>
      </c>
      <c r="N5" s="96">
        <f>IF($I5="","",1*$I5)</f>
        <v/>
      </c>
      <c r="O5" s="141">
        <f>IF($M5="","",$B5&amp;"|"&amp;ROUND($M5*1000000000000,0))</f>
        <v/>
      </c>
      <c r="P5" s="141">
        <f>IF($N5="","",$B5&amp;"|"&amp;ROUND($N5*1000000000000,0))</f>
        <v/>
      </c>
    </row>
    <row r="6" ht="14.25" customHeight="1" s="97">
      <c r="A6" s="96" t="n">
        <v>5</v>
      </c>
      <c r="B6" s="96" t="inlineStr">
        <is>
          <t>LIFE</t>
        </is>
      </c>
      <c r="C6" s="96" t="inlineStr">
        <is>
          <t>U5</t>
        </is>
      </c>
      <c r="D6" s="96" t="inlineStr">
        <is>
          <t>D2</t>
        </is>
      </c>
      <c r="E6" s="96" t="n">
        <v>-0.9</v>
      </c>
      <c r="F6" s="107">
        <f>INDEX(I_prop!$B$7:$H$13, MATCH($C6, I_prop!$A$7:$A$13,0), MATCH($D6, I_prop!$B$6:$H$6,0))</f>
        <v/>
      </c>
      <c r="G6" s="107">
        <f>INDEX(I_prop!$B$18:$H$24, MATCH($C6, I_prop!$A$18:$A$24,0), MATCH($D6, I_prop!$B$17:$H$17,0))</f>
        <v/>
      </c>
      <c r="H6" s="107">
        <f>IF($J6&lt;&gt;"",$J6,IF($F6&lt;0,MAX(-1,Subgroup_Overrides!$B$7*$F6),$F6))</f>
        <v/>
      </c>
      <c r="I6" s="107">
        <f>IF($K6&lt;&gt;"",$K6,IF($G6&lt;0,MAX(-1,Subgroup_Overrides!$B$7*$G6),$G6))</f>
        <v/>
      </c>
      <c r="J6" s="127">
        <f>IF(COUNTIF(Subgroup_Overrides!$H$11:$H$100,"A|"&amp;$C6&amp;"|"&amp;$D6)&gt;0,SUMIFS(Subgroup_Overrides!$F$11:$F$100,Subgroup_Overrides!$H$11:$H$100,"A|"&amp;$C6&amp;"|"&amp;$D6),"")</f>
        <v/>
      </c>
      <c r="K6" s="127">
        <f>IF(COUNTIF(Subgroup_Overrides!$H$11:$H$100,"B|"&amp;$C6&amp;"|"&amp;$D6)&gt;0,SUMIFS(Subgroup_Overrides!$F$11:$F$100,Subgroup_Overrides!$H$11:$H$100,"B|"&amp;$C6&amp;"|"&amp;$D6),"")</f>
        <v/>
      </c>
      <c r="L6" s="96">
        <f>TRIM(B6)</f>
        <v/>
      </c>
      <c r="M6" s="96">
        <f>IF($H6="","",1*$H6)</f>
        <v/>
      </c>
      <c r="N6" s="96">
        <f>IF($I6="","",1*$I6)</f>
        <v/>
      </c>
      <c r="O6" s="141">
        <f>IF($M6="","",$B6&amp;"|"&amp;ROUND($M6*1000000000000,0))</f>
        <v/>
      </c>
      <c r="P6" s="141">
        <f>IF($N6="","",$B6&amp;"|"&amp;ROUND($N6*1000000000000,0))</f>
        <v/>
      </c>
    </row>
    <row r="7" ht="14.25" customHeight="1" s="97">
      <c r="A7" s="96" t="n">
        <v>6</v>
      </c>
      <c r="B7" s="96" t="inlineStr">
        <is>
          <t>LIFE</t>
        </is>
      </c>
      <c r="C7" s="96" t="inlineStr">
        <is>
          <t>U6</t>
        </is>
      </c>
      <c r="D7" s="96" t="inlineStr">
        <is>
          <t>D2</t>
        </is>
      </c>
      <c r="E7" s="96" t="n">
        <v>-0.9</v>
      </c>
      <c r="F7" s="107">
        <f>INDEX(I_prop!$B$7:$H$13, MATCH($C7, I_prop!$A$7:$A$13,0), MATCH($D7, I_prop!$B$6:$H$6,0))</f>
        <v/>
      </c>
      <c r="G7" s="107">
        <f>INDEX(I_prop!$B$18:$H$24, MATCH($C7, I_prop!$A$18:$A$24,0), MATCH($D7, I_prop!$B$17:$H$17,0))</f>
        <v/>
      </c>
      <c r="H7" s="107">
        <f>IF($J7&lt;&gt;"",$J7,IF($F7&lt;0,MAX(-1,Subgroup_Overrides!$B$7*$F7),$F7))</f>
        <v/>
      </c>
      <c r="I7" s="107">
        <f>IF($K7&lt;&gt;"",$K7,IF($G7&lt;0,MAX(-1,Subgroup_Overrides!$B$7*$G7),$G7))</f>
        <v/>
      </c>
      <c r="J7" s="127">
        <f>IF(COUNTIF(Subgroup_Overrides!$H$11:$H$100,"A|"&amp;$C7&amp;"|"&amp;$D7)&gt;0,SUMIFS(Subgroup_Overrides!$F$11:$F$100,Subgroup_Overrides!$H$11:$H$100,"A|"&amp;$C7&amp;"|"&amp;$D7),"")</f>
        <v/>
      </c>
      <c r="K7" s="127">
        <f>IF(COUNTIF(Subgroup_Overrides!$H$11:$H$100,"B|"&amp;$C7&amp;"|"&amp;$D7)&gt;0,SUMIFS(Subgroup_Overrides!$F$11:$F$100,Subgroup_Overrides!$H$11:$H$100,"B|"&amp;$C7&amp;"|"&amp;$D7),"")</f>
        <v/>
      </c>
      <c r="L7" s="96">
        <f>TRIM(B7)</f>
        <v/>
      </c>
      <c r="M7" s="96">
        <f>IF($H7="","",1*$H7)</f>
        <v/>
      </c>
      <c r="N7" s="96">
        <f>IF($I7="","",1*$I7)</f>
        <v/>
      </c>
      <c r="O7" s="141">
        <f>IF($M7="","",$B7&amp;"|"&amp;ROUND($M7*1000000000000,0))</f>
        <v/>
      </c>
      <c r="P7" s="141">
        <f>IF($N7="","",$B7&amp;"|"&amp;ROUND($N7*1000000000000,0))</f>
        <v/>
      </c>
    </row>
    <row r="8" ht="14.25" customHeight="1" s="97">
      <c r="A8" s="96" t="n">
        <v>7</v>
      </c>
      <c r="B8" s="96" t="inlineStr">
        <is>
          <t>LIFE</t>
        </is>
      </c>
      <c r="C8" s="96" t="inlineStr">
        <is>
          <t>U6</t>
        </is>
      </c>
      <c r="D8" s="96" t="inlineStr">
        <is>
          <t>D7</t>
        </is>
      </c>
      <c r="E8" s="96" t="n">
        <v>-0.9</v>
      </c>
      <c r="F8" s="107">
        <f>INDEX(I_prop!$B$7:$H$13, MATCH($C8, I_prop!$A$7:$A$13,0), MATCH($D8, I_prop!$B$6:$H$6,0))</f>
        <v/>
      </c>
      <c r="G8" s="107">
        <f>INDEX(I_prop!$B$18:$H$24, MATCH($C8, I_prop!$A$18:$A$24,0), MATCH($D8, I_prop!$B$17:$H$17,0))</f>
        <v/>
      </c>
      <c r="H8" s="107">
        <f>IF($J8&lt;&gt;"",$J8,IF($F8&lt;0,MAX(-1,Subgroup_Overrides!$B$7*$F8),$F8))</f>
        <v/>
      </c>
      <c r="I8" s="107">
        <f>IF($K8&lt;&gt;"",$K8,IF($G8&lt;0,MAX(-1,Subgroup_Overrides!$B$7*$G8),$G8))</f>
        <v/>
      </c>
      <c r="J8" s="127">
        <f>IF(COUNTIF(Subgroup_Overrides!$H$11:$H$100,"A|"&amp;$C8&amp;"|"&amp;$D8)&gt;0,SUMIFS(Subgroup_Overrides!$F$11:$F$100,Subgroup_Overrides!$H$11:$H$100,"A|"&amp;$C8&amp;"|"&amp;$D8),"")</f>
        <v/>
      </c>
      <c r="K8" s="127">
        <f>IF(COUNTIF(Subgroup_Overrides!$H$11:$H$100,"B|"&amp;$C8&amp;"|"&amp;$D8)&gt;0,SUMIFS(Subgroup_Overrides!$F$11:$F$100,Subgroup_Overrides!$H$11:$H$100,"B|"&amp;$C8&amp;"|"&amp;$D8),"")</f>
        <v/>
      </c>
      <c r="L8" s="96">
        <f>TRIM(B8)</f>
        <v/>
      </c>
      <c r="M8" s="96">
        <f>IF($H8="","",1*$H8)</f>
        <v/>
      </c>
      <c r="N8" s="96">
        <f>IF($I8="","",1*$I8)</f>
        <v/>
      </c>
      <c r="O8" s="141">
        <f>IF($M8="","",$B8&amp;"|"&amp;ROUND($M8*1000000000000,0))</f>
        <v/>
      </c>
      <c r="P8" s="141">
        <f>IF($N8="","",$B8&amp;"|"&amp;ROUND($N8*1000000000000,0))</f>
        <v/>
      </c>
    </row>
    <row r="9" ht="14.25" customHeight="1" s="97">
      <c r="A9" s="96" t="n">
        <v>8</v>
      </c>
      <c r="B9" s="96" t="inlineStr">
        <is>
          <t>BODY</t>
        </is>
      </c>
      <c r="C9" s="96" t="inlineStr">
        <is>
          <t>U1</t>
        </is>
      </c>
      <c r="D9" s="96" t="inlineStr">
        <is>
          <t>D2</t>
        </is>
      </c>
      <c r="E9" s="96" t="n">
        <v>-0.7</v>
      </c>
      <c r="F9" s="107">
        <f>INDEX(I_prop!$B$7:$H$13, MATCH($C9, I_prop!$A$7:$A$13,0), MATCH($D9, I_prop!$B$6:$H$6,0))</f>
        <v/>
      </c>
      <c r="G9" s="107">
        <f>INDEX(I_prop!$B$18:$H$24, MATCH($C9, I_prop!$A$18:$A$24,0), MATCH($D9, I_prop!$B$17:$H$17,0))</f>
        <v/>
      </c>
      <c r="H9" s="107">
        <f>IF($J9&lt;&gt;"",$J9,IF($F9&lt;0,MAX(-1,Subgroup_Overrides!$B$7*$F9),$F9))</f>
        <v/>
      </c>
      <c r="I9" s="107">
        <f>IF($K9&lt;&gt;"",$K9,IF($G9&lt;0,MAX(-1,Subgroup_Overrides!$B$7*$G9),$G9))</f>
        <v/>
      </c>
      <c r="J9" s="127">
        <f>IF(COUNTIF(Subgroup_Overrides!$H$11:$H$100,"A|"&amp;$C9&amp;"|"&amp;$D9)&gt;0,SUMIFS(Subgroup_Overrides!$F$11:$F$100,Subgroup_Overrides!$H$11:$H$100,"A|"&amp;$C9&amp;"|"&amp;$D9),"")</f>
        <v/>
      </c>
      <c r="K9" s="127">
        <f>IF(COUNTIF(Subgroup_Overrides!$H$11:$H$100,"B|"&amp;$C9&amp;"|"&amp;$D9)&gt;0,SUMIFS(Subgroup_Overrides!$F$11:$F$100,Subgroup_Overrides!$H$11:$H$100,"B|"&amp;$C9&amp;"|"&amp;$D9),"")</f>
        <v/>
      </c>
      <c r="L9" s="96">
        <f>TRIM(B9)</f>
        <v/>
      </c>
      <c r="M9" s="96">
        <f>IF($H9="","",1*$H9)</f>
        <v/>
      </c>
      <c r="N9" s="96">
        <f>IF($I9="","",1*$I9)</f>
        <v/>
      </c>
      <c r="O9" s="141">
        <f>IF($M9="","",$B9&amp;"|"&amp;ROUND($M9*1000000000000,0))</f>
        <v/>
      </c>
      <c r="P9" s="141">
        <f>IF($N9="","",$B9&amp;"|"&amp;ROUND($N9*1000000000000,0))</f>
        <v/>
      </c>
    </row>
    <row r="10" ht="14.25" customHeight="1" s="97">
      <c r="A10" s="96" t="n">
        <v>9</v>
      </c>
      <c r="B10" s="96" t="inlineStr">
        <is>
          <t>BODY</t>
        </is>
      </c>
      <c r="C10" s="96" t="inlineStr">
        <is>
          <t>U2</t>
        </is>
      </c>
      <c r="D10" s="96" t="inlineStr">
        <is>
          <t>D2</t>
        </is>
      </c>
      <c r="E10" s="96" t="n">
        <v>-0.7</v>
      </c>
      <c r="F10" s="107">
        <f>INDEX(I_prop!$B$7:$H$13, MATCH($C10, I_prop!$A$7:$A$13,0), MATCH($D10, I_prop!$B$6:$H$6,0))</f>
        <v/>
      </c>
      <c r="G10" s="107">
        <f>INDEX(I_prop!$B$18:$H$24, MATCH($C10, I_prop!$A$18:$A$24,0), MATCH($D10, I_prop!$B$17:$H$17,0))</f>
        <v/>
      </c>
      <c r="H10" s="107">
        <f>IF($J10&lt;&gt;"",$J10,IF($F10&lt;0,MAX(-1,Subgroup_Overrides!$B$7*$F10),$F10))</f>
        <v/>
      </c>
      <c r="I10" s="107">
        <f>IF($K10&lt;&gt;"",$K10,IF($G10&lt;0,MAX(-1,Subgroup_Overrides!$B$7*$G10),$G10))</f>
        <v/>
      </c>
      <c r="J10" s="127">
        <f>IF(COUNTIF(Subgroup_Overrides!$H$11:$H$100,"A|"&amp;$C10&amp;"|"&amp;$D10)&gt;0,SUMIFS(Subgroup_Overrides!$F$11:$F$100,Subgroup_Overrides!$H$11:$H$100,"A|"&amp;$C10&amp;"|"&amp;$D10),"")</f>
        <v/>
      </c>
      <c r="K10" s="127">
        <f>IF(COUNTIF(Subgroup_Overrides!$H$11:$H$100,"B|"&amp;$C10&amp;"|"&amp;$D10)&gt;0,SUMIFS(Subgroup_Overrides!$F$11:$F$100,Subgroup_Overrides!$H$11:$H$100,"B|"&amp;$C10&amp;"|"&amp;$D10),"")</f>
        <v/>
      </c>
      <c r="L10" s="96">
        <f>TRIM(B10)</f>
        <v/>
      </c>
      <c r="M10" s="96">
        <f>IF($H10="","",1*$H10)</f>
        <v/>
      </c>
      <c r="N10" s="96">
        <f>IF($I10="","",1*$I10)</f>
        <v/>
      </c>
      <c r="O10" s="141">
        <f>IF($M10="","",$B10&amp;"|"&amp;ROUND($M10*1000000000000,0))</f>
        <v/>
      </c>
      <c r="P10" s="141">
        <f>IF($N10="","",$B10&amp;"|"&amp;ROUND($N10*1000000000000,0))</f>
        <v/>
      </c>
    </row>
    <row r="11" ht="14.25" customHeight="1" s="97">
      <c r="A11" s="96" t="n">
        <v>10</v>
      </c>
      <c r="B11" s="96" t="inlineStr">
        <is>
          <t>BODY</t>
        </is>
      </c>
      <c r="C11" s="96" t="inlineStr">
        <is>
          <t>U3</t>
        </is>
      </c>
      <c r="D11" s="96" t="inlineStr">
        <is>
          <t>D2</t>
        </is>
      </c>
      <c r="E11" s="96" t="n">
        <v>-0.7</v>
      </c>
      <c r="F11" s="107">
        <f>INDEX(I_prop!$B$7:$H$13, MATCH($C11, I_prop!$A$7:$A$13,0), MATCH($D11, I_prop!$B$6:$H$6,0))</f>
        <v/>
      </c>
      <c r="G11" s="107">
        <f>INDEX(I_prop!$B$18:$H$24, MATCH($C11, I_prop!$A$18:$A$24,0), MATCH($D11, I_prop!$B$17:$H$17,0))</f>
        <v/>
      </c>
      <c r="H11" s="107">
        <f>IF($J11&lt;&gt;"",$J11,IF($F11&lt;0,MAX(-1,Subgroup_Overrides!$B$7*$F11),$F11))</f>
        <v/>
      </c>
      <c r="I11" s="107">
        <f>IF($K11&lt;&gt;"",$K11,IF($G11&lt;0,MAX(-1,Subgroup_Overrides!$B$7*$G11),$G11))</f>
        <v/>
      </c>
      <c r="J11" s="127">
        <f>IF(COUNTIF(Subgroup_Overrides!$H$11:$H$100,"A|"&amp;$C11&amp;"|"&amp;$D11)&gt;0,SUMIFS(Subgroup_Overrides!$F$11:$F$100,Subgroup_Overrides!$H$11:$H$100,"A|"&amp;$C11&amp;"|"&amp;$D11),"")</f>
        <v/>
      </c>
      <c r="K11" s="127">
        <f>IF(COUNTIF(Subgroup_Overrides!$H$11:$H$100,"B|"&amp;$C11&amp;"|"&amp;$D11)&gt;0,SUMIFS(Subgroup_Overrides!$F$11:$F$100,Subgroup_Overrides!$H$11:$H$100,"B|"&amp;$C11&amp;"|"&amp;$D11),"")</f>
        <v/>
      </c>
      <c r="L11" s="96">
        <f>TRIM(B11)</f>
        <v/>
      </c>
      <c r="M11" s="96">
        <f>IF($H11="","",1*$H11)</f>
        <v/>
      </c>
      <c r="N11" s="96">
        <f>IF($I11="","",1*$I11)</f>
        <v/>
      </c>
      <c r="O11" s="141">
        <f>IF($M11="","",$B11&amp;"|"&amp;ROUND($M11*1000000000000,0))</f>
        <v/>
      </c>
      <c r="P11" s="141">
        <f>IF($N11="","",$B11&amp;"|"&amp;ROUND($N11*1000000000000,0))</f>
        <v/>
      </c>
    </row>
    <row r="12" ht="14.25" customHeight="1" s="97">
      <c r="A12" s="96" t="n">
        <v>11</v>
      </c>
      <c r="B12" s="96" t="inlineStr">
        <is>
          <t>BODY</t>
        </is>
      </c>
      <c r="C12" s="96" t="inlineStr">
        <is>
          <t>U4</t>
        </is>
      </c>
      <c r="D12" s="96" t="inlineStr">
        <is>
          <t>D2</t>
        </is>
      </c>
      <c r="E12" s="96" t="n">
        <v>-0.7</v>
      </c>
      <c r="F12" s="107">
        <f>INDEX(I_prop!$B$7:$H$13, MATCH($C12, I_prop!$A$7:$A$13,0), MATCH($D12, I_prop!$B$6:$H$6,0))</f>
        <v/>
      </c>
      <c r="G12" s="107">
        <f>INDEX(I_prop!$B$18:$H$24, MATCH($C12, I_prop!$A$18:$A$24,0), MATCH($D12, I_prop!$B$17:$H$17,0))</f>
        <v/>
      </c>
      <c r="H12" s="107">
        <f>IF($J12&lt;&gt;"",$J12,IF($F12&lt;0,MAX(-1,Subgroup_Overrides!$B$7*$F12),$F12))</f>
        <v/>
      </c>
      <c r="I12" s="107">
        <f>IF($K12&lt;&gt;"",$K12,IF($G12&lt;0,MAX(-1,Subgroup_Overrides!$B$7*$G12),$G12))</f>
        <v/>
      </c>
      <c r="J12" s="127">
        <f>IF(COUNTIF(Subgroup_Overrides!$H$11:$H$100,"A|"&amp;$C12&amp;"|"&amp;$D12)&gt;0,SUMIFS(Subgroup_Overrides!$F$11:$F$100,Subgroup_Overrides!$H$11:$H$100,"A|"&amp;$C12&amp;"|"&amp;$D12),"")</f>
        <v/>
      </c>
      <c r="K12" s="127">
        <f>IF(COUNTIF(Subgroup_Overrides!$H$11:$H$100,"B|"&amp;$C12&amp;"|"&amp;$D12)&gt;0,SUMIFS(Subgroup_Overrides!$F$11:$F$100,Subgroup_Overrides!$H$11:$H$100,"B|"&amp;$C12&amp;"|"&amp;$D12),"")</f>
        <v/>
      </c>
      <c r="L12" s="96">
        <f>TRIM(B12)</f>
        <v/>
      </c>
      <c r="M12" s="96">
        <f>IF($H12="","",1*$H12)</f>
        <v/>
      </c>
      <c r="N12" s="96">
        <f>IF($I12="","",1*$I12)</f>
        <v/>
      </c>
      <c r="O12" s="141">
        <f>IF($M12="","",$B12&amp;"|"&amp;ROUND($M12*1000000000000,0))</f>
        <v/>
      </c>
      <c r="P12" s="141">
        <f>IF($N12="","",$B12&amp;"|"&amp;ROUND($N12*1000000000000,0))</f>
        <v/>
      </c>
    </row>
    <row r="13" ht="14.25" customHeight="1" s="97">
      <c r="A13" s="96" t="n">
        <v>12</v>
      </c>
      <c r="B13" s="96" t="inlineStr">
        <is>
          <t>BODY</t>
        </is>
      </c>
      <c r="C13" s="96" t="inlineStr">
        <is>
          <t>U5</t>
        </is>
      </c>
      <c r="D13" s="96" t="inlineStr">
        <is>
          <t>D2</t>
        </is>
      </c>
      <c r="E13" s="96" t="n">
        <v>-0.7</v>
      </c>
      <c r="F13" s="107">
        <f>INDEX(I_prop!$B$7:$H$13, MATCH($C13, I_prop!$A$7:$A$13,0), MATCH($D13, I_prop!$B$6:$H$6,0))</f>
        <v/>
      </c>
      <c r="G13" s="107">
        <f>INDEX(I_prop!$B$18:$H$24, MATCH($C13, I_prop!$A$18:$A$24,0), MATCH($D13, I_prop!$B$17:$H$17,0))</f>
        <v/>
      </c>
      <c r="H13" s="107">
        <f>IF($J13&lt;&gt;"",$J13,IF($F13&lt;0,MAX(-1,Subgroup_Overrides!$B$7*$F13),$F13))</f>
        <v/>
      </c>
      <c r="I13" s="107">
        <f>IF($K13&lt;&gt;"",$K13,IF($G13&lt;0,MAX(-1,Subgroup_Overrides!$B$7*$G13),$G13))</f>
        <v/>
      </c>
      <c r="J13" s="127">
        <f>IF(COUNTIF(Subgroup_Overrides!$H$11:$H$100,"A|"&amp;$C13&amp;"|"&amp;$D13)&gt;0,SUMIFS(Subgroup_Overrides!$F$11:$F$100,Subgroup_Overrides!$H$11:$H$100,"A|"&amp;$C13&amp;"|"&amp;$D13),"")</f>
        <v/>
      </c>
      <c r="K13" s="127">
        <f>IF(COUNTIF(Subgroup_Overrides!$H$11:$H$100,"B|"&amp;$C13&amp;"|"&amp;$D13)&gt;0,SUMIFS(Subgroup_Overrides!$F$11:$F$100,Subgroup_Overrides!$H$11:$H$100,"B|"&amp;$C13&amp;"|"&amp;$D13),"")</f>
        <v/>
      </c>
      <c r="L13" s="96">
        <f>TRIM(B13)</f>
        <v/>
      </c>
      <c r="M13" s="96">
        <f>IF($H13="","",1*$H13)</f>
        <v/>
      </c>
      <c r="N13" s="96">
        <f>IF($I13="","",1*$I13)</f>
        <v/>
      </c>
      <c r="O13" s="141">
        <f>IF($M13="","",$B13&amp;"|"&amp;ROUND($M13*1000000000000,0))</f>
        <v/>
      </c>
      <c r="P13" s="141">
        <f>IF($N13="","",$B13&amp;"|"&amp;ROUND($N13*1000000000000,0))</f>
        <v/>
      </c>
    </row>
    <row r="14" ht="14.25" customHeight="1" s="97">
      <c r="A14" s="96" t="n">
        <v>13</v>
      </c>
      <c r="B14" s="96" t="inlineStr">
        <is>
          <t>BODY</t>
        </is>
      </c>
      <c r="C14" s="96" t="inlineStr">
        <is>
          <t>U6</t>
        </is>
      </c>
      <c r="D14" s="96" t="inlineStr">
        <is>
          <t>D2</t>
        </is>
      </c>
      <c r="E14" s="96" t="n">
        <v>-0.7</v>
      </c>
      <c r="F14" s="107">
        <f>INDEX(I_prop!$B$7:$H$13, MATCH($C14, I_prop!$A$7:$A$13,0), MATCH($D14, I_prop!$B$6:$H$6,0))</f>
        <v/>
      </c>
      <c r="G14" s="107">
        <f>INDEX(I_prop!$B$18:$H$24, MATCH($C14, I_prop!$A$18:$A$24,0), MATCH($D14, I_prop!$B$17:$H$17,0))</f>
        <v/>
      </c>
      <c r="H14" s="107">
        <f>IF($J14&lt;&gt;"",$J14,IF($F14&lt;0,MAX(-1,Subgroup_Overrides!$B$7*$F14),$F14))</f>
        <v/>
      </c>
      <c r="I14" s="107">
        <f>IF($K14&lt;&gt;"",$K14,IF($G14&lt;0,MAX(-1,Subgroup_Overrides!$B$7*$G14),$G14))</f>
        <v/>
      </c>
      <c r="J14" s="127">
        <f>IF(COUNTIF(Subgroup_Overrides!$H$11:$H$100,"A|"&amp;$C14&amp;"|"&amp;$D14)&gt;0,SUMIFS(Subgroup_Overrides!$F$11:$F$100,Subgroup_Overrides!$H$11:$H$100,"A|"&amp;$C14&amp;"|"&amp;$D14),"")</f>
        <v/>
      </c>
      <c r="K14" s="127">
        <f>IF(COUNTIF(Subgroup_Overrides!$H$11:$H$100,"B|"&amp;$C14&amp;"|"&amp;$D14)&gt;0,SUMIFS(Subgroup_Overrides!$F$11:$F$100,Subgroup_Overrides!$H$11:$H$100,"B|"&amp;$C14&amp;"|"&amp;$D14),"")</f>
        <v/>
      </c>
      <c r="L14" s="96">
        <f>TRIM(B14)</f>
        <v/>
      </c>
      <c r="M14" s="96">
        <f>IF($H14="","",1*$H14)</f>
        <v/>
      </c>
      <c r="N14" s="96">
        <f>IF($I14="","",1*$I14)</f>
        <v/>
      </c>
      <c r="O14" s="141">
        <f>IF($M14="","",$B14&amp;"|"&amp;ROUND($M14*1000000000000,0))</f>
        <v/>
      </c>
      <c r="P14" s="141">
        <f>IF($N14="","",$B14&amp;"|"&amp;ROUND($N14*1000000000000,0))</f>
        <v/>
      </c>
    </row>
    <row r="15" ht="14.25" customHeight="1" s="97">
      <c r="A15" s="96" t="n">
        <v>14</v>
      </c>
      <c r="B15" s="96" t="inlineStr">
        <is>
          <t>ECOL</t>
        </is>
      </c>
      <c r="C15" s="96" t="inlineStr">
        <is>
          <t>U6</t>
        </is>
      </c>
      <c r="D15" s="96" t="inlineStr">
        <is>
          <t>D7</t>
        </is>
      </c>
      <c r="E15" s="96" t="n">
        <v>-0.65</v>
      </c>
      <c r="F15" s="107">
        <f>INDEX(I_prop!$B$7:$H$13, MATCH($C15, I_prop!$A$7:$A$13,0), MATCH($D15, I_prop!$B$6:$H$6,0))</f>
        <v/>
      </c>
      <c r="G15" s="107">
        <f>INDEX(I_prop!$B$18:$H$24, MATCH($C15, I_prop!$A$18:$A$24,0), MATCH($D15, I_prop!$B$17:$H$17,0))</f>
        <v/>
      </c>
      <c r="H15" s="107">
        <f>IF($J15&lt;&gt;"",$J15,IF($F15&lt;0,MAX(-1,Subgroup_Overrides!$B$7*$F15),$F15))</f>
        <v/>
      </c>
      <c r="I15" s="107">
        <f>IF($K15&lt;&gt;"",$K15,IF($G15&lt;0,MAX(-1,Subgroup_Overrides!$B$7*$G15),$G15))</f>
        <v/>
      </c>
      <c r="J15" s="127">
        <f>IF(COUNTIF(Subgroup_Overrides!$H$11:$H$100,"A|"&amp;$C15&amp;"|"&amp;$D15)&gt;0,SUMIFS(Subgroup_Overrides!$F$11:$F$100,Subgroup_Overrides!$H$11:$H$100,"A|"&amp;$C15&amp;"|"&amp;$D15),"")</f>
        <v/>
      </c>
      <c r="K15" s="127">
        <f>IF(COUNTIF(Subgroup_Overrides!$H$11:$H$100,"B|"&amp;$C15&amp;"|"&amp;$D15)&gt;0,SUMIFS(Subgroup_Overrides!$F$11:$F$100,Subgroup_Overrides!$H$11:$H$100,"B|"&amp;$C15&amp;"|"&amp;$D15),"")</f>
        <v/>
      </c>
      <c r="L15" s="96">
        <f>TRIM(B15)</f>
        <v/>
      </c>
      <c r="M15" s="96">
        <f>IF($H15="","",1*$H15)</f>
        <v/>
      </c>
      <c r="N15" s="96">
        <f>IF($I15="","",1*$I15)</f>
        <v/>
      </c>
      <c r="O15" s="141">
        <f>IF($M15="","",$B15&amp;"|"&amp;ROUND($M15*1000000000000,0))</f>
        <v/>
      </c>
      <c r="P15" s="141">
        <f>IF($N15="","",$B15&amp;"|"&amp;ROUND($N15*1000000000000,0))</f>
        <v/>
      </c>
    </row>
    <row r="16" ht="14.25" customHeight="1" s="97">
      <c r="A16" s="96" t="n">
        <v>15</v>
      </c>
      <c r="B16" s="96" t="inlineStr">
        <is>
          <t>ECOL</t>
        </is>
      </c>
      <c r="C16" s="96" t="inlineStr">
        <is>
          <t>U7</t>
        </is>
      </c>
      <c r="D16" s="96" t="inlineStr">
        <is>
          <t>D7</t>
        </is>
      </c>
      <c r="E16" s="96" t="n">
        <v>-0.65</v>
      </c>
      <c r="F16" s="107">
        <f>INDEX(I_prop!$B$7:$H$13, MATCH($C16, I_prop!$A$7:$A$13,0), MATCH($D16, I_prop!$B$6:$H$6,0))</f>
        <v/>
      </c>
      <c r="G16" s="107">
        <f>INDEX(I_prop!$B$18:$H$24, MATCH($C16, I_prop!$A$18:$A$24,0), MATCH($D16, I_prop!$B$17:$H$17,0))</f>
        <v/>
      </c>
      <c r="H16" s="107">
        <f>IF($J16&lt;&gt;"",$J16,IF($F16&lt;0,MAX(-1,Subgroup_Overrides!$B$7*$F16),$F16))</f>
        <v/>
      </c>
      <c r="I16" s="107">
        <f>IF($K16&lt;&gt;"",$K16,IF($G16&lt;0,MAX(-1,Subgroup_Overrides!$B$7*$G16),$G16))</f>
        <v/>
      </c>
      <c r="J16" s="127">
        <f>IF(COUNTIF(Subgroup_Overrides!$H$11:$H$100,"A|"&amp;$C16&amp;"|"&amp;$D16)&gt;0,SUMIFS(Subgroup_Overrides!$F$11:$F$100,Subgroup_Overrides!$H$11:$H$100,"A|"&amp;$C16&amp;"|"&amp;$D16),"")</f>
        <v/>
      </c>
      <c r="K16" s="127">
        <f>IF(COUNTIF(Subgroup_Overrides!$H$11:$H$100,"B|"&amp;$C16&amp;"|"&amp;$D16)&gt;0,SUMIFS(Subgroup_Overrides!$F$11:$F$100,Subgroup_Overrides!$H$11:$H$100,"B|"&amp;$C16&amp;"|"&amp;$D16),"")</f>
        <v/>
      </c>
      <c r="L16" s="96">
        <f>TRIM(B16)</f>
        <v/>
      </c>
      <c r="M16" s="96">
        <f>IF($H16="","",1*$H16)</f>
        <v/>
      </c>
      <c r="N16" s="96">
        <f>IF($I16="","",1*$I16)</f>
        <v/>
      </c>
      <c r="O16" s="141">
        <f>IF($M16="","",$B16&amp;"|"&amp;ROUND($M16*1000000000000,0))</f>
        <v/>
      </c>
      <c r="P16" s="141">
        <f>IF($N16="","",$B16&amp;"|"&amp;ROUND($N16*1000000000000,0))</f>
        <v/>
      </c>
    </row>
    <row r="17" ht="14.25" customHeight="1" s="97">
      <c r="A17" s="96" t="n">
        <v>16</v>
      </c>
      <c r="B17" s="96" t="inlineStr">
        <is>
          <t>LBTY</t>
        </is>
      </c>
      <c r="C17" s="96" t="inlineStr">
        <is>
          <t>U1</t>
        </is>
      </c>
      <c r="D17" s="96" t="inlineStr">
        <is>
          <t>D5</t>
        </is>
      </c>
      <c r="E17" s="96" t="n">
        <v>-0.65</v>
      </c>
      <c r="F17" s="107">
        <f>INDEX(I_prop!$B$7:$H$13, MATCH($C17, I_prop!$A$7:$A$13,0), MATCH($D17, I_prop!$B$6:$H$6,0))</f>
        <v/>
      </c>
      <c r="G17" s="107">
        <f>INDEX(I_prop!$B$18:$H$24, MATCH($C17, I_prop!$A$18:$A$24,0), MATCH($D17, I_prop!$B$17:$H$17,0))</f>
        <v/>
      </c>
      <c r="H17" s="107">
        <f>IF($J17&lt;&gt;"",$J17,IF($F17&lt;0,MAX(-1,Subgroup_Overrides!$B$7*$F17),$F17))</f>
        <v/>
      </c>
      <c r="I17" s="107">
        <f>IF($K17&lt;&gt;"",$K17,IF($G17&lt;0,MAX(-1,Subgroup_Overrides!$B$7*$G17),$G17))</f>
        <v/>
      </c>
      <c r="J17" s="127">
        <f>IF(COUNTIF(Subgroup_Overrides!$H$11:$H$100,"A|"&amp;$C17&amp;"|"&amp;$D17)&gt;0,SUMIFS(Subgroup_Overrides!$F$11:$F$100,Subgroup_Overrides!$H$11:$H$100,"A|"&amp;$C17&amp;"|"&amp;$D17),"")</f>
        <v/>
      </c>
      <c r="K17" s="127">
        <f>IF(COUNTIF(Subgroup_Overrides!$H$11:$H$100,"B|"&amp;$C17&amp;"|"&amp;$D17)&gt;0,SUMIFS(Subgroup_Overrides!$F$11:$F$100,Subgroup_Overrides!$H$11:$H$100,"B|"&amp;$C17&amp;"|"&amp;$D17),"")</f>
        <v/>
      </c>
      <c r="L17" s="96">
        <f>TRIM(B17)</f>
        <v/>
      </c>
      <c r="M17" s="96">
        <f>IF($H17="","",1*$H17)</f>
        <v/>
      </c>
      <c r="N17" s="96">
        <f>IF($I17="","",1*$I17)</f>
        <v/>
      </c>
      <c r="O17" s="141">
        <f>IF($M17="","",$B17&amp;"|"&amp;ROUND($M17*1000000000000,0))</f>
        <v/>
      </c>
      <c r="P17" s="141">
        <f>IF($N17="","",$B17&amp;"|"&amp;ROUND($N17*1000000000000,0))</f>
        <v/>
      </c>
    </row>
    <row r="18" ht="14.25" customHeight="1" s="97">
      <c r="A18" s="96" t="n">
        <v>17</v>
      </c>
      <c r="B18" s="96" t="inlineStr">
        <is>
          <t>LBTY</t>
        </is>
      </c>
      <c r="C18" s="96" t="inlineStr">
        <is>
          <t>U2</t>
        </is>
      </c>
      <c r="D18" s="96" t="inlineStr">
        <is>
          <t>D5</t>
        </is>
      </c>
      <c r="E18" s="96" t="n">
        <v>-0.65</v>
      </c>
      <c r="F18" s="107">
        <f>INDEX(I_prop!$B$7:$H$13, MATCH($C18, I_prop!$A$7:$A$13,0), MATCH($D18, I_prop!$B$6:$H$6,0))</f>
        <v/>
      </c>
      <c r="G18" s="107">
        <f>INDEX(I_prop!$B$18:$H$24, MATCH($C18, I_prop!$A$18:$A$24,0), MATCH($D18, I_prop!$B$17:$H$17,0))</f>
        <v/>
      </c>
      <c r="H18" s="107">
        <f>IF($J18&lt;&gt;"",$J18,IF($F18&lt;0,MAX(-1,Subgroup_Overrides!$B$7*$F18),$F18))</f>
        <v/>
      </c>
      <c r="I18" s="107">
        <f>IF($K18&lt;&gt;"",$K18,IF($G18&lt;0,MAX(-1,Subgroup_Overrides!$B$7*$G18),$G18))</f>
        <v/>
      </c>
      <c r="J18" s="127">
        <f>IF(COUNTIF(Subgroup_Overrides!$H$11:$H$100,"A|"&amp;$C18&amp;"|"&amp;$D18)&gt;0,SUMIFS(Subgroup_Overrides!$F$11:$F$100,Subgroup_Overrides!$H$11:$H$100,"A|"&amp;$C18&amp;"|"&amp;$D18),"")</f>
        <v/>
      </c>
      <c r="K18" s="127">
        <f>IF(COUNTIF(Subgroup_Overrides!$H$11:$H$100,"B|"&amp;$C18&amp;"|"&amp;$D18)&gt;0,SUMIFS(Subgroup_Overrides!$F$11:$F$100,Subgroup_Overrides!$H$11:$H$100,"B|"&amp;$C18&amp;"|"&amp;$D18),"")</f>
        <v/>
      </c>
      <c r="L18" s="96">
        <f>TRIM(B18)</f>
        <v/>
      </c>
      <c r="M18" s="96">
        <f>IF($H18="","",1*$H18)</f>
        <v/>
      </c>
      <c r="N18" s="96">
        <f>IF($I18="","",1*$I18)</f>
        <v/>
      </c>
      <c r="O18" s="141">
        <f>IF($M18="","",$B18&amp;"|"&amp;ROUND($M18*1000000000000,0))</f>
        <v/>
      </c>
      <c r="P18" s="141">
        <f>IF($N18="","",$B18&amp;"|"&amp;ROUND($N18*1000000000000,0))</f>
        <v/>
      </c>
    </row>
    <row r="19" ht="14.25" customHeight="1" s="97">
      <c r="A19" s="96" t="n">
        <v>18</v>
      </c>
      <c r="B19" s="96" t="inlineStr">
        <is>
          <t>LBTY</t>
        </is>
      </c>
      <c r="C19" s="96" t="inlineStr">
        <is>
          <t>U3</t>
        </is>
      </c>
      <c r="D19" s="96" t="inlineStr">
        <is>
          <t>D5</t>
        </is>
      </c>
      <c r="E19" s="96" t="n">
        <v>-0.65</v>
      </c>
      <c r="F19" s="107">
        <f>INDEX(I_prop!$B$7:$H$13, MATCH($C19, I_prop!$A$7:$A$13,0), MATCH($D19, I_prop!$B$6:$H$6,0))</f>
        <v/>
      </c>
      <c r="G19" s="107">
        <f>INDEX(I_prop!$B$18:$H$24, MATCH($C19, I_prop!$A$18:$A$24,0), MATCH($D19, I_prop!$B$17:$H$17,0))</f>
        <v/>
      </c>
      <c r="H19" s="107">
        <f>IF($J19&lt;&gt;"",$J19,IF($F19&lt;0,MAX(-1,Subgroup_Overrides!$B$7*$F19),$F19))</f>
        <v/>
      </c>
      <c r="I19" s="107">
        <f>IF($K19&lt;&gt;"",$K19,IF($G19&lt;0,MAX(-1,Subgroup_Overrides!$B$7*$G19),$G19))</f>
        <v/>
      </c>
      <c r="J19" s="127">
        <f>IF(COUNTIF(Subgroup_Overrides!$H$11:$H$100,"A|"&amp;$C19&amp;"|"&amp;$D19)&gt;0,SUMIFS(Subgroup_Overrides!$F$11:$F$100,Subgroup_Overrides!$H$11:$H$100,"A|"&amp;$C19&amp;"|"&amp;$D19),"")</f>
        <v/>
      </c>
      <c r="K19" s="127">
        <f>IF(COUNTIF(Subgroup_Overrides!$H$11:$H$100,"B|"&amp;$C19&amp;"|"&amp;$D19)&gt;0,SUMIFS(Subgroup_Overrides!$F$11:$F$100,Subgroup_Overrides!$H$11:$H$100,"B|"&amp;$C19&amp;"|"&amp;$D19),"")</f>
        <v/>
      </c>
      <c r="L19" s="96">
        <f>TRIM(B19)</f>
        <v/>
      </c>
      <c r="M19" s="96">
        <f>IF($H19="","",1*$H19)</f>
        <v/>
      </c>
      <c r="N19" s="96">
        <f>IF($I19="","",1*$I19)</f>
        <v/>
      </c>
      <c r="O19" s="141">
        <f>IF($M19="","",$B19&amp;"|"&amp;ROUND($M19*1000000000000,0))</f>
        <v/>
      </c>
      <c r="P19" s="141">
        <f>IF($N19="","",$B19&amp;"|"&amp;ROUND($N19*1000000000000,0))</f>
        <v/>
      </c>
    </row>
    <row r="20" ht="14.25" customHeight="1" s="97">
      <c r="A20" s="96" t="n">
        <v>19</v>
      </c>
      <c r="B20" s="96" t="inlineStr">
        <is>
          <t>LBTY</t>
        </is>
      </c>
      <c r="C20" s="96" t="inlineStr">
        <is>
          <t>U4</t>
        </is>
      </c>
      <c r="D20" s="96" t="inlineStr">
        <is>
          <t>D5</t>
        </is>
      </c>
      <c r="E20" s="96" t="n">
        <v>-0.65</v>
      </c>
      <c r="F20" s="107">
        <f>INDEX(I_prop!$B$7:$H$13, MATCH($C20, I_prop!$A$7:$A$13,0), MATCH($D20, I_prop!$B$6:$H$6,0))</f>
        <v/>
      </c>
      <c r="G20" s="107">
        <f>INDEX(I_prop!$B$18:$H$24, MATCH($C20, I_prop!$A$18:$A$24,0), MATCH($D20, I_prop!$B$17:$H$17,0))</f>
        <v/>
      </c>
      <c r="H20" s="107">
        <f>IF($J20&lt;&gt;"",$J20,IF($F20&lt;0,MAX(-1,Subgroup_Overrides!$B$7*$F20),$F20))</f>
        <v/>
      </c>
      <c r="I20" s="107">
        <f>IF($K20&lt;&gt;"",$K20,IF($G20&lt;0,MAX(-1,Subgroup_Overrides!$B$7*$G20),$G20))</f>
        <v/>
      </c>
      <c r="J20" s="127">
        <f>IF(COUNTIF(Subgroup_Overrides!$H$11:$H$100,"A|"&amp;$C20&amp;"|"&amp;$D20)&gt;0,SUMIFS(Subgroup_Overrides!$F$11:$F$100,Subgroup_Overrides!$H$11:$H$100,"A|"&amp;$C20&amp;"|"&amp;$D20),"")</f>
        <v/>
      </c>
      <c r="K20" s="127">
        <f>IF(COUNTIF(Subgroup_Overrides!$H$11:$H$100,"B|"&amp;$C20&amp;"|"&amp;$D20)&gt;0,SUMIFS(Subgroup_Overrides!$F$11:$F$100,Subgroup_Overrides!$H$11:$H$100,"B|"&amp;$C20&amp;"|"&amp;$D20),"")</f>
        <v/>
      </c>
      <c r="L20" s="96">
        <f>TRIM(B20)</f>
        <v/>
      </c>
      <c r="M20" s="96">
        <f>IF($H20="","",1*$H20)</f>
        <v/>
      </c>
      <c r="N20" s="96">
        <f>IF($I20="","",1*$I20)</f>
        <v/>
      </c>
      <c r="O20" s="141">
        <f>IF($M20="","",$B20&amp;"|"&amp;ROUND($M20*1000000000000,0))</f>
        <v/>
      </c>
      <c r="P20" s="141">
        <f>IF($N20="","",$B20&amp;"|"&amp;ROUND($N20*1000000000000,0))</f>
        <v/>
      </c>
    </row>
    <row r="21" ht="14.25" customHeight="1" s="97">
      <c r="A21" s="96" t="n">
        <v>20</v>
      </c>
      <c r="B21" s="96" t="inlineStr">
        <is>
          <t>LBTY</t>
        </is>
      </c>
      <c r="C21" s="96" t="inlineStr">
        <is>
          <t>U5</t>
        </is>
      </c>
      <c r="D21" s="96" t="inlineStr">
        <is>
          <t>D5</t>
        </is>
      </c>
      <c r="E21" s="96" t="n">
        <v>-0.65</v>
      </c>
      <c r="F21" s="107">
        <f>INDEX(I_prop!$B$7:$H$13, MATCH($C21, I_prop!$A$7:$A$13,0), MATCH($D21, I_prop!$B$6:$H$6,0))</f>
        <v/>
      </c>
      <c r="G21" s="107">
        <f>INDEX(I_prop!$B$18:$H$24, MATCH($C21, I_prop!$A$18:$A$24,0), MATCH($D21, I_prop!$B$17:$H$17,0))</f>
        <v/>
      </c>
      <c r="H21" s="107">
        <f>IF($J21&lt;&gt;"",$J21,IF($F21&lt;0,MAX(-1,Subgroup_Overrides!$B$7*$F21),$F21))</f>
        <v/>
      </c>
      <c r="I21" s="107">
        <f>IF($K21&lt;&gt;"",$K21,IF($G21&lt;0,MAX(-1,Subgroup_Overrides!$B$7*$G21),$G21))</f>
        <v/>
      </c>
      <c r="J21" s="127">
        <f>IF(COUNTIF(Subgroup_Overrides!$H$11:$H$100,"A|"&amp;$C21&amp;"|"&amp;$D21)&gt;0,SUMIFS(Subgroup_Overrides!$F$11:$F$100,Subgroup_Overrides!$H$11:$H$100,"A|"&amp;$C21&amp;"|"&amp;$D21),"")</f>
        <v/>
      </c>
      <c r="K21" s="127">
        <f>IF(COUNTIF(Subgroup_Overrides!$H$11:$H$100,"B|"&amp;$C21&amp;"|"&amp;$D21)&gt;0,SUMIFS(Subgroup_Overrides!$F$11:$F$100,Subgroup_Overrides!$H$11:$H$100,"B|"&amp;$C21&amp;"|"&amp;$D21),"")</f>
        <v/>
      </c>
      <c r="L21" s="96">
        <f>TRIM(B21)</f>
        <v/>
      </c>
      <c r="M21" s="96">
        <f>IF($H21="","",1*$H21)</f>
        <v/>
      </c>
      <c r="N21" s="96">
        <f>IF($I21="","",1*$I21)</f>
        <v/>
      </c>
      <c r="O21" s="141">
        <f>IF($M21="","",$B21&amp;"|"&amp;ROUND($M21*1000000000000,0))</f>
        <v/>
      </c>
      <c r="P21" s="141">
        <f>IF($N21="","",$B21&amp;"|"&amp;ROUND($N21*1000000000000,0))</f>
        <v/>
      </c>
    </row>
    <row r="22" ht="14.25" customHeight="1" s="97">
      <c r="A22" s="96" t="n">
        <v>21</v>
      </c>
      <c r="B22" s="96" t="inlineStr">
        <is>
          <t>LBTY</t>
        </is>
      </c>
      <c r="C22" s="96" t="inlineStr">
        <is>
          <t>U6</t>
        </is>
      </c>
      <c r="D22" s="96" t="inlineStr">
        <is>
          <t>D5</t>
        </is>
      </c>
      <c r="E22" s="96" t="n">
        <v>-0.65</v>
      </c>
      <c r="F22" s="107">
        <f>INDEX(I_prop!$B$7:$H$13, MATCH($C22, I_prop!$A$7:$A$13,0), MATCH($D22, I_prop!$B$6:$H$6,0))</f>
        <v/>
      </c>
      <c r="G22" s="107">
        <f>INDEX(I_prop!$B$18:$H$24, MATCH($C22, I_prop!$A$18:$A$24,0), MATCH($D22, I_prop!$B$17:$H$17,0))</f>
        <v/>
      </c>
      <c r="H22" s="107">
        <f>IF($J22&lt;&gt;"",$J22,IF($F22&lt;0,MAX(-1,Subgroup_Overrides!$B$7*$F22),$F22))</f>
        <v/>
      </c>
      <c r="I22" s="107">
        <f>IF($K22&lt;&gt;"",$K22,IF($G22&lt;0,MAX(-1,Subgroup_Overrides!$B$7*$G22),$G22))</f>
        <v/>
      </c>
      <c r="J22" s="127">
        <f>IF(COUNTIF(Subgroup_Overrides!$H$11:$H$100,"A|"&amp;$C22&amp;"|"&amp;$D22)&gt;0,SUMIFS(Subgroup_Overrides!$F$11:$F$100,Subgroup_Overrides!$H$11:$H$100,"A|"&amp;$C22&amp;"|"&amp;$D22),"")</f>
        <v/>
      </c>
      <c r="K22" s="127">
        <f>IF(COUNTIF(Subgroup_Overrides!$H$11:$H$100,"B|"&amp;$C22&amp;"|"&amp;$D22)&gt;0,SUMIFS(Subgroup_Overrides!$F$11:$F$100,Subgroup_Overrides!$H$11:$H$100,"B|"&amp;$C22&amp;"|"&amp;$D22),"")</f>
        <v/>
      </c>
      <c r="L22" s="96">
        <f>TRIM(B22)</f>
        <v/>
      </c>
      <c r="M22" s="96">
        <f>IF($H22="","",1*$H22)</f>
        <v/>
      </c>
      <c r="N22" s="96">
        <f>IF($I22="","",1*$I22)</f>
        <v/>
      </c>
      <c r="O22" s="141">
        <f>IF($M22="","",$B22&amp;"|"&amp;ROUND($M22*1000000000000,0))</f>
        <v/>
      </c>
      <c r="P22" s="141">
        <f>IF($N22="","",$B22&amp;"|"&amp;ROUND($N22*1000000000000,0))</f>
        <v/>
      </c>
    </row>
    <row r="23" ht="14.25" customHeight="1" s="97">
      <c r="A23" s="96" t="n">
        <v>22</v>
      </c>
      <c r="B23" s="96" t="inlineStr">
        <is>
          <t>LBTY</t>
        </is>
      </c>
      <c r="C23" s="96" t="inlineStr">
        <is>
          <t>U3</t>
        </is>
      </c>
      <c r="D23" s="96" t="inlineStr">
        <is>
          <t>D3</t>
        </is>
      </c>
      <c r="E23" s="96" t="n">
        <v>-0.65</v>
      </c>
      <c r="F23" s="107">
        <f>INDEX(I_prop!$B$7:$H$13, MATCH($C23, I_prop!$A$7:$A$13,0), MATCH($D23, I_prop!$B$6:$H$6,0))</f>
        <v/>
      </c>
      <c r="G23" s="107">
        <f>INDEX(I_prop!$B$18:$H$24, MATCH($C23, I_prop!$A$18:$A$24,0), MATCH($D23, I_prop!$B$17:$H$17,0))</f>
        <v/>
      </c>
      <c r="H23" s="107">
        <f>IF($J23&lt;&gt;"",$J23,IF($F23&lt;0,MAX(-1,Subgroup_Overrides!$B$7*$F23),$F23))</f>
        <v/>
      </c>
      <c r="I23" s="107">
        <f>IF($K23&lt;&gt;"",$K23,IF($G23&lt;0,MAX(-1,Subgroup_Overrides!$B$7*$G23),$G23))</f>
        <v/>
      </c>
      <c r="J23" s="127">
        <f>IF(COUNTIF(Subgroup_Overrides!$H$11:$H$100,"A|"&amp;$C23&amp;"|"&amp;$D23)&gt;0,SUMIFS(Subgroup_Overrides!$F$11:$F$100,Subgroup_Overrides!$H$11:$H$100,"A|"&amp;$C23&amp;"|"&amp;$D23),"")</f>
        <v/>
      </c>
      <c r="K23" s="127">
        <f>IF(COUNTIF(Subgroup_Overrides!$H$11:$H$100,"B|"&amp;$C23&amp;"|"&amp;$D23)&gt;0,SUMIFS(Subgroup_Overrides!$F$11:$F$100,Subgroup_Overrides!$H$11:$H$100,"B|"&amp;$C23&amp;"|"&amp;$D23),"")</f>
        <v/>
      </c>
      <c r="L23" s="96">
        <f>TRIM(B23)</f>
        <v/>
      </c>
      <c r="M23" s="96">
        <f>IF($H23="","",1*$H23)</f>
        <v/>
      </c>
      <c r="N23" s="96">
        <f>IF($I23="","",1*$I23)</f>
        <v/>
      </c>
      <c r="O23" s="141">
        <f>IF($M23="","",$B23&amp;"|"&amp;ROUND($M23*1000000000000,0))</f>
        <v/>
      </c>
      <c r="P23" s="141">
        <f>IF($N23="","",$B23&amp;"|"&amp;ROUND($N23*1000000000000,0))</f>
        <v/>
      </c>
    </row>
    <row r="24" ht="14.25" customHeight="1" s="97">
      <c r="A24" s="96" t="n">
        <v>23</v>
      </c>
      <c r="B24" s="96" t="inlineStr">
        <is>
          <t>LBTY</t>
        </is>
      </c>
      <c r="C24" s="96" t="inlineStr">
        <is>
          <t>U4</t>
        </is>
      </c>
      <c r="D24" s="96" t="inlineStr">
        <is>
          <t>D3</t>
        </is>
      </c>
      <c r="E24" s="96" t="n">
        <v>-0.65</v>
      </c>
      <c r="F24" s="107">
        <f>INDEX(I_prop!$B$7:$H$13, MATCH($C24, I_prop!$A$7:$A$13,0), MATCH($D24, I_prop!$B$6:$H$6,0))</f>
        <v/>
      </c>
      <c r="G24" s="107">
        <f>INDEX(I_prop!$B$18:$H$24, MATCH($C24, I_prop!$A$18:$A$24,0), MATCH($D24, I_prop!$B$17:$H$17,0))</f>
        <v/>
      </c>
      <c r="H24" s="107">
        <f>IF($J24&lt;&gt;"",$J24,IF($F24&lt;0,MAX(-1,Subgroup_Overrides!$B$7*$F24),$F24))</f>
        <v/>
      </c>
      <c r="I24" s="107">
        <f>IF($K24&lt;&gt;"",$K24,IF($G24&lt;0,MAX(-1,Subgroup_Overrides!$B$7*$G24),$G24))</f>
        <v/>
      </c>
      <c r="J24" s="127">
        <f>IF(COUNTIF(Subgroup_Overrides!$H$11:$H$100,"A|"&amp;$C24&amp;"|"&amp;$D24)&gt;0,SUMIFS(Subgroup_Overrides!$F$11:$F$100,Subgroup_Overrides!$H$11:$H$100,"A|"&amp;$C24&amp;"|"&amp;$D24),"")</f>
        <v/>
      </c>
      <c r="K24" s="127">
        <f>IF(COUNTIF(Subgroup_Overrides!$H$11:$H$100,"B|"&amp;$C24&amp;"|"&amp;$D24)&gt;0,SUMIFS(Subgroup_Overrides!$F$11:$F$100,Subgroup_Overrides!$H$11:$H$100,"B|"&amp;$C24&amp;"|"&amp;$D24),"")</f>
        <v/>
      </c>
      <c r="L24" s="96">
        <f>TRIM(B24)</f>
        <v/>
      </c>
      <c r="M24" s="96">
        <f>IF($H24="","",1*$H24)</f>
        <v/>
      </c>
      <c r="N24" s="96">
        <f>IF($I24="","",1*$I24)</f>
        <v/>
      </c>
      <c r="O24" s="141">
        <f>IF($M24="","",$B24&amp;"|"&amp;ROUND($M24*1000000000000,0))</f>
        <v/>
      </c>
      <c r="P24" s="141">
        <f>IF($N24="","",$B24&amp;"|"&amp;ROUND($N24*1000000000000,0))</f>
        <v/>
      </c>
    </row>
    <row r="25" ht="14.25" customHeight="1" s="97">
      <c r="A25" s="96" t="n">
        <v>24</v>
      </c>
      <c r="B25" s="96" t="inlineStr">
        <is>
          <t>LBTY</t>
        </is>
      </c>
      <c r="C25" s="96" t="inlineStr">
        <is>
          <t>U5</t>
        </is>
      </c>
      <c r="D25" s="96" t="inlineStr">
        <is>
          <t>D3</t>
        </is>
      </c>
      <c r="E25" s="96" t="n">
        <v>-0.65</v>
      </c>
      <c r="F25" s="107">
        <f>INDEX(I_prop!$B$7:$H$13, MATCH($C25, I_prop!$A$7:$A$13,0), MATCH($D25, I_prop!$B$6:$H$6,0))</f>
        <v/>
      </c>
      <c r="G25" s="107">
        <f>INDEX(I_prop!$B$18:$H$24, MATCH($C25, I_prop!$A$18:$A$24,0), MATCH($D25, I_prop!$B$17:$H$17,0))</f>
        <v/>
      </c>
      <c r="H25" s="107">
        <f>IF($J25&lt;&gt;"",$J25,IF($F25&lt;0,MAX(-1,Subgroup_Overrides!$B$7*$F25),$F25))</f>
        <v/>
      </c>
      <c r="I25" s="107">
        <f>IF($K25&lt;&gt;"",$K25,IF($G25&lt;0,MAX(-1,Subgroup_Overrides!$B$7*$G25),$G25))</f>
        <v/>
      </c>
      <c r="J25" s="127">
        <f>IF(COUNTIF(Subgroup_Overrides!$H$11:$H$100,"A|"&amp;$C25&amp;"|"&amp;$D25)&gt;0,SUMIFS(Subgroup_Overrides!$F$11:$F$100,Subgroup_Overrides!$H$11:$H$100,"A|"&amp;$C25&amp;"|"&amp;$D25),"")</f>
        <v/>
      </c>
      <c r="K25" s="127">
        <f>IF(COUNTIF(Subgroup_Overrides!$H$11:$H$100,"B|"&amp;$C25&amp;"|"&amp;$D25)&gt;0,SUMIFS(Subgroup_Overrides!$F$11:$F$100,Subgroup_Overrides!$H$11:$H$100,"B|"&amp;$C25&amp;"|"&amp;$D25),"")</f>
        <v/>
      </c>
      <c r="L25" s="96">
        <f>TRIM(B25)</f>
        <v/>
      </c>
      <c r="M25" s="96">
        <f>IF($H25="","",1*$H25)</f>
        <v/>
      </c>
      <c r="N25" s="96">
        <f>IF($I25="","",1*$I25)</f>
        <v/>
      </c>
      <c r="O25" s="141">
        <f>IF($M25="","",$B25&amp;"|"&amp;ROUND($M25*1000000000000,0))</f>
        <v/>
      </c>
      <c r="P25" s="141">
        <f>IF($N25="","",$B25&amp;"|"&amp;ROUND($N25*1000000000000,0))</f>
        <v/>
      </c>
    </row>
    <row r="26" ht="14.25" customHeight="1" s="97">
      <c r="A26" s="96" t="n">
        <v>25</v>
      </c>
      <c r="B26" s="96" t="inlineStr">
        <is>
          <t>LBTY</t>
        </is>
      </c>
      <c r="C26" s="96" t="inlineStr">
        <is>
          <t>U6</t>
        </is>
      </c>
      <c r="D26" s="96" t="inlineStr">
        <is>
          <t>D3</t>
        </is>
      </c>
      <c r="E26" s="96" t="n">
        <v>-0.65</v>
      </c>
      <c r="F26" s="107">
        <f>INDEX(I_prop!$B$7:$H$13, MATCH($C26, I_prop!$A$7:$A$13,0), MATCH($D26, I_prop!$B$6:$H$6,0))</f>
        <v/>
      </c>
      <c r="G26" s="107">
        <f>INDEX(I_prop!$B$18:$H$24, MATCH($C26, I_prop!$A$18:$A$24,0), MATCH($D26, I_prop!$B$17:$H$17,0))</f>
        <v/>
      </c>
      <c r="H26" s="107">
        <f>IF($J26&lt;&gt;"",$J26,IF($F26&lt;0,MAX(-1,Subgroup_Overrides!$B$7*$F26),$F26))</f>
        <v/>
      </c>
      <c r="I26" s="107">
        <f>IF($K26&lt;&gt;"",$K26,IF($G26&lt;0,MAX(-1,Subgroup_Overrides!$B$7*$G26),$G26))</f>
        <v/>
      </c>
      <c r="J26" s="127">
        <f>IF(COUNTIF(Subgroup_Overrides!$H$11:$H$100,"A|"&amp;$C26&amp;"|"&amp;$D26)&gt;0,SUMIFS(Subgroup_Overrides!$F$11:$F$100,Subgroup_Overrides!$H$11:$H$100,"A|"&amp;$C26&amp;"|"&amp;$D26),"")</f>
        <v/>
      </c>
      <c r="K26" s="127">
        <f>IF(COUNTIF(Subgroup_Overrides!$H$11:$H$100,"B|"&amp;$C26&amp;"|"&amp;$D26)&gt;0,SUMIFS(Subgroup_Overrides!$F$11:$F$100,Subgroup_Overrides!$H$11:$H$100,"B|"&amp;$C26&amp;"|"&amp;$D26),"")</f>
        <v/>
      </c>
      <c r="L26" s="96">
        <f>TRIM(B26)</f>
        <v/>
      </c>
      <c r="M26" s="96">
        <f>IF($H26="","",1*$H26)</f>
        <v/>
      </c>
      <c r="N26" s="96">
        <f>IF($I26="","",1*$I26)</f>
        <v/>
      </c>
      <c r="O26" s="141">
        <f>IF($M26="","",$B26&amp;"|"&amp;ROUND($M26*1000000000000,0))</f>
        <v/>
      </c>
      <c r="P26" s="141">
        <f>IF($N26="","",$B26&amp;"|"&amp;ROUND($N26*1000000000000,0))</f>
        <v/>
      </c>
    </row>
    <row r="27" ht="14.25" customHeight="1" s="97">
      <c r="A27" s="96" t="n">
        <v>26</v>
      </c>
      <c r="B27" s="96" t="inlineStr">
        <is>
          <t>NEED</t>
        </is>
      </c>
      <c r="C27" s="96" t="inlineStr">
        <is>
          <t>U1</t>
        </is>
      </c>
      <c r="D27" s="96" t="inlineStr">
        <is>
          <t>D1</t>
        </is>
      </c>
      <c r="E27" s="96" t="n">
        <v>-0.5</v>
      </c>
      <c r="F27" s="107">
        <f>INDEX(I_prop!$B$7:$H$13, MATCH($C27, I_prop!$A$7:$A$13,0), MATCH($D27, I_prop!$B$6:$H$6,0))</f>
        <v/>
      </c>
      <c r="G27" s="107">
        <f>INDEX(I_prop!$B$18:$H$24, MATCH($C27, I_prop!$A$18:$A$24,0), MATCH($D27, I_prop!$B$17:$H$17,0))</f>
        <v/>
      </c>
      <c r="H27" s="107">
        <f>IF($J27&lt;&gt;"",$J27,IF($F27&lt;0,MAX(-1,Subgroup_Overrides!$B$7*$F27),$F27))</f>
        <v/>
      </c>
      <c r="I27" s="107">
        <f>IF($K27&lt;&gt;"",$K27,IF($G27&lt;0,MAX(-1,Subgroup_Overrides!$B$7*$G27),$G27))</f>
        <v/>
      </c>
      <c r="J27" s="127">
        <f>IF(COUNTIF(Subgroup_Overrides!$H$11:$H$100,"A|"&amp;$C27&amp;"|"&amp;$D27)&gt;0,SUMIFS(Subgroup_Overrides!$F$11:$F$100,Subgroup_Overrides!$H$11:$H$100,"A|"&amp;$C27&amp;"|"&amp;$D27),"")</f>
        <v/>
      </c>
      <c r="K27" s="127">
        <f>IF(COUNTIF(Subgroup_Overrides!$H$11:$H$100,"B|"&amp;$C27&amp;"|"&amp;$D27)&gt;0,SUMIFS(Subgroup_Overrides!$F$11:$F$100,Subgroup_Overrides!$H$11:$H$100,"B|"&amp;$C27&amp;"|"&amp;$D27),"")</f>
        <v/>
      </c>
      <c r="L27" s="96">
        <f>TRIM(B27)</f>
        <v/>
      </c>
      <c r="M27" s="96">
        <f>IF($H27="","",1*$H27)</f>
        <v/>
      </c>
      <c r="N27" s="96">
        <f>IF($I27="","",1*$I27)</f>
        <v/>
      </c>
      <c r="O27" s="141">
        <f>IF($M27="","",$B27&amp;"|"&amp;ROUND($M27*1000000000000,0))</f>
        <v/>
      </c>
      <c r="P27" s="141">
        <f>IF($N27="","",$B27&amp;"|"&amp;ROUND($N27*1000000000000,0))</f>
        <v/>
      </c>
    </row>
    <row r="28" ht="14.25" customHeight="1" s="97">
      <c r="A28" s="96" t="n">
        <v>27</v>
      </c>
      <c r="B28" s="96" t="inlineStr">
        <is>
          <t>NEED</t>
        </is>
      </c>
      <c r="C28" s="96" t="inlineStr">
        <is>
          <t>U1</t>
        </is>
      </c>
      <c r="D28" s="96" t="inlineStr">
        <is>
          <t>D2</t>
        </is>
      </c>
      <c r="E28" s="96" t="n">
        <v>-0.5</v>
      </c>
      <c r="F28" s="107">
        <f>INDEX(I_prop!$B$7:$H$13, MATCH($C28, I_prop!$A$7:$A$13,0), MATCH($D28, I_prop!$B$6:$H$6,0))</f>
        <v/>
      </c>
      <c r="G28" s="107">
        <f>INDEX(I_prop!$B$18:$H$24, MATCH($C28, I_prop!$A$18:$A$24,0), MATCH($D28, I_prop!$B$17:$H$17,0))</f>
        <v/>
      </c>
      <c r="H28" s="107">
        <f>IF($J28&lt;&gt;"",$J28,IF($F28&lt;0,MAX(-1,Subgroup_Overrides!$B$7*$F28),$F28))</f>
        <v/>
      </c>
      <c r="I28" s="107">
        <f>IF($K28&lt;&gt;"",$K28,IF($G28&lt;0,MAX(-1,Subgroup_Overrides!$B$7*$G28),$G28))</f>
        <v/>
      </c>
      <c r="J28" s="127">
        <f>IF(COUNTIF(Subgroup_Overrides!$H$11:$H$100,"A|"&amp;$C28&amp;"|"&amp;$D28)&gt;0,SUMIFS(Subgroup_Overrides!$F$11:$F$100,Subgroup_Overrides!$H$11:$H$100,"A|"&amp;$C28&amp;"|"&amp;$D28),"")</f>
        <v/>
      </c>
      <c r="K28" s="127">
        <f>IF(COUNTIF(Subgroup_Overrides!$H$11:$H$100,"B|"&amp;$C28&amp;"|"&amp;$D28)&gt;0,SUMIFS(Subgroup_Overrides!$F$11:$F$100,Subgroup_Overrides!$H$11:$H$100,"B|"&amp;$C28&amp;"|"&amp;$D28),"")</f>
        <v/>
      </c>
      <c r="L28" s="96">
        <f>TRIM(B28)</f>
        <v/>
      </c>
      <c r="M28" s="96">
        <f>IF($H28="","",1*$H28)</f>
        <v/>
      </c>
      <c r="N28" s="96">
        <f>IF($I28="","",1*$I28)</f>
        <v/>
      </c>
      <c r="O28" s="141">
        <f>IF($M28="","",$B28&amp;"|"&amp;ROUND($M28*1000000000000,0))</f>
        <v/>
      </c>
      <c r="P28" s="141">
        <f>IF($N28="","",$B28&amp;"|"&amp;ROUND($N28*1000000000000,0))</f>
        <v/>
      </c>
    </row>
    <row r="29" ht="14.25" customHeight="1" s="97">
      <c r="A29" s="96" t="n">
        <v>28</v>
      </c>
      <c r="B29" s="96" t="inlineStr">
        <is>
          <t>NEED</t>
        </is>
      </c>
      <c r="C29" s="96" t="inlineStr">
        <is>
          <t>U2</t>
        </is>
      </c>
      <c r="D29" s="96" t="inlineStr">
        <is>
          <t>D1</t>
        </is>
      </c>
      <c r="E29" s="96" t="n">
        <v>-0.5</v>
      </c>
      <c r="F29" s="107">
        <f>INDEX(I_prop!$B$7:$H$13, MATCH($C29, I_prop!$A$7:$A$13,0), MATCH($D29, I_prop!$B$6:$H$6,0))</f>
        <v/>
      </c>
      <c r="G29" s="107">
        <f>INDEX(I_prop!$B$18:$H$24, MATCH($C29, I_prop!$A$18:$A$24,0), MATCH($D29, I_prop!$B$17:$H$17,0))</f>
        <v/>
      </c>
      <c r="H29" s="107">
        <f>IF($J29&lt;&gt;"",$J29,IF($F29&lt;0,MAX(-1,Subgroup_Overrides!$B$7*$F29),$F29))</f>
        <v/>
      </c>
      <c r="I29" s="107">
        <f>IF($K29&lt;&gt;"",$K29,IF($G29&lt;0,MAX(-1,Subgroup_Overrides!$B$7*$G29),$G29))</f>
        <v/>
      </c>
      <c r="J29" s="127">
        <f>IF(COUNTIF(Subgroup_Overrides!$H$11:$H$100,"A|"&amp;$C29&amp;"|"&amp;$D29)&gt;0,SUMIFS(Subgroup_Overrides!$F$11:$F$100,Subgroup_Overrides!$H$11:$H$100,"A|"&amp;$C29&amp;"|"&amp;$D29),"")</f>
        <v/>
      </c>
      <c r="K29" s="127">
        <f>IF(COUNTIF(Subgroup_Overrides!$H$11:$H$100,"B|"&amp;$C29&amp;"|"&amp;$D29)&gt;0,SUMIFS(Subgroup_Overrides!$F$11:$F$100,Subgroup_Overrides!$H$11:$H$100,"B|"&amp;$C29&amp;"|"&amp;$D29),"")</f>
        <v/>
      </c>
      <c r="L29" s="96">
        <f>TRIM(B29)</f>
        <v/>
      </c>
      <c r="M29" s="96">
        <f>IF($H29="","",1*$H29)</f>
        <v/>
      </c>
      <c r="N29" s="96">
        <f>IF($I29="","",1*$I29)</f>
        <v/>
      </c>
      <c r="O29" s="141">
        <f>IF($M29="","",$B29&amp;"|"&amp;ROUND($M29*1000000000000,0))</f>
        <v/>
      </c>
      <c r="P29" s="141">
        <f>IF($N29="","",$B29&amp;"|"&amp;ROUND($N29*1000000000000,0))</f>
        <v/>
      </c>
    </row>
    <row r="30" ht="14.25" customHeight="1" s="97">
      <c r="A30" s="96" t="n">
        <v>29</v>
      </c>
      <c r="B30" s="96" t="inlineStr">
        <is>
          <t>NEED</t>
        </is>
      </c>
      <c r="C30" s="96" t="inlineStr">
        <is>
          <t>U2</t>
        </is>
      </c>
      <c r="D30" s="96" t="inlineStr">
        <is>
          <t>D2</t>
        </is>
      </c>
      <c r="E30" s="96" t="n">
        <v>-0.5</v>
      </c>
      <c r="F30" s="107">
        <f>INDEX(I_prop!$B$7:$H$13, MATCH($C30, I_prop!$A$7:$A$13,0), MATCH($D30, I_prop!$B$6:$H$6,0))</f>
        <v/>
      </c>
      <c r="G30" s="107">
        <f>INDEX(I_prop!$B$18:$H$24, MATCH($C30, I_prop!$A$18:$A$24,0), MATCH($D30, I_prop!$B$17:$H$17,0))</f>
        <v/>
      </c>
      <c r="H30" s="107">
        <f>IF($J30&lt;&gt;"",$J30,IF($F30&lt;0,MAX(-1,Subgroup_Overrides!$B$7*$F30),$F30))</f>
        <v/>
      </c>
      <c r="I30" s="107">
        <f>IF($K30&lt;&gt;"",$K30,IF($G30&lt;0,MAX(-1,Subgroup_Overrides!$B$7*$G30),$G30))</f>
        <v/>
      </c>
      <c r="J30" s="127">
        <f>IF(COUNTIF(Subgroup_Overrides!$H$11:$H$100,"A|"&amp;$C30&amp;"|"&amp;$D30)&gt;0,SUMIFS(Subgroup_Overrides!$F$11:$F$100,Subgroup_Overrides!$H$11:$H$100,"A|"&amp;$C30&amp;"|"&amp;$D30),"")</f>
        <v/>
      </c>
      <c r="K30" s="127">
        <f>IF(COUNTIF(Subgroup_Overrides!$H$11:$H$100,"B|"&amp;$C30&amp;"|"&amp;$D30)&gt;0,SUMIFS(Subgroup_Overrides!$F$11:$F$100,Subgroup_Overrides!$H$11:$H$100,"B|"&amp;$C30&amp;"|"&amp;$D30),"")</f>
        <v/>
      </c>
      <c r="L30" s="96">
        <f>TRIM(B30)</f>
        <v/>
      </c>
      <c r="M30" s="96">
        <f>IF($H30="","",1*$H30)</f>
        <v/>
      </c>
      <c r="N30" s="96">
        <f>IF($I30="","",1*$I30)</f>
        <v/>
      </c>
      <c r="O30" s="141">
        <f>IF($M30="","",$B30&amp;"|"&amp;ROUND($M30*1000000000000,0))</f>
        <v/>
      </c>
      <c r="P30" s="141">
        <f>IF($N30="","",$B30&amp;"|"&amp;ROUND($N30*1000000000000,0))</f>
        <v/>
      </c>
    </row>
    <row r="31" ht="14.25" customHeight="1" s="97">
      <c r="A31" s="96" t="n">
        <v>30</v>
      </c>
      <c r="B31" s="96" t="inlineStr">
        <is>
          <t>NEED</t>
        </is>
      </c>
      <c r="C31" s="96" t="inlineStr">
        <is>
          <t>U3</t>
        </is>
      </c>
      <c r="D31" s="96" t="inlineStr">
        <is>
          <t>D1</t>
        </is>
      </c>
      <c r="E31" s="96" t="n">
        <v>-0.5</v>
      </c>
      <c r="F31" s="107">
        <f>INDEX(I_prop!$B$7:$H$13, MATCH($C31, I_prop!$A$7:$A$13,0), MATCH($D31, I_prop!$B$6:$H$6,0))</f>
        <v/>
      </c>
      <c r="G31" s="107">
        <f>INDEX(I_prop!$B$18:$H$24, MATCH($C31, I_prop!$A$18:$A$24,0), MATCH($D31, I_prop!$B$17:$H$17,0))</f>
        <v/>
      </c>
      <c r="H31" s="107">
        <f>IF($J31&lt;&gt;"",$J31,IF($F31&lt;0,MAX(-1,Subgroup_Overrides!$B$7*$F31),$F31))</f>
        <v/>
      </c>
      <c r="I31" s="107">
        <f>IF($K31&lt;&gt;"",$K31,IF($G31&lt;0,MAX(-1,Subgroup_Overrides!$B$7*$G31),$G31))</f>
        <v/>
      </c>
      <c r="J31" s="127">
        <f>IF(COUNTIF(Subgroup_Overrides!$H$11:$H$100,"A|"&amp;$C31&amp;"|"&amp;$D31)&gt;0,SUMIFS(Subgroup_Overrides!$F$11:$F$100,Subgroup_Overrides!$H$11:$H$100,"A|"&amp;$C31&amp;"|"&amp;$D31),"")</f>
        <v/>
      </c>
      <c r="K31" s="127">
        <f>IF(COUNTIF(Subgroup_Overrides!$H$11:$H$100,"B|"&amp;$C31&amp;"|"&amp;$D31)&gt;0,SUMIFS(Subgroup_Overrides!$F$11:$F$100,Subgroup_Overrides!$H$11:$H$100,"B|"&amp;$C31&amp;"|"&amp;$D31),"")</f>
        <v/>
      </c>
      <c r="L31" s="96">
        <f>TRIM(B31)</f>
        <v/>
      </c>
      <c r="M31" s="96">
        <f>IF($H31="","",1*$H31)</f>
        <v/>
      </c>
      <c r="N31" s="96">
        <f>IF($I31="","",1*$I31)</f>
        <v/>
      </c>
      <c r="O31" s="141">
        <f>IF($M31="","",$B31&amp;"|"&amp;ROUND($M31*1000000000000,0))</f>
        <v/>
      </c>
      <c r="P31" s="141">
        <f>IF($N31="","",$B31&amp;"|"&amp;ROUND($N31*1000000000000,0))</f>
        <v/>
      </c>
    </row>
    <row r="32" ht="14.25" customHeight="1" s="97">
      <c r="A32" s="96" t="n">
        <v>31</v>
      </c>
      <c r="B32" s="96" t="inlineStr">
        <is>
          <t>NEED</t>
        </is>
      </c>
      <c r="C32" s="96" t="inlineStr">
        <is>
          <t>U3</t>
        </is>
      </c>
      <c r="D32" s="96" t="inlineStr">
        <is>
          <t>D2</t>
        </is>
      </c>
      <c r="E32" s="96" t="n">
        <v>-0.5</v>
      </c>
      <c r="F32" s="107">
        <f>INDEX(I_prop!$B$7:$H$13, MATCH($C32, I_prop!$A$7:$A$13,0), MATCH($D32, I_prop!$B$6:$H$6,0))</f>
        <v/>
      </c>
      <c r="G32" s="107">
        <f>INDEX(I_prop!$B$18:$H$24, MATCH($C32, I_prop!$A$18:$A$24,0), MATCH($D32, I_prop!$B$17:$H$17,0))</f>
        <v/>
      </c>
      <c r="H32" s="107">
        <f>IF($J32&lt;&gt;"",$J32,IF($F32&lt;0,MAX(-1,Subgroup_Overrides!$B$7*$F32),$F32))</f>
        <v/>
      </c>
      <c r="I32" s="107">
        <f>IF($K32&lt;&gt;"",$K32,IF($G32&lt;0,MAX(-1,Subgroup_Overrides!$B$7*$G32),$G32))</f>
        <v/>
      </c>
      <c r="J32" s="127">
        <f>IF(COUNTIF(Subgroup_Overrides!$H$11:$H$100,"A|"&amp;$C32&amp;"|"&amp;$D32)&gt;0,SUMIFS(Subgroup_Overrides!$F$11:$F$100,Subgroup_Overrides!$H$11:$H$100,"A|"&amp;$C32&amp;"|"&amp;$D32),"")</f>
        <v/>
      </c>
      <c r="K32" s="127">
        <f>IF(COUNTIF(Subgroup_Overrides!$H$11:$H$100,"B|"&amp;$C32&amp;"|"&amp;$D32)&gt;0,SUMIFS(Subgroup_Overrides!$F$11:$F$100,Subgroup_Overrides!$H$11:$H$100,"B|"&amp;$C32&amp;"|"&amp;$D32),"")</f>
        <v/>
      </c>
      <c r="L32" s="96">
        <f>TRIM(B32)</f>
        <v/>
      </c>
      <c r="M32" s="96">
        <f>IF($H32="","",1*$H32)</f>
        <v/>
      </c>
      <c r="N32" s="96">
        <f>IF($I32="","",1*$I32)</f>
        <v/>
      </c>
      <c r="O32" s="141">
        <f>IF($M32="","",$B32&amp;"|"&amp;ROUND($M32*1000000000000,0))</f>
        <v/>
      </c>
      <c r="P32" s="141">
        <f>IF($N32="","",$B32&amp;"|"&amp;ROUND($N32*1000000000000,0))</f>
        <v/>
      </c>
    </row>
    <row r="33" ht="14.25" customHeight="1" s="97">
      <c r="A33" s="96" t="n">
        <v>32</v>
      </c>
      <c r="B33" s="96" t="inlineStr">
        <is>
          <t>NEED</t>
        </is>
      </c>
      <c r="C33" s="96" t="inlineStr">
        <is>
          <t>U4</t>
        </is>
      </c>
      <c r="D33" s="96" t="inlineStr">
        <is>
          <t>D1</t>
        </is>
      </c>
      <c r="E33" s="96" t="n">
        <v>-0.5</v>
      </c>
      <c r="F33" s="107">
        <f>INDEX(I_prop!$B$7:$H$13, MATCH($C33, I_prop!$A$7:$A$13,0), MATCH($D33, I_prop!$B$6:$H$6,0))</f>
        <v/>
      </c>
      <c r="G33" s="107">
        <f>INDEX(I_prop!$B$18:$H$24, MATCH($C33, I_prop!$A$18:$A$24,0), MATCH($D33, I_prop!$B$17:$H$17,0))</f>
        <v/>
      </c>
      <c r="H33" s="107">
        <f>IF($J33&lt;&gt;"",$J33,IF($F33&lt;0,MAX(-1,Subgroup_Overrides!$B$7*$F33),$F33))</f>
        <v/>
      </c>
      <c r="I33" s="107">
        <f>IF($K33&lt;&gt;"",$K33,IF($G33&lt;0,MAX(-1,Subgroup_Overrides!$B$7*$G33),$G33))</f>
        <v/>
      </c>
      <c r="J33" s="127">
        <f>IF(COUNTIF(Subgroup_Overrides!$H$11:$H$100,"A|"&amp;$C33&amp;"|"&amp;$D33)&gt;0,SUMIFS(Subgroup_Overrides!$F$11:$F$100,Subgroup_Overrides!$H$11:$H$100,"A|"&amp;$C33&amp;"|"&amp;$D33),"")</f>
        <v/>
      </c>
      <c r="K33" s="127">
        <f>IF(COUNTIF(Subgroup_Overrides!$H$11:$H$100,"B|"&amp;$C33&amp;"|"&amp;$D33)&gt;0,SUMIFS(Subgroup_Overrides!$F$11:$F$100,Subgroup_Overrides!$H$11:$H$100,"B|"&amp;$C33&amp;"|"&amp;$D33),"")</f>
        <v/>
      </c>
      <c r="L33" s="96">
        <f>TRIM(B33)</f>
        <v/>
      </c>
      <c r="M33" s="96">
        <f>IF($H33="","",1*$H33)</f>
        <v/>
      </c>
      <c r="N33" s="96">
        <f>IF($I33="","",1*$I33)</f>
        <v/>
      </c>
      <c r="O33" s="141">
        <f>IF($M33="","",$B33&amp;"|"&amp;ROUND($M33*1000000000000,0))</f>
        <v/>
      </c>
      <c r="P33" s="141">
        <f>IF($N33="","",$B33&amp;"|"&amp;ROUND($N33*1000000000000,0))</f>
        <v/>
      </c>
    </row>
    <row r="34" ht="14.25" customHeight="1" s="97">
      <c r="A34" s="96" t="n">
        <v>33</v>
      </c>
      <c r="B34" s="96" t="inlineStr">
        <is>
          <t>NEED</t>
        </is>
      </c>
      <c r="C34" s="96" t="inlineStr">
        <is>
          <t>U4</t>
        </is>
      </c>
      <c r="D34" s="96" t="inlineStr">
        <is>
          <t>D2</t>
        </is>
      </c>
      <c r="E34" s="96" t="n">
        <v>-0.5</v>
      </c>
      <c r="F34" s="107">
        <f>INDEX(I_prop!$B$7:$H$13, MATCH($C34, I_prop!$A$7:$A$13,0), MATCH($D34, I_prop!$B$6:$H$6,0))</f>
        <v/>
      </c>
      <c r="G34" s="107">
        <f>INDEX(I_prop!$B$18:$H$24, MATCH($C34, I_prop!$A$18:$A$24,0), MATCH($D34, I_prop!$B$17:$H$17,0))</f>
        <v/>
      </c>
      <c r="H34" s="107">
        <f>IF($J34&lt;&gt;"",$J34,IF($F34&lt;0,MAX(-1,Subgroup_Overrides!$B$7*$F34),$F34))</f>
        <v/>
      </c>
      <c r="I34" s="107">
        <f>IF($K34&lt;&gt;"",$K34,IF($G34&lt;0,MAX(-1,Subgroup_Overrides!$B$7*$G34),$G34))</f>
        <v/>
      </c>
      <c r="J34" s="127">
        <f>IF(COUNTIF(Subgroup_Overrides!$H$11:$H$100,"A|"&amp;$C34&amp;"|"&amp;$D34)&gt;0,SUMIFS(Subgroup_Overrides!$F$11:$F$100,Subgroup_Overrides!$H$11:$H$100,"A|"&amp;$C34&amp;"|"&amp;$D34),"")</f>
        <v/>
      </c>
      <c r="K34" s="127">
        <f>IF(COUNTIF(Subgroup_Overrides!$H$11:$H$100,"B|"&amp;$C34&amp;"|"&amp;$D34)&gt;0,SUMIFS(Subgroup_Overrides!$F$11:$F$100,Subgroup_Overrides!$H$11:$H$100,"B|"&amp;$C34&amp;"|"&amp;$D34),"")</f>
        <v/>
      </c>
      <c r="L34" s="96">
        <f>TRIM(B34)</f>
        <v/>
      </c>
      <c r="M34" s="96">
        <f>IF($H34="","",1*$H34)</f>
        <v/>
      </c>
      <c r="N34" s="96">
        <f>IF($I34="","",1*$I34)</f>
        <v/>
      </c>
      <c r="O34" s="141">
        <f>IF($M34="","",$B34&amp;"|"&amp;ROUND($M34*1000000000000,0))</f>
        <v/>
      </c>
      <c r="P34" s="141">
        <f>IF($N34="","",$B34&amp;"|"&amp;ROUND($N34*1000000000000,0))</f>
        <v/>
      </c>
    </row>
    <row r="35" ht="14.25" customHeight="1" s="97">
      <c r="A35" s="96" t="n">
        <v>34</v>
      </c>
      <c r="B35" s="96" t="inlineStr">
        <is>
          <t>NEED</t>
        </is>
      </c>
      <c r="C35" s="96" t="inlineStr">
        <is>
          <t>U5</t>
        </is>
      </c>
      <c r="D35" s="96" t="inlineStr">
        <is>
          <t>D1</t>
        </is>
      </c>
      <c r="E35" s="96" t="n">
        <v>-0.5</v>
      </c>
      <c r="F35" s="107">
        <f>INDEX(I_prop!$B$7:$H$13, MATCH($C35, I_prop!$A$7:$A$13,0), MATCH($D35, I_prop!$B$6:$H$6,0))</f>
        <v/>
      </c>
      <c r="G35" s="107">
        <f>INDEX(I_prop!$B$18:$H$24, MATCH($C35, I_prop!$A$18:$A$24,0), MATCH($D35, I_prop!$B$17:$H$17,0))</f>
        <v/>
      </c>
      <c r="H35" s="107">
        <f>IF($J35&lt;&gt;"",$J35,IF($F35&lt;0,MAX(-1,Subgroup_Overrides!$B$7*$F35),$F35))</f>
        <v/>
      </c>
      <c r="I35" s="107">
        <f>IF($K35&lt;&gt;"",$K35,IF($G35&lt;0,MAX(-1,Subgroup_Overrides!$B$7*$G35),$G35))</f>
        <v/>
      </c>
      <c r="J35" s="127">
        <f>IF(COUNTIF(Subgroup_Overrides!$H$11:$H$100,"A|"&amp;$C35&amp;"|"&amp;$D35)&gt;0,SUMIFS(Subgroup_Overrides!$F$11:$F$100,Subgroup_Overrides!$H$11:$H$100,"A|"&amp;$C35&amp;"|"&amp;$D35),"")</f>
        <v/>
      </c>
      <c r="K35" s="127">
        <f>IF(COUNTIF(Subgroup_Overrides!$H$11:$H$100,"B|"&amp;$C35&amp;"|"&amp;$D35)&gt;0,SUMIFS(Subgroup_Overrides!$F$11:$F$100,Subgroup_Overrides!$H$11:$H$100,"B|"&amp;$C35&amp;"|"&amp;$D35),"")</f>
        <v/>
      </c>
      <c r="L35" s="96">
        <f>TRIM(B35)</f>
        <v/>
      </c>
      <c r="M35" s="96">
        <f>IF($H35="","",1*$H35)</f>
        <v/>
      </c>
      <c r="N35" s="96">
        <f>IF($I35="","",1*$I35)</f>
        <v/>
      </c>
      <c r="O35" s="141">
        <f>IF($M35="","",$B35&amp;"|"&amp;ROUND($M35*1000000000000,0))</f>
        <v/>
      </c>
      <c r="P35" s="141">
        <f>IF($N35="","",$B35&amp;"|"&amp;ROUND($N35*1000000000000,0))</f>
        <v/>
      </c>
    </row>
    <row r="36" ht="14.25" customHeight="1" s="97">
      <c r="A36" s="96" t="n">
        <v>35</v>
      </c>
      <c r="B36" s="96" t="inlineStr">
        <is>
          <t>NEED</t>
        </is>
      </c>
      <c r="C36" s="96" t="inlineStr">
        <is>
          <t>U5</t>
        </is>
      </c>
      <c r="D36" s="96" t="inlineStr">
        <is>
          <t>D2</t>
        </is>
      </c>
      <c r="E36" s="96" t="n">
        <v>-0.5</v>
      </c>
      <c r="F36" s="107">
        <f>INDEX(I_prop!$B$7:$H$13, MATCH($C36, I_prop!$A$7:$A$13,0), MATCH($D36, I_prop!$B$6:$H$6,0))</f>
        <v/>
      </c>
      <c r="G36" s="107">
        <f>INDEX(I_prop!$B$18:$H$24, MATCH($C36, I_prop!$A$18:$A$24,0), MATCH($D36, I_prop!$B$17:$H$17,0))</f>
        <v/>
      </c>
      <c r="H36" s="107">
        <f>IF($J36&lt;&gt;"",$J36,IF($F36&lt;0,MAX(-1,Subgroup_Overrides!$B$7*$F36),$F36))</f>
        <v/>
      </c>
      <c r="I36" s="107">
        <f>IF($K36&lt;&gt;"",$K36,IF($G36&lt;0,MAX(-1,Subgroup_Overrides!$B$7*$G36),$G36))</f>
        <v/>
      </c>
      <c r="J36" s="127">
        <f>IF(COUNTIF(Subgroup_Overrides!$H$11:$H$100,"A|"&amp;$C36&amp;"|"&amp;$D36)&gt;0,SUMIFS(Subgroup_Overrides!$F$11:$F$100,Subgroup_Overrides!$H$11:$H$100,"A|"&amp;$C36&amp;"|"&amp;$D36),"")</f>
        <v/>
      </c>
      <c r="K36" s="127">
        <f>IF(COUNTIF(Subgroup_Overrides!$H$11:$H$100,"B|"&amp;$C36&amp;"|"&amp;$D36)&gt;0,SUMIFS(Subgroup_Overrides!$F$11:$F$100,Subgroup_Overrides!$H$11:$H$100,"B|"&amp;$C36&amp;"|"&amp;$D36),"")</f>
        <v/>
      </c>
      <c r="L36" s="96">
        <f>TRIM(B36)</f>
        <v/>
      </c>
      <c r="M36" s="96">
        <f>IF($H36="","",1*$H36)</f>
        <v/>
      </c>
      <c r="N36" s="96">
        <f>IF($I36="","",1*$I36)</f>
        <v/>
      </c>
      <c r="O36" s="141">
        <f>IF($M36="","",$B36&amp;"|"&amp;ROUND($M36*1000000000000,0))</f>
        <v/>
      </c>
      <c r="P36" s="141">
        <f>IF($N36="","",$B36&amp;"|"&amp;ROUND($N36*1000000000000,0))</f>
        <v/>
      </c>
    </row>
    <row r="37" ht="14.25" customHeight="1" s="97">
      <c r="A37" s="96" t="n">
        <v>36</v>
      </c>
      <c r="B37" s="96" t="inlineStr">
        <is>
          <t>NEED</t>
        </is>
      </c>
      <c r="C37" s="96" t="inlineStr">
        <is>
          <t>U6</t>
        </is>
      </c>
      <c r="D37" s="96" t="inlineStr">
        <is>
          <t>D1</t>
        </is>
      </c>
      <c r="E37" s="96" t="n">
        <v>-0.5</v>
      </c>
      <c r="F37" s="107">
        <f>INDEX(I_prop!$B$7:$H$13, MATCH($C37, I_prop!$A$7:$A$13,0), MATCH($D37, I_prop!$B$6:$H$6,0))</f>
        <v/>
      </c>
      <c r="G37" s="107">
        <f>INDEX(I_prop!$B$18:$H$24, MATCH($C37, I_prop!$A$18:$A$24,0), MATCH($D37, I_prop!$B$17:$H$17,0))</f>
        <v/>
      </c>
      <c r="H37" s="107">
        <f>IF($J37&lt;&gt;"",$J37,IF($F37&lt;0,MAX(-1,Subgroup_Overrides!$B$7*$F37),$F37))</f>
        <v/>
      </c>
      <c r="I37" s="107">
        <f>IF($K37&lt;&gt;"",$K37,IF($G37&lt;0,MAX(-1,Subgroup_Overrides!$B$7*$G37),$G37))</f>
        <v/>
      </c>
      <c r="J37" s="127">
        <f>IF(COUNTIF(Subgroup_Overrides!$H$11:$H$100,"A|"&amp;$C37&amp;"|"&amp;$D37)&gt;0,SUMIFS(Subgroup_Overrides!$F$11:$F$100,Subgroup_Overrides!$H$11:$H$100,"A|"&amp;$C37&amp;"|"&amp;$D37),"")</f>
        <v/>
      </c>
      <c r="K37" s="127">
        <f>IF(COUNTIF(Subgroup_Overrides!$H$11:$H$100,"B|"&amp;$C37&amp;"|"&amp;$D37)&gt;0,SUMIFS(Subgroup_Overrides!$F$11:$F$100,Subgroup_Overrides!$H$11:$H$100,"B|"&amp;$C37&amp;"|"&amp;$D37),"")</f>
        <v/>
      </c>
      <c r="L37" s="96">
        <f>TRIM(B37)</f>
        <v/>
      </c>
      <c r="M37" s="96">
        <f>IF($H37="","",1*$H37)</f>
        <v/>
      </c>
      <c r="N37" s="96">
        <f>IF($I37="","",1*$I37)</f>
        <v/>
      </c>
      <c r="O37" s="141">
        <f>IF($M37="","",$B37&amp;"|"&amp;ROUND($M37*1000000000000,0))</f>
        <v/>
      </c>
      <c r="P37" s="141">
        <f>IF($N37="","",$B37&amp;"|"&amp;ROUND($N37*1000000000000,0))</f>
        <v/>
      </c>
    </row>
    <row r="38" ht="14.25" customHeight="1" s="97">
      <c r="A38" s="96" t="n">
        <v>37</v>
      </c>
      <c r="B38" s="96" t="inlineStr">
        <is>
          <t>NEED</t>
        </is>
      </c>
      <c r="C38" s="96" t="inlineStr">
        <is>
          <t>U6</t>
        </is>
      </c>
      <c r="D38" s="96" t="inlineStr">
        <is>
          <t>D2</t>
        </is>
      </c>
      <c r="E38" s="96" t="n">
        <v>-0.5</v>
      </c>
      <c r="F38" s="107">
        <f>INDEX(I_prop!$B$7:$H$13, MATCH($C38, I_prop!$A$7:$A$13,0), MATCH($D38, I_prop!$B$6:$H$6,0))</f>
        <v/>
      </c>
      <c r="G38" s="107">
        <f>INDEX(I_prop!$B$18:$H$24, MATCH($C38, I_prop!$A$18:$A$24,0), MATCH($D38, I_prop!$B$17:$H$17,0))</f>
        <v/>
      </c>
      <c r="H38" s="107">
        <f>IF($J38&lt;&gt;"",$J38,IF($F38&lt;0,MAX(-1,Subgroup_Overrides!$B$7*$F38),$F38))</f>
        <v/>
      </c>
      <c r="I38" s="107">
        <f>IF($K38&lt;&gt;"",$K38,IF($G38&lt;0,MAX(-1,Subgroup_Overrides!$B$7*$G38),$G38))</f>
        <v/>
      </c>
      <c r="J38" s="127">
        <f>IF(COUNTIF(Subgroup_Overrides!$H$11:$H$100,"A|"&amp;$C38&amp;"|"&amp;$D38)&gt;0,SUMIFS(Subgroup_Overrides!$F$11:$F$100,Subgroup_Overrides!$H$11:$H$100,"A|"&amp;$C38&amp;"|"&amp;$D38),"")</f>
        <v/>
      </c>
      <c r="K38" s="127">
        <f>IF(COUNTIF(Subgroup_Overrides!$H$11:$H$100,"B|"&amp;$C38&amp;"|"&amp;$D38)&gt;0,SUMIFS(Subgroup_Overrides!$F$11:$F$100,Subgroup_Overrides!$H$11:$H$100,"B|"&amp;$C38&amp;"|"&amp;$D38),"")</f>
        <v/>
      </c>
      <c r="L38" s="96">
        <f>TRIM(B38)</f>
        <v/>
      </c>
      <c r="M38" s="96">
        <f>IF($H38="","",1*$H38)</f>
        <v/>
      </c>
      <c r="N38" s="96">
        <f>IF($I38="","",1*$I38)</f>
        <v/>
      </c>
      <c r="O38" s="141">
        <f>IF($M38="","",$B38&amp;"|"&amp;ROUND($M38*1000000000000,0))</f>
        <v/>
      </c>
      <c r="P38" s="141">
        <f>IF($N38="","",$B38&amp;"|"&amp;ROUND($N38*1000000000000,0))</f>
        <v/>
      </c>
    </row>
    <row r="39" ht="14.25" customHeight="1" s="97">
      <c r="A39" s="96" t="n">
        <v>38</v>
      </c>
      <c r="B39" s="96" t="inlineStr">
        <is>
          <t>DIGN</t>
        </is>
      </c>
      <c r="C39" s="96" t="inlineStr">
        <is>
          <t>U1</t>
        </is>
      </c>
      <c r="D39" s="96" t="inlineStr">
        <is>
          <t>D3</t>
        </is>
      </c>
      <c r="E39" s="96" t="n">
        <v>-0.55</v>
      </c>
      <c r="F39" s="107">
        <f>INDEX(I_prop!$B$7:$H$13, MATCH($C39, I_prop!$A$7:$A$13,0), MATCH($D39, I_prop!$B$6:$H$6,0))</f>
        <v/>
      </c>
      <c r="G39" s="107">
        <f>INDEX(I_prop!$B$18:$H$24, MATCH($C39, I_prop!$A$18:$A$24,0), MATCH($D39, I_prop!$B$17:$H$17,0))</f>
        <v/>
      </c>
      <c r="H39" s="107">
        <f>IF($J39&lt;&gt;"",$J39,IF($F39&lt;0,MAX(-1,Subgroup_Overrides!$B$7*$F39),$F39))</f>
        <v/>
      </c>
      <c r="I39" s="107">
        <f>IF($K39&lt;&gt;"",$K39,IF($G39&lt;0,MAX(-1,Subgroup_Overrides!$B$7*$G39),$G39))</f>
        <v/>
      </c>
      <c r="J39" s="127">
        <f>IF(COUNTIF(Subgroup_Overrides!$H$11:$H$100,"A|"&amp;$C39&amp;"|"&amp;$D39)&gt;0,SUMIFS(Subgroup_Overrides!$F$11:$F$100,Subgroup_Overrides!$H$11:$H$100,"A|"&amp;$C39&amp;"|"&amp;$D39),"")</f>
        <v/>
      </c>
      <c r="K39" s="127">
        <f>IF(COUNTIF(Subgroup_Overrides!$H$11:$H$100,"B|"&amp;$C39&amp;"|"&amp;$D39)&gt;0,SUMIFS(Subgroup_Overrides!$F$11:$F$100,Subgroup_Overrides!$H$11:$H$100,"B|"&amp;$C39&amp;"|"&amp;$D39),"")</f>
        <v/>
      </c>
      <c r="L39" s="96">
        <f>TRIM(B39)</f>
        <v/>
      </c>
      <c r="M39" s="96">
        <f>IF($H39="","",1*$H39)</f>
        <v/>
      </c>
      <c r="N39" s="96">
        <f>IF($I39="","",1*$I39)</f>
        <v/>
      </c>
      <c r="O39" s="141">
        <f>IF($M39="","",$B39&amp;"|"&amp;ROUND($M39*1000000000000,0))</f>
        <v/>
      </c>
      <c r="P39" s="141">
        <f>IF($N39="","",$B39&amp;"|"&amp;ROUND($N39*1000000000000,0))</f>
        <v/>
      </c>
    </row>
    <row r="40" ht="14.25" customHeight="1" s="97">
      <c r="A40" s="96" t="n">
        <v>39</v>
      </c>
      <c r="B40" s="96" t="inlineStr">
        <is>
          <t>DIGN</t>
        </is>
      </c>
      <c r="C40" s="96" t="inlineStr">
        <is>
          <t>U1</t>
        </is>
      </c>
      <c r="D40" s="96" t="inlineStr">
        <is>
          <t>D5</t>
        </is>
      </c>
      <c r="E40" s="96" t="n">
        <v>-0.55</v>
      </c>
      <c r="F40" s="107">
        <f>INDEX(I_prop!$B$7:$H$13, MATCH($C40, I_prop!$A$7:$A$13,0), MATCH($D40, I_prop!$B$6:$H$6,0))</f>
        <v/>
      </c>
      <c r="G40" s="107">
        <f>INDEX(I_prop!$B$18:$H$24, MATCH($C40, I_prop!$A$18:$A$24,0), MATCH($D40, I_prop!$B$17:$H$17,0))</f>
        <v/>
      </c>
      <c r="H40" s="107">
        <f>IF($J40&lt;&gt;"",$J40,IF($F40&lt;0,MAX(-1,Subgroup_Overrides!$B$7*$F40),$F40))</f>
        <v/>
      </c>
      <c r="I40" s="107">
        <f>IF($K40&lt;&gt;"",$K40,IF($G40&lt;0,MAX(-1,Subgroup_Overrides!$B$7*$G40),$G40))</f>
        <v/>
      </c>
      <c r="J40" s="127">
        <f>IF(COUNTIF(Subgroup_Overrides!$H$11:$H$100,"A|"&amp;$C40&amp;"|"&amp;$D40)&gt;0,SUMIFS(Subgroup_Overrides!$F$11:$F$100,Subgroup_Overrides!$H$11:$H$100,"A|"&amp;$C40&amp;"|"&amp;$D40),"")</f>
        <v/>
      </c>
      <c r="K40" s="127">
        <f>IF(COUNTIF(Subgroup_Overrides!$H$11:$H$100,"B|"&amp;$C40&amp;"|"&amp;$D40)&gt;0,SUMIFS(Subgroup_Overrides!$F$11:$F$100,Subgroup_Overrides!$H$11:$H$100,"B|"&amp;$C40&amp;"|"&amp;$D40),"")</f>
        <v/>
      </c>
      <c r="L40" s="96">
        <f>TRIM(B40)</f>
        <v/>
      </c>
      <c r="M40" s="96">
        <f>IF($H40="","",1*$H40)</f>
        <v/>
      </c>
      <c r="N40" s="96">
        <f>IF($I40="","",1*$I40)</f>
        <v/>
      </c>
      <c r="O40" s="141">
        <f>IF($M40="","",$B40&amp;"|"&amp;ROUND($M40*1000000000000,0))</f>
        <v/>
      </c>
      <c r="P40" s="141">
        <f>IF($N40="","",$B40&amp;"|"&amp;ROUND($N40*1000000000000,0))</f>
        <v/>
      </c>
    </row>
    <row r="41" ht="14.25" customHeight="1" s="97">
      <c r="A41" s="96" t="n">
        <v>40</v>
      </c>
      <c r="B41" s="96" t="inlineStr">
        <is>
          <t>DIGN</t>
        </is>
      </c>
      <c r="C41" s="96" t="inlineStr">
        <is>
          <t>U2</t>
        </is>
      </c>
      <c r="D41" s="96" t="inlineStr">
        <is>
          <t>D3</t>
        </is>
      </c>
      <c r="E41" s="96" t="n">
        <v>-0.55</v>
      </c>
      <c r="F41" s="107">
        <f>INDEX(I_prop!$B$7:$H$13, MATCH($C41, I_prop!$A$7:$A$13,0), MATCH($D41, I_prop!$B$6:$H$6,0))</f>
        <v/>
      </c>
      <c r="G41" s="107">
        <f>INDEX(I_prop!$B$18:$H$24, MATCH($C41, I_prop!$A$18:$A$24,0), MATCH($D41, I_prop!$B$17:$H$17,0))</f>
        <v/>
      </c>
      <c r="H41" s="107">
        <f>IF($J41&lt;&gt;"",$J41,IF($F41&lt;0,MAX(-1,Subgroup_Overrides!$B$7*$F41),$F41))</f>
        <v/>
      </c>
      <c r="I41" s="107">
        <f>IF($K41&lt;&gt;"",$K41,IF($G41&lt;0,MAX(-1,Subgroup_Overrides!$B$7*$G41),$G41))</f>
        <v/>
      </c>
      <c r="J41" s="127">
        <f>IF(COUNTIF(Subgroup_Overrides!$H$11:$H$100,"A|"&amp;$C41&amp;"|"&amp;$D41)&gt;0,SUMIFS(Subgroup_Overrides!$F$11:$F$100,Subgroup_Overrides!$H$11:$H$100,"A|"&amp;$C41&amp;"|"&amp;$D41),"")</f>
        <v/>
      </c>
      <c r="K41" s="127">
        <f>IF(COUNTIF(Subgroup_Overrides!$H$11:$H$100,"B|"&amp;$C41&amp;"|"&amp;$D41)&gt;0,SUMIFS(Subgroup_Overrides!$F$11:$F$100,Subgroup_Overrides!$H$11:$H$100,"B|"&amp;$C41&amp;"|"&amp;$D41),"")</f>
        <v/>
      </c>
      <c r="L41" s="96">
        <f>TRIM(B41)</f>
        <v/>
      </c>
      <c r="M41" s="96">
        <f>IF($H41="","",1*$H41)</f>
        <v/>
      </c>
      <c r="N41" s="96">
        <f>IF($I41="","",1*$I41)</f>
        <v/>
      </c>
      <c r="O41" s="141">
        <f>IF($M41="","",$B41&amp;"|"&amp;ROUND($M41*1000000000000,0))</f>
        <v/>
      </c>
      <c r="P41" s="141">
        <f>IF($N41="","",$B41&amp;"|"&amp;ROUND($N41*1000000000000,0))</f>
        <v/>
      </c>
    </row>
    <row r="42" ht="14.25" customHeight="1" s="97">
      <c r="A42" s="96" t="n">
        <v>41</v>
      </c>
      <c r="B42" s="96" t="inlineStr">
        <is>
          <t>DIGN</t>
        </is>
      </c>
      <c r="C42" s="96" t="inlineStr">
        <is>
          <t>U2</t>
        </is>
      </c>
      <c r="D42" s="96" t="inlineStr">
        <is>
          <t>D5</t>
        </is>
      </c>
      <c r="E42" s="96" t="n">
        <v>-0.55</v>
      </c>
      <c r="F42" s="107">
        <f>INDEX(I_prop!$B$7:$H$13, MATCH($C42, I_prop!$A$7:$A$13,0), MATCH($D42, I_prop!$B$6:$H$6,0))</f>
        <v/>
      </c>
      <c r="G42" s="107">
        <f>INDEX(I_prop!$B$18:$H$24, MATCH($C42, I_prop!$A$18:$A$24,0), MATCH($D42, I_prop!$B$17:$H$17,0))</f>
        <v/>
      </c>
      <c r="H42" s="107">
        <f>IF($J42&lt;&gt;"",$J42,IF($F42&lt;0,MAX(-1,Subgroup_Overrides!$B$7*$F42),$F42))</f>
        <v/>
      </c>
      <c r="I42" s="107">
        <f>IF($K42&lt;&gt;"",$K42,IF($G42&lt;0,MAX(-1,Subgroup_Overrides!$B$7*$G42),$G42))</f>
        <v/>
      </c>
      <c r="J42" s="127">
        <f>IF(COUNTIF(Subgroup_Overrides!$H$11:$H$100,"A|"&amp;$C42&amp;"|"&amp;$D42)&gt;0,SUMIFS(Subgroup_Overrides!$F$11:$F$100,Subgroup_Overrides!$H$11:$H$100,"A|"&amp;$C42&amp;"|"&amp;$D42),"")</f>
        <v/>
      </c>
      <c r="K42" s="127">
        <f>IF(COUNTIF(Subgroup_Overrides!$H$11:$H$100,"B|"&amp;$C42&amp;"|"&amp;$D42)&gt;0,SUMIFS(Subgroup_Overrides!$F$11:$F$100,Subgroup_Overrides!$H$11:$H$100,"B|"&amp;$C42&amp;"|"&amp;$D42),"")</f>
        <v/>
      </c>
      <c r="L42" s="96">
        <f>TRIM(B42)</f>
        <v/>
      </c>
      <c r="M42" s="96">
        <f>IF($H42="","",1*$H42)</f>
        <v/>
      </c>
      <c r="N42" s="96">
        <f>IF($I42="","",1*$I42)</f>
        <v/>
      </c>
      <c r="O42" s="141">
        <f>IF($M42="","",$B42&amp;"|"&amp;ROUND($M42*1000000000000,0))</f>
        <v/>
      </c>
      <c r="P42" s="141">
        <f>IF($N42="","",$B42&amp;"|"&amp;ROUND($N42*1000000000000,0))</f>
        <v/>
      </c>
    </row>
    <row r="43" ht="14.25" customHeight="1" s="97">
      <c r="A43" s="96" t="n">
        <v>42</v>
      </c>
      <c r="B43" s="96" t="inlineStr">
        <is>
          <t>DIGN</t>
        </is>
      </c>
      <c r="C43" s="96" t="inlineStr">
        <is>
          <t>U3</t>
        </is>
      </c>
      <c r="D43" s="96" t="inlineStr">
        <is>
          <t>D3</t>
        </is>
      </c>
      <c r="E43" s="96" t="n">
        <v>-0.55</v>
      </c>
      <c r="F43" s="107">
        <f>INDEX(I_prop!$B$7:$H$13, MATCH($C43, I_prop!$A$7:$A$13,0), MATCH($D43, I_prop!$B$6:$H$6,0))</f>
        <v/>
      </c>
      <c r="G43" s="107">
        <f>INDEX(I_prop!$B$18:$H$24, MATCH($C43, I_prop!$A$18:$A$24,0), MATCH($D43, I_prop!$B$17:$H$17,0))</f>
        <v/>
      </c>
      <c r="H43" s="107">
        <f>IF($J43&lt;&gt;"",$J43,IF($F43&lt;0,MAX(-1,Subgroup_Overrides!$B$7*$F43),$F43))</f>
        <v/>
      </c>
      <c r="I43" s="107">
        <f>IF($K43&lt;&gt;"",$K43,IF($G43&lt;0,MAX(-1,Subgroup_Overrides!$B$7*$G43),$G43))</f>
        <v/>
      </c>
      <c r="J43" s="127">
        <f>IF(COUNTIF(Subgroup_Overrides!$H$11:$H$100,"A|"&amp;$C43&amp;"|"&amp;$D43)&gt;0,SUMIFS(Subgroup_Overrides!$F$11:$F$100,Subgroup_Overrides!$H$11:$H$100,"A|"&amp;$C43&amp;"|"&amp;$D43),"")</f>
        <v/>
      </c>
      <c r="K43" s="127">
        <f>IF(COUNTIF(Subgroup_Overrides!$H$11:$H$100,"B|"&amp;$C43&amp;"|"&amp;$D43)&gt;0,SUMIFS(Subgroup_Overrides!$F$11:$F$100,Subgroup_Overrides!$H$11:$H$100,"B|"&amp;$C43&amp;"|"&amp;$D43),"")</f>
        <v/>
      </c>
      <c r="L43" s="96">
        <f>TRIM(B43)</f>
        <v/>
      </c>
      <c r="M43" s="96">
        <f>IF($H43="","",1*$H43)</f>
        <v/>
      </c>
      <c r="N43" s="96">
        <f>IF($I43="","",1*$I43)</f>
        <v/>
      </c>
      <c r="O43" s="141">
        <f>IF($M43="","",$B43&amp;"|"&amp;ROUND($M43*1000000000000,0))</f>
        <v/>
      </c>
      <c r="P43" s="141">
        <f>IF($N43="","",$B43&amp;"|"&amp;ROUND($N43*1000000000000,0))</f>
        <v/>
      </c>
    </row>
    <row r="44" ht="14.25" customHeight="1" s="97">
      <c r="A44" s="96" t="n">
        <v>43</v>
      </c>
      <c r="B44" s="96" t="inlineStr">
        <is>
          <t>DIGN</t>
        </is>
      </c>
      <c r="C44" s="96" t="inlineStr">
        <is>
          <t>U3</t>
        </is>
      </c>
      <c r="D44" s="96" t="inlineStr">
        <is>
          <t>D5</t>
        </is>
      </c>
      <c r="E44" s="96" t="n">
        <v>-0.55</v>
      </c>
      <c r="F44" s="107">
        <f>INDEX(I_prop!$B$7:$H$13, MATCH($C44, I_prop!$A$7:$A$13,0), MATCH($D44, I_prop!$B$6:$H$6,0))</f>
        <v/>
      </c>
      <c r="G44" s="107">
        <f>INDEX(I_prop!$B$18:$H$24, MATCH($C44, I_prop!$A$18:$A$24,0), MATCH($D44, I_prop!$B$17:$H$17,0))</f>
        <v/>
      </c>
      <c r="H44" s="107">
        <f>IF($J44&lt;&gt;"",$J44,IF($F44&lt;0,MAX(-1,Subgroup_Overrides!$B$7*$F44),$F44))</f>
        <v/>
      </c>
      <c r="I44" s="107">
        <f>IF($K44&lt;&gt;"",$K44,IF($G44&lt;0,MAX(-1,Subgroup_Overrides!$B$7*$G44),$G44))</f>
        <v/>
      </c>
      <c r="J44" s="127">
        <f>IF(COUNTIF(Subgroup_Overrides!$H$11:$H$100,"A|"&amp;$C44&amp;"|"&amp;$D44)&gt;0,SUMIFS(Subgroup_Overrides!$F$11:$F$100,Subgroup_Overrides!$H$11:$H$100,"A|"&amp;$C44&amp;"|"&amp;$D44),"")</f>
        <v/>
      </c>
      <c r="K44" s="127">
        <f>IF(COUNTIF(Subgroup_Overrides!$H$11:$H$100,"B|"&amp;$C44&amp;"|"&amp;$D44)&gt;0,SUMIFS(Subgroup_Overrides!$F$11:$F$100,Subgroup_Overrides!$H$11:$H$100,"B|"&amp;$C44&amp;"|"&amp;$D44),"")</f>
        <v/>
      </c>
      <c r="L44" s="96">
        <f>TRIM(B44)</f>
        <v/>
      </c>
      <c r="M44" s="96">
        <f>IF($H44="","",1*$H44)</f>
        <v/>
      </c>
      <c r="N44" s="96">
        <f>IF($I44="","",1*$I44)</f>
        <v/>
      </c>
      <c r="O44" s="141">
        <f>IF($M44="","",$B44&amp;"|"&amp;ROUND($M44*1000000000000,0))</f>
        <v/>
      </c>
      <c r="P44" s="141">
        <f>IF($N44="","",$B44&amp;"|"&amp;ROUND($N44*1000000000000,0))</f>
        <v/>
      </c>
    </row>
    <row r="45" ht="14.25" customHeight="1" s="97">
      <c r="A45" s="96" t="n">
        <v>44</v>
      </c>
      <c r="B45" s="96" t="inlineStr">
        <is>
          <t>DIGN</t>
        </is>
      </c>
      <c r="C45" s="96" t="inlineStr">
        <is>
          <t>U4</t>
        </is>
      </c>
      <c r="D45" s="96" t="inlineStr">
        <is>
          <t>D3</t>
        </is>
      </c>
      <c r="E45" s="96" t="n">
        <v>-0.55</v>
      </c>
      <c r="F45" s="107">
        <f>INDEX(I_prop!$B$7:$H$13, MATCH($C45, I_prop!$A$7:$A$13,0), MATCH($D45, I_prop!$B$6:$H$6,0))</f>
        <v/>
      </c>
      <c r="G45" s="107">
        <f>INDEX(I_prop!$B$18:$H$24, MATCH($C45, I_prop!$A$18:$A$24,0), MATCH($D45, I_prop!$B$17:$H$17,0))</f>
        <v/>
      </c>
      <c r="H45" s="107">
        <f>IF($J45&lt;&gt;"",$J45,IF($F45&lt;0,MAX(-1,Subgroup_Overrides!$B$7*$F45),$F45))</f>
        <v/>
      </c>
      <c r="I45" s="107">
        <f>IF($K45&lt;&gt;"",$K45,IF($G45&lt;0,MAX(-1,Subgroup_Overrides!$B$7*$G45),$G45))</f>
        <v/>
      </c>
      <c r="J45" s="127">
        <f>IF(COUNTIF(Subgroup_Overrides!$H$11:$H$100,"A|"&amp;$C45&amp;"|"&amp;$D45)&gt;0,SUMIFS(Subgroup_Overrides!$F$11:$F$100,Subgroup_Overrides!$H$11:$H$100,"A|"&amp;$C45&amp;"|"&amp;$D45),"")</f>
        <v/>
      </c>
      <c r="K45" s="127">
        <f>IF(COUNTIF(Subgroup_Overrides!$H$11:$H$100,"B|"&amp;$C45&amp;"|"&amp;$D45)&gt;0,SUMIFS(Subgroup_Overrides!$F$11:$F$100,Subgroup_Overrides!$H$11:$H$100,"B|"&amp;$C45&amp;"|"&amp;$D45),"")</f>
        <v/>
      </c>
      <c r="L45" s="96">
        <f>TRIM(B45)</f>
        <v/>
      </c>
      <c r="M45" s="96">
        <f>IF($H45="","",1*$H45)</f>
        <v/>
      </c>
      <c r="N45" s="96">
        <f>IF($I45="","",1*$I45)</f>
        <v/>
      </c>
      <c r="O45" s="141">
        <f>IF($M45="","",$B45&amp;"|"&amp;ROUND($M45*1000000000000,0))</f>
        <v/>
      </c>
      <c r="P45" s="141">
        <f>IF($N45="","",$B45&amp;"|"&amp;ROUND($N45*1000000000000,0))</f>
        <v/>
      </c>
    </row>
    <row r="46" ht="14.25" customHeight="1" s="97">
      <c r="A46" s="96" t="n">
        <v>45</v>
      </c>
      <c r="B46" s="96" t="inlineStr">
        <is>
          <t>DIGN</t>
        </is>
      </c>
      <c r="C46" s="96" t="inlineStr">
        <is>
          <t>U4</t>
        </is>
      </c>
      <c r="D46" s="96" t="inlineStr">
        <is>
          <t>D5</t>
        </is>
      </c>
      <c r="E46" s="96" t="n">
        <v>-0.55</v>
      </c>
      <c r="F46" s="107">
        <f>INDEX(I_prop!$B$7:$H$13, MATCH($C46, I_prop!$A$7:$A$13,0), MATCH($D46, I_prop!$B$6:$H$6,0))</f>
        <v/>
      </c>
      <c r="G46" s="107">
        <f>INDEX(I_prop!$B$18:$H$24, MATCH($C46, I_prop!$A$18:$A$24,0), MATCH($D46, I_prop!$B$17:$H$17,0))</f>
        <v/>
      </c>
      <c r="H46" s="107">
        <f>IF($J46&lt;&gt;"",$J46,IF($F46&lt;0,MAX(-1,Subgroup_Overrides!$B$7*$F46),$F46))</f>
        <v/>
      </c>
      <c r="I46" s="107">
        <f>IF($K46&lt;&gt;"",$K46,IF($G46&lt;0,MAX(-1,Subgroup_Overrides!$B$7*$G46),$G46))</f>
        <v/>
      </c>
      <c r="J46" s="127">
        <f>IF(COUNTIF(Subgroup_Overrides!$H$11:$H$100,"A|"&amp;$C46&amp;"|"&amp;$D46)&gt;0,SUMIFS(Subgroup_Overrides!$F$11:$F$100,Subgroup_Overrides!$H$11:$H$100,"A|"&amp;$C46&amp;"|"&amp;$D46),"")</f>
        <v/>
      </c>
      <c r="K46" s="127">
        <f>IF(COUNTIF(Subgroup_Overrides!$H$11:$H$100,"B|"&amp;$C46&amp;"|"&amp;$D46)&gt;0,SUMIFS(Subgroup_Overrides!$F$11:$F$100,Subgroup_Overrides!$H$11:$H$100,"B|"&amp;$C46&amp;"|"&amp;$D46),"")</f>
        <v/>
      </c>
      <c r="L46" s="96">
        <f>TRIM(B46)</f>
        <v/>
      </c>
      <c r="M46" s="96">
        <f>IF($H46="","",1*$H46)</f>
        <v/>
      </c>
      <c r="N46" s="96">
        <f>IF($I46="","",1*$I46)</f>
        <v/>
      </c>
      <c r="O46" s="141">
        <f>IF($M46="","",$B46&amp;"|"&amp;ROUND($M46*1000000000000,0))</f>
        <v/>
      </c>
      <c r="P46" s="141">
        <f>IF($N46="","",$B46&amp;"|"&amp;ROUND($N46*1000000000000,0))</f>
        <v/>
      </c>
    </row>
    <row r="47" ht="14.25" customHeight="1" s="97">
      <c r="A47" s="96" t="n">
        <v>46</v>
      </c>
      <c r="B47" s="96" t="inlineStr">
        <is>
          <t>DIGN</t>
        </is>
      </c>
      <c r="C47" s="96" t="inlineStr">
        <is>
          <t>U5</t>
        </is>
      </c>
      <c r="D47" s="96" t="inlineStr">
        <is>
          <t>D3</t>
        </is>
      </c>
      <c r="E47" s="96" t="n">
        <v>-0.55</v>
      </c>
      <c r="F47" s="107">
        <f>INDEX(I_prop!$B$7:$H$13, MATCH($C47, I_prop!$A$7:$A$13,0), MATCH($D47, I_prop!$B$6:$H$6,0))</f>
        <v/>
      </c>
      <c r="G47" s="107">
        <f>INDEX(I_prop!$B$18:$H$24, MATCH($C47, I_prop!$A$18:$A$24,0), MATCH($D47, I_prop!$B$17:$H$17,0))</f>
        <v/>
      </c>
      <c r="H47" s="107">
        <f>IF($J47&lt;&gt;"",$J47,IF($F47&lt;0,MAX(-1,Subgroup_Overrides!$B$7*$F47),$F47))</f>
        <v/>
      </c>
      <c r="I47" s="107">
        <f>IF($K47&lt;&gt;"",$K47,IF($G47&lt;0,MAX(-1,Subgroup_Overrides!$B$7*$G47),$G47))</f>
        <v/>
      </c>
      <c r="J47" s="127">
        <f>IF(COUNTIF(Subgroup_Overrides!$H$11:$H$100,"A|"&amp;$C47&amp;"|"&amp;$D47)&gt;0,SUMIFS(Subgroup_Overrides!$F$11:$F$100,Subgroup_Overrides!$H$11:$H$100,"A|"&amp;$C47&amp;"|"&amp;$D47),"")</f>
        <v/>
      </c>
      <c r="K47" s="127">
        <f>IF(COUNTIF(Subgroup_Overrides!$H$11:$H$100,"B|"&amp;$C47&amp;"|"&amp;$D47)&gt;0,SUMIFS(Subgroup_Overrides!$F$11:$F$100,Subgroup_Overrides!$H$11:$H$100,"B|"&amp;$C47&amp;"|"&amp;$D47),"")</f>
        <v/>
      </c>
      <c r="L47" s="96">
        <f>TRIM(B47)</f>
        <v/>
      </c>
      <c r="M47" s="96">
        <f>IF($H47="","",1*$H47)</f>
        <v/>
      </c>
      <c r="N47" s="96">
        <f>IF($I47="","",1*$I47)</f>
        <v/>
      </c>
      <c r="O47" s="141">
        <f>IF($M47="","",$B47&amp;"|"&amp;ROUND($M47*1000000000000,0))</f>
        <v/>
      </c>
      <c r="P47" s="141">
        <f>IF($N47="","",$B47&amp;"|"&amp;ROUND($N47*1000000000000,0))</f>
        <v/>
      </c>
    </row>
    <row r="48" ht="14.25" customHeight="1" s="97">
      <c r="A48" s="96" t="n">
        <v>47</v>
      </c>
      <c r="B48" s="96" t="inlineStr">
        <is>
          <t>DIGN</t>
        </is>
      </c>
      <c r="C48" s="96" t="inlineStr">
        <is>
          <t>U5</t>
        </is>
      </c>
      <c r="D48" s="96" t="inlineStr">
        <is>
          <t>D5</t>
        </is>
      </c>
      <c r="E48" s="96" t="n">
        <v>-0.55</v>
      </c>
      <c r="F48" s="107">
        <f>INDEX(I_prop!$B$7:$H$13, MATCH($C48, I_prop!$A$7:$A$13,0), MATCH($D48, I_prop!$B$6:$H$6,0))</f>
        <v/>
      </c>
      <c r="G48" s="107">
        <f>INDEX(I_prop!$B$18:$H$24, MATCH($C48, I_prop!$A$18:$A$24,0), MATCH($D48, I_prop!$B$17:$H$17,0))</f>
        <v/>
      </c>
      <c r="H48" s="107">
        <f>IF($J48&lt;&gt;"",$J48,IF($F48&lt;0,MAX(-1,Subgroup_Overrides!$B$7*$F48),$F48))</f>
        <v/>
      </c>
      <c r="I48" s="107">
        <f>IF($K48&lt;&gt;"",$K48,IF($G48&lt;0,MAX(-1,Subgroup_Overrides!$B$7*$G48),$G48))</f>
        <v/>
      </c>
      <c r="J48" s="127">
        <f>IF(COUNTIF(Subgroup_Overrides!$H$11:$H$100,"A|"&amp;$C48&amp;"|"&amp;$D48)&gt;0,SUMIFS(Subgroup_Overrides!$F$11:$F$100,Subgroup_Overrides!$H$11:$H$100,"A|"&amp;$C48&amp;"|"&amp;$D48),"")</f>
        <v/>
      </c>
      <c r="K48" s="127">
        <f>IF(COUNTIF(Subgroup_Overrides!$H$11:$H$100,"B|"&amp;$C48&amp;"|"&amp;$D48)&gt;0,SUMIFS(Subgroup_Overrides!$F$11:$F$100,Subgroup_Overrides!$H$11:$H$100,"B|"&amp;$C48&amp;"|"&amp;$D48),"")</f>
        <v/>
      </c>
      <c r="L48" s="96">
        <f>TRIM(B48)</f>
        <v/>
      </c>
      <c r="M48" s="96">
        <f>IF($H48="","",1*$H48)</f>
        <v/>
      </c>
      <c r="N48" s="96">
        <f>IF($I48="","",1*$I48)</f>
        <v/>
      </c>
      <c r="O48" s="141">
        <f>IF($M48="","",$B48&amp;"|"&amp;ROUND($M48*1000000000000,0))</f>
        <v/>
      </c>
      <c r="P48" s="141">
        <f>IF($N48="","",$B48&amp;"|"&amp;ROUND($N48*1000000000000,0))</f>
        <v/>
      </c>
    </row>
    <row r="49" ht="14.25" customHeight="1" s="97">
      <c r="A49" s="96" t="n">
        <v>48</v>
      </c>
      <c r="B49" s="96" t="inlineStr">
        <is>
          <t>DIGN</t>
        </is>
      </c>
      <c r="C49" s="96" t="inlineStr">
        <is>
          <t>U6</t>
        </is>
      </c>
      <c r="D49" s="96" t="inlineStr">
        <is>
          <t>D3</t>
        </is>
      </c>
      <c r="E49" s="96" t="n">
        <v>-0.55</v>
      </c>
      <c r="F49" s="107">
        <f>INDEX(I_prop!$B$7:$H$13, MATCH($C49, I_prop!$A$7:$A$13,0), MATCH($D49, I_prop!$B$6:$H$6,0))</f>
        <v/>
      </c>
      <c r="G49" s="107">
        <f>INDEX(I_prop!$B$18:$H$24, MATCH($C49, I_prop!$A$18:$A$24,0), MATCH($D49, I_prop!$B$17:$H$17,0))</f>
        <v/>
      </c>
      <c r="H49" s="107">
        <f>IF($J49&lt;&gt;"",$J49,IF($F49&lt;0,MAX(-1,Subgroup_Overrides!$B$7*$F49),$F49))</f>
        <v/>
      </c>
      <c r="I49" s="107">
        <f>IF($K49&lt;&gt;"",$K49,IF($G49&lt;0,MAX(-1,Subgroup_Overrides!$B$7*$G49),$G49))</f>
        <v/>
      </c>
      <c r="J49" s="127">
        <f>IF(COUNTIF(Subgroup_Overrides!$H$11:$H$100,"A|"&amp;$C49&amp;"|"&amp;$D49)&gt;0,SUMIFS(Subgroup_Overrides!$F$11:$F$100,Subgroup_Overrides!$H$11:$H$100,"A|"&amp;$C49&amp;"|"&amp;$D49),"")</f>
        <v/>
      </c>
      <c r="K49" s="127">
        <f>IF(COUNTIF(Subgroup_Overrides!$H$11:$H$100,"B|"&amp;$C49&amp;"|"&amp;$D49)&gt;0,SUMIFS(Subgroup_Overrides!$F$11:$F$100,Subgroup_Overrides!$H$11:$H$100,"B|"&amp;$C49&amp;"|"&amp;$D49),"")</f>
        <v/>
      </c>
      <c r="L49" s="96">
        <f>TRIM(B49)</f>
        <v/>
      </c>
      <c r="M49" s="96">
        <f>IF($H49="","",1*$H49)</f>
        <v/>
      </c>
      <c r="N49" s="96">
        <f>IF($I49="","",1*$I49)</f>
        <v/>
      </c>
      <c r="O49" s="141">
        <f>IF($M49="","",$B49&amp;"|"&amp;ROUND($M49*1000000000000,0))</f>
        <v/>
      </c>
      <c r="P49" s="141">
        <f>IF($N49="","",$B49&amp;"|"&amp;ROUND($N49*1000000000000,0))</f>
        <v/>
      </c>
    </row>
    <row r="50" ht="14.25" customHeight="1" s="97">
      <c r="A50" s="96" t="n">
        <v>49</v>
      </c>
      <c r="B50" s="96" t="inlineStr">
        <is>
          <t>DIGN</t>
        </is>
      </c>
      <c r="C50" s="96" t="inlineStr">
        <is>
          <t>U6</t>
        </is>
      </c>
      <c r="D50" s="96" t="inlineStr">
        <is>
          <t>D5</t>
        </is>
      </c>
      <c r="E50" s="96" t="n">
        <v>-0.55</v>
      </c>
      <c r="F50" s="107">
        <f>INDEX(I_prop!$B$7:$H$13, MATCH($C50, I_prop!$A$7:$A$13,0), MATCH($D50, I_prop!$B$6:$H$6,0))</f>
        <v/>
      </c>
      <c r="G50" s="107">
        <f>INDEX(I_prop!$B$18:$H$24, MATCH($C50, I_prop!$A$18:$A$24,0), MATCH($D50, I_prop!$B$17:$H$17,0))</f>
        <v/>
      </c>
      <c r="H50" s="107">
        <f>IF($J50&lt;&gt;"",$J50,IF($F50&lt;0,MAX(-1,Subgroup_Overrides!$B$7*$F50),$F50))</f>
        <v/>
      </c>
      <c r="I50" s="107">
        <f>IF($K50&lt;&gt;"",$K50,IF($G50&lt;0,MAX(-1,Subgroup_Overrides!$B$7*$G50),$G50))</f>
        <v/>
      </c>
      <c r="J50" s="127">
        <f>IF(COUNTIF(Subgroup_Overrides!$H$11:$H$100,"A|"&amp;$C50&amp;"|"&amp;$D50)&gt;0,SUMIFS(Subgroup_Overrides!$F$11:$F$100,Subgroup_Overrides!$H$11:$H$100,"A|"&amp;$C50&amp;"|"&amp;$D50),"")</f>
        <v/>
      </c>
      <c r="K50" s="127">
        <f>IF(COUNTIF(Subgroup_Overrides!$H$11:$H$100,"B|"&amp;$C50&amp;"|"&amp;$D50)&gt;0,SUMIFS(Subgroup_Overrides!$F$11:$F$100,Subgroup_Overrides!$H$11:$H$100,"B|"&amp;$C50&amp;"|"&amp;$D50),"")</f>
        <v/>
      </c>
      <c r="L50" s="96">
        <f>TRIM(B50)</f>
        <v/>
      </c>
      <c r="M50" s="96">
        <f>IF($H50="","",1*$H50)</f>
        <v/>
      </c>
      <c r="N50" s="96">
        <f>IF($I50="","",1*$I50)</f>
        <v/>
      </c>
      <c r="O50" s="141">
        <f>IF($M50="","",$B50&amp;"|"&amp;ROUND($M50*1000000000000,0))</f>
        <v/>
      </c>
      <c r="P50" s="141">
        <f>IF($N50="","",$B50&amp;"|"&amp;ROUND($N50*1000000000000,0))</f>
        <v/>
      </c>
    </row>
    <row r="51" ht="14.25" customHeight="1" s="97">
      <c r="A51" s="96" t="n">
        <v>50</v>
      </c>
      <c r="B51" s="96" t="inlineStr">
        <is>
          <t>PROC</t>
        </is>
      </c>
      <c r="C51" s="96" t="inlineStr">
        <is>
          <t>U4</t>
        </is>
      </c>
      <c r="D51" s="96" t="inlineStr">
        <is>
          <t>D3</t>
        </is>
      </c>
      <c r="E51" s="96" t="n">
        <v>-0.45</v>
      </c>
      <c r="F51" s="107">
        <f>INDEX(I_prop!$B$7:$H$13, MATCH($C51, I_prop!$A$7:$A$13,0), MATCH($D51, I_prop!$B$6:$H$6,0))</f>
        <v/>
      </c>
      <c r="G51" s="107">
        <f>INDEX(I_prop!$B$18:$H$24, MATCH($C51, I_prop!$A$18:$A$24,0), MATCH($D51, I_prop!$B$17:$H$17,0))</f>
        <v/>
      </c>
      <c r="H51" s="107">
        <f>IF($J51&lt;&gt;"",$J51,IF($F51&lt;0,MAX(-1,Subgroup_Overrides!$B$7*$F51),$F51))</f>
        <v/>
      </c>
      <c r="I51" s="107">
        <f>IF($K51&lt;&gt;"",$K51,IF($G51&lt;0,MAX(-1,Subgroup_Overrides!$B$7*$G51),$G51))</f>
        <v/>
      </c>
      <c r="J51" s="127">
        <f>IF(COUNTIF(Subgroup_Overrides!$H$11:$H$100,"A|"&amp;$C51&amp;"|"&amp;$D51)&gt;0,SUMIFS(Subgroup_Overrides!$F$11:$F$100,Subgroup_Overrides!$H$11:$H$100,"A|"&amp;$C51&amp;"|"&amp;$D51),"")</f>
        <v/>
      </c>
      <c r="K51" s="127">
        <f>IF(COUNTIF(Subgroup_Overrides!$H$11:$H$100,"B|"&amp;$C51&amp;"|"&amp;$D51)&gt;0,SUMIFS(Subgroup_Overrides!$F$11:$F$100,Subgroup_Overrides!$H$11:$H$100,"B|"&amp;$C51&amp;"|"&amp;$D51),"")</f>
        <v/>
      </c>
      <c r="L51" s="96">
        <f>TRIM(B51)</f>
        <v/>
      </c>
      <c r="M51" s="96">
        <f>IF($H51="","",1*$H51)</f>
        <v/>
      </c>
      <c r="N51" s="96">
        <f>IF($I51="","",1*$I51)</f>
        <v/>
      </c>
      <c r="O51" s="141">
        <f>IF($M51="","",$B51&amp;"|"&amp;ROUND($M51*1000000000000,0))</f>
        <v/>
      </c>
      <c r="P51" s="141">
        <f>IF($N51="","",$B51&amp;"|"&amp;ROUND($N51*1000000000000,0))</f>
        <v/>
      </c>
    </row>
    <row r="52" ht="14.25" customHeight="1" s="97">
      <c r="A52" s="96" t="n">
        <v>51</v>
      </c>
      <c r="B52" s="96" t="inlineStr">
        <is>
          <t>PROC</t>
        </is>
      </c>
      <c r="C52" s="96" t="inlineStr">
        <is>
          <t>U4</t>
        </is>
      </c>
      <c r="D52" s="96" t="inlineStr">
        <is>
          <t>D4</t>
        </is>
      </c>
      <c r="E52" s="96" t="n">
        <v>-0.45</v>
      </c>
      <c r="F52" s="107">
        <f>INDEX(I_prop!$B$7:$H$13, MATCH($C52, I_prop!$A$7:$A$13,0), MATCH($D52, I_prop!$B$6:$H$6,0))</f>
        <v/>
      </c>
      <c r="G52" s="107">
        <f>INDEX(I_prop!$B$18:$H$24, MATCH($C52, I_prop!$A$18:$A$24,0), MATCH($D52, I_prop!$B$17:$H$17,0))</f>
        <v/>
      </c>
      <c r="H52" s="107">
        <f>IF($J52&lt;&gt;"",$J52,IF($F52&lt;0,MAX(-1,Subgroup_Overrides!$B$7*$F52),$F52))</f>
        <v/>
      </c>
      <c r="I52" s="107">
        <f>IF($K52&lt;&gt;"",$K52,IF($G52&lt;0,MAX(-1,Subgroup_Overrides!$B$7*$G52),$G52))</f>
        <v/>
      </c>
      <c r="J52" s="127">
        <f>IF(COUNTIF(Subgroup_Overrides!$H$11:$H$100,"A|"&amp;$C52&amp;"|"&amp;$D52)&gt;0,SUMIFS(Subgroup_Overrides!$F$11:$F$100,Subgroup_Overrides!$H$11:$H$100,"A|"&amp;$C52&amp;"|"&amp;$D52),"")</f>
        <v/>
      </c>
      <c r="K52" s="127">
        <f>IF(COUNTIF(Subgroup_Overrides!$H$11:$H$100,"B|"&amp;$C52&amp;"|"&amp;$D52)&gt;0,SUMIFS(Subgroup_Overrides!$F$11:$F$100,Subgroup_Overrides!$H$11:$H$100,"B|"&amp;$C52&amp;"|"&amp;$D52),"")</f>
        <v/>
      </c>
      <c r="L52" s="96">
        <f>TRIM(B52)</f>
        <v/>
      </c>
      <c r="M52" s="96">
        <f>IF($H52="","",1*$H52)</f>
        <v/>
      </c>
      <c r="N52" s="96">
        <f>IF($I52="","",1*$I52)</f>
        <v/>
      </c>
      <c r="O52" s="141">
        <f>IF($M52="","",$B52&amp;"|"&amp;ROUND($M52*1000000000000,0))</f>
        <v/>
      </c>
      <c r="P52" s="141">
        <f>IF($N52="","",$B52&amp;"|"&amp;ROUND($N52*1000000000000,0))</f>
        <v/>
      </c>
    </row>
    <row r="53" ht="14.25" customHeight="1" s="97">
      <c r="A53" s="96" t="n">
        <v>52</v>
      </c>
      <c r="B53" s="96" t="inlineStr">
        <is>
          <t>PROC</t>
        </is>
      </c>
      <c r="C53" s="96" t="inlineStr">
        <is>
          <t>U4</t>
        </is>
      </c>
      <c r="D53" s="96" t="inlineStr">
        <is>
          <t>D5</t>
        </is>
      </c>
      <c r="E53" s="96" t="n">
        <v>-0.45</v>
      </c>
      <c r="F53" s="107">
        <f>INDEX(I_prop!$B$7:$H$13, MATCH($C53, I_prop!$A$7:$A$13,0), MATCH($D53, I_prop!$B$6:$H$6,0))</f>
        <v/>
      </c>
      <c r="G53" s="107">
        <f>INDEX(I_prop!$B$18:$H$24, MATCH($C53, I_prop!$A$18:$A$24,0), MATCH($D53, I_prop!$B$17:$H$17,0))</f>
        <v/>
      </c>
      <c r="H53" s="107">
        <f>IF($J53&lt;&gt;"",$J53,IF($F53&lt;0,MAX(-1,Subgroup_Overrides!$B$7*$F53),$F53))</f>
        <v/>
      </c>
      <c r="I53" s="107">
        <f>IF($K53&lt;&gt;"",$K53,IF($G53&lt;0,MAX(-1,Subgroup_Overrides!$B$7*$G53),$G53))</f>
        <v/>
      </c>
      <c r="J53" s="127">
        <f>IF(COUNTIF(Subgroup_Overrides!$H$11:$H$100,"A|"&amp;$C53&amp;"|"&amp;$D53)&gt;0,SUMIFS(Subgroup_Overrides!$F$11:$F$100,Subgroup_Overrides!$H$11:$H$100,"A|"&amp;$C53&amp;"|"&amp;$D53),"")</f>
        <v/>
      </c>
      <c r="K53" s="127">
        <f>IF(COUNTIF(Subgroup_Overrides!$H$11:$H$100,"B|"&amp;$C53&amp;"|"&amp;$D53)&gt;0,SUMIFS(Subgroup_Overrides!$F$11:$F$100,Subgroup_Overrides!$H$11:$H$100,"B|"&amp;$C53&amp;"|"&amp;$D53),"")</f>
        <v/>
      </c>
      <c r="L53" s="96">
        <f>TRIM(B53)</f>
        <v/>
      </c>
      <c r="M53" s="96">
        <f>IF($H53="","",1*$H53)</f>
        <v/>
      </c>
      <c r="N53" s="96">
        <f>IF($I53="","",1*$I53)</f>
        <v/>
      </c>
      <c r="O53" s="141">
        <f>IF($M53="","",$B53&amp;"|"&amp;ROUND($M53*1000000000000,0))</f>
        <v/>
      </c>
      <c r="P53" s="141">
        <f>IF($N53="","",$B53&amp;"|"&amp;ROUND($N53*1000000000000,0))</f>
        <v/>
      </c>
    </row>
    <row r="54" ht="14.25" customHeight="1" s="97">
      <c r="A54" s="96" t="n">
        <v>53</v>
      </c>
      <c r="B54" s="96" t="inlineStr">
        <is>
          <t>PROC</t>
        </is>
      </c>
      <c r="C54" s="96" t="inlineStr">
        <is>
          <t>U5</t>
        </is>
      </c>
      <c r="D54" s="96" t="inlineStr">
        <is>
          <t>D3</t>
        </is>
      </c>
      <c r="E54" s="96" t="n">
        <v>-0.45</v>
      </c>
      <c r="F54" s="107">
        <f>INDEX(I_prop!$B$7:$H$13, MATCH($C54, I_prop!$A$7:$A$13,0), MATCH($D54, I_prop!$B$6:$H$6,0))</f>
        <v/>
      </c>
      <c r="G54" s="107">
        <f>INDEX(I_prop!$B$18:$H$24, MATCH($C54, I_prop!$A$18:$A$24,0), MATCH($D54, I_prop!$B$17:$H$17,0))</f>
        <v/>
      </c>
      <c r="H54" s="107">
        <f>IF($J54&lt;&gt;"",$J54,IF($F54&lt;0,MAX(-1,Subgroup_Overrides!$B$7*$F54),$F54))</f>
        <v/>
      </c>
      <c r="I54" s="107">
        <f>IF($K54&lt;&gt;"",$K54,IF($G54&lt;0,MAX(-1,Subgroup_Overrides!$B$7*$G54),$G54))</f>
        <v/>
      </c>
      <c r="J54" s="127">
        <f>IF(COUNTIF(Subgroup_Overrides!$H$11:$H$100,"A|"&amp;$C54&amp;"|"&amp;$D54)&gt;0,SUMIFS(Subgroup_Overrides!$F$11:$F$100,Subgroup_Overrides!$H$11:$H$100,"A|"&amp;$C54&amp;"|"&amp;$D54),"")</f>
        <v/>
      </c>
      <c r="K54" s="127">
        <f>IF(COUNTIF(Subgroup_Overrides!$H$11:$H$100,"B|"&amp;$C54&amp;"|"&amp;$D54)&gt;0,SUMIFS(Subgroup_Overrides!$F$11:$F$100,Subgroup_Overrides!$H$11:$H$100,"B|"&amp;$C54&amp;"|"&amp;$D54),"")</f>
        <v/>
      </c>
      <c r="L54" s="96">
        <f>TRIM(B54)</f>
        <v/>
      </c>
      <c r="M54" s="96">
        <f>IF($H54="","",1*$H54)</f>
        <v/>
      </c>
      <c r="N54" s="96">
        <f>IF($I54="","",1*$I54)</f>
        <v/>
      </c>
      <c r="O54" s="141">
        <f>IF($M54="","",$B54&amp;"|"&amp;ROUND($M54*1000000000000,0))</f>
        <v/>
      </c>
      <c r="P54" s="141">
        <f>IF($N54="","",$B54&amp;"|"&amp;ROUND($N54*1000000000000,0))</f>
        <v/>
      </c>
    </row>
    <row r="55" ht="14.25" customHeight="1" s="97">
      <c r="A55" s="96" t="n">
        <v>54</v>
      </c>
      <c r="B55" s="96" t="inlineStr">
        <is>
          <t>PROC</t>
        </is>
      </c>
      <c r="C55" s="96" t="inlineStr">
        <is>
          <t>U5</t>
        </is>
      </c>
      <c r="D55" s="96" t="inlineStr">
        <is>
          <t>D4</t>
        </is>
      </c>
      <c r="E55" s="96" t="n">
        <v>-0.45</v>
      </c>
      <c r="F55" s="107">
        <f>INDEX(I_prop!$B$7:$H$13, MATCH($C55, I_prop!$A$7:$A$13,0), MATCH($D55, I_prop!$B$6:$H$6,0))</f>
        <v/>
      </c>
      <c r="G55" s="107">
        <f>INDEX(I_prop!$B$18:$H$24, MATCH($C55, I_prop!$A$18:$A$24,0), MATCH($D55, I_prop!$B$17:$H$17,0))</f>
        <v/>
      </c>
      <c r="H55" s="107">
        <f>IF($J55&lt;&gt;"",$J55,IF($F55&lt;0,MAX(-1,Subgroup_Overrides!$B$7*$F55),$F55))</f>
        <v/>
      </c>
      <c r="I55" s="107">
        <f>IF($K55&lt;&gt;"",$K55,IF($G55&lt;0,MAX(-1,Subgroup_Overrides!$B$7*$G55),$G55))</f>
        <v/>
      </c>
      <c r="J55" s="127">
        <f>IF(COUNTIF(Subgroup_Overrides!$H$11:$H$100,"A|"&amp;$C55&amp;"|"&amp;$D55)&gt;0,SUMIFS(Subgroup_Overrides!$F$11:$F$100,Subgroup_Overrides!$H$11:$H$100,"A|"&amp;$C55&amp;"|"&amp;$D55),"")</f>
        <v/>
      </c>
      <c r="K55" s="127">
        <f>IF(COUNTIF(Subgroup_Overrides!$H$11:$H$100,"B|"&amp;$C55&amp;"|"&amp;$D55)&gt;0,SUMIFS(Subgroup_Overrides!$F$11:$F$100,Subgroup_Overrides!$H$11:$H$100,"B|"&amp;$C55&amp;"|"&amp;$D55),"")</f>
        <v/>
      </c>
      <c r="L55" s="96">
        <f>TRIM(B55)</f>
        <v/>
      </c>
      <c r="M55" s="96">
        <f>IF($H55="","",1*$H55)</f>
        <v/>
      </c>
      <c r="N55" s="96">
        <f>IF($I55="","",1*$I55)</f>
        <v/>
      </c>
      <c r="O55" s="141">
        <f>IF($M55="","",$B55&amp;"|"&amp;ROUND($M55*1000000000000,0))</f>
        <v/>
      </c>
      <c r="P55" s="141">
        <f>IF($N55="","",$B55&amp;"|"&amp;ROUND($N55*1000000000000,0))</f>
        <v/>
      </c>
    </row>
    <row r="56" ht="14.25" customHeight="1" s="97">
      <c r="A56" s="96" t="n">
        <v>55</v>
      </c>
      <c r="B56" s="96" t="inlineStr">
        <is>
          <t>PROC</t>
        </is>
      </c>
      <c r="C56" s="96" t="inlineStr">
        <is>
          <t>U5</t>
        </is>
      </c>
      <c r="D56" s="96" t="inlineStr">
        <is>
          <t>D5</t>
        </is>
      </c>
      <c r="E56" s="96" t="n">
        <v>-0.45</v>
      </c>
      <c r="F56" s="107">
        <f>INDEX(I_prop!$B$7:$H$13, MATCH($C56, I_prop!$A$7:$A$13,0), MATCH($D56, I_prop!$B$6:$H$6,0))</f>
        <v/>
      </c>
      <c r="G56" s="107">
        <f>INDEX(I_prop!$B$18:$H$24, MATCH($C56, I_prop!$A$18:$A$24,0), MATCH($D56, I_prop!$B$17:$H$17,0))</f>
        <v/>
      </c>
      <c r="H56" s="107">
        <f>IF($J56&lt;&gt;"",$J56,IF($F56&lt;0,MAX(-1,Subgroup_Overrides!$B$7*$F56),$F56))</f>
        <v/>
      </c>
      <c r="I56" s="107">
        <f>IF($K56&lt;&gt;"",$K56,IF($G56&lt;0,MAX(-1,Subgroup_Overrides!$B$7*$G56),$G56))</f>
        <v/>
      </c>
      <c r="J56" s="127">
        <f>IF(COUNTIF(Subgroup_Overrides!$H$11:$H$100,"A|"&amp;$C56&amp;"|"&amp;$D56)&gt;0,SUMIFS(Subgroup_Overrides!$F$11:$F$100,Subgroup_Overrides!$H$11:$H$100,"A|"&amp;$C56&amp;"|"&amp;$D56),"")</f>
        <v/>
      </c>
      <c r="K56" s="127">
        <f>IF(COUNTIF(Subgroup_Overrides!$H$11:$H$100,"B|"&amp;$C56&amp;"|"&amp;$D56)&gt;0,SUMIFS(Subgroup_Overrides!$F$11:$F$100,Subgroup_Overrides!$H$11:$H$100,"B|"&amp;$C56&amp;"|"&amp;$D56),"")</f>
        <v/>
      </c>
      <c r="L56" s="96">
        <f>TRIM(B56)</f>
        <v/>
      </c>
      <c r="M56" s="96">
        <f>IF($H56="","",1*$H56)</f>
        <v/>
      </c>
      <c r="N56" s="96">
        <f>IF($I56="","",1*$I56)</f>
        <v/>
      </c>
      <c r="O56" s="141">
        <f>IF($M56="","",$B56&amp;"|"&amp;ROUND($M56*1000000000000,0))</f>
        <v/>
      </c>
      <c r="P56" s="141">
        <f>IF($N56="","",$B56&amp;"|"&amp;ROUND($N56*1000000000000,0))</f>
        <v/>
      </c>
    </row>
    <row r="57" ht="14.25" customHeight="1" s="97">
      <c r="A57" s="96" t="n">
        <v>56</v>
      </c>
      <c r="B57" s="96" t="inlineStr">
        <is>
          <t>PROC</t>
        </is>
      </c>
      <c r="C57" s="96" t="inlineStr">
        <is>
          <t>U6</t>
        </is>
      </c>
      <c r="D57" s="96" t="inlineStr">
        <is>
          <t>D3</t>
        </is>
      </c>
      <c r="E57" s="96" t="n">
        <v>-0.45</v>
      </c>
      <c r="F57" s="107">
        <f>INDEX(I_prop!$B$7:$H$13, MATCH($C57, I_prop!$A$7:$A$13,0), MATCH($D57, I_prop!$B$6:$H$6,0))</f>
        <v/>
      </c>
      <c r="G57" s="107">
        <f>INDEX(I_prop!$B$18:$H$24, MATCH($C57, I_prop!$A$18:$A$24,0), MATCH($D57, I_prop!$B$17:$H$17,0))</f>
        <v/>
      </c>
      <c r="H57" s="107">
        <f>IF($J57&lt;&gt;"",$J57,IF($F57&lt;0,MAX(-1,Subgroup_Overrides!$B$7*$F57),$F57))</f>
        <v/>
      </c>
      <c r="I57" s="107">
        <f>IF($K57&lt;&gt;"",$K57,IF($G57&lt;0,MAX(-1,Subgroup_Overrides!$B$7*$G57),$G57))</f>
        <v/>
      </c>
      <c r="J57" s="127">
        <f>IF(COUNTIF(Subgroup_Overrides!$H$11:$H$100,"A|"&amp;$C57&amp;"|"&amp;$D57)&gt;0,SUMIFS(Subgroup_Overrides!$F$11:$F$100,Subgroup_Overrides!$H$11:$H$100,"A|"&amp;$C57&amp;"|"&amp;$D57),"")</f>
        <v/>
      </c>
      <c r="K57" s="127">
        <f>IF(COUNTIF(Subgroup_Overrides!$H$11:$H$100,"B|"&amp;$C57&amp;"|"&amp;$D57)&gt;0,SUMIFS(Subgroup_Overrides!$F$11:$F$100,Subgroup_Overrides!$H$11:$H$100,"B|"&amp;$C57&amp;"|"&amp;$D57),"")</f>
        <v/>
      </c>
      <c r="L57" s="96">
        <f>TRIM(B57)</f>
        <v/>
      </c>
      <c r="M57" s="96">
        <f>IF($H57="","",1*$H57)</f>
        <v/>
      </c>
      <c r="N57" s="96">
        <f>IF($I57="","",1*$I57)</f>
        <v/>
      </c>
      <c r="O57" s="141">
        <f>IF($M57="","",$B57&amp;"|"&amp;ROUND($M57*1000000000000,0))</f>
        <v/>
      </c>
      <c r="P57" s="141">
        <f>IF($N57="","",$B57&amp;"|"&amp;ROUND($N57*1000000000000,0))</f>
        <v/>
      </c>
    </row>
    <row r="58" ht="14.25" customHeight="1" s="97">
      <c r="A58" s="96" t="n">
        <v>57</v>
      </c>
      <c r="B58" s="96" t="inlineStr">
        <is>
          <t>PROC</t>
        </is>
      </c>
      <c r="C58" s="96" t="inlineStr">
        <is>
          <t>U6</t>
        </is>
      </c>
      <c r="D58" s="96" t="inlineStr">
        <is>
          <t>D4</t>
        </is>
      </c>
      <c r="E58" s="96" t="n">
        <v>-0.45</v>
      </c>
      <c r="F58" s="107">
        <f>INDEX(I_prop!$B$7:$H$13, MATCH($C58, I_prop!$A$7:$A$13,0), MATCH($D58, I_prop!$B$6:$H$6,0))</f>
        <v/>
      </c>
      <c r="G58" s="107">
        <f>INDEX(I_prop!$B$18:$H$24, MATCH($C58, I_prop!$A$18:$A$24,0), MATCH($D58, I_prop!$B$17:$H$17,0))</f>
        <v/>
      </c>
      <c r="H58" s="107">
        <f>IF($J58&lt;&gt;"",$J58,IF($F58&lt;0,MAX(-1,Subgroup_Overrides!$B$7*$F58),$F58))</f>
        <v/>
      </c>
      <c r="I58" s="107">
        <f>IF($K58&lt;&gt;"",$K58,IF($G58&lt;0,MAX(-1,Subgroup_Overrides!$B$7*$G58),$G58))</f>
        <v/>
      </c>
      <c r="J58" s="127">
        <f>IF(COUNTIF(Subgroup_Overrides!$H$11:$H$100,"A|"&amp;$C58&amp;"|"&amp;$D58)&gt;0,SUMIFS(Subgroup_Overrides!$F$11:$F$100,Subgroup_Overrides!$H$11:$H$100,"A|"&amp;$C58&amp;"|"&amp;$D58),"")</f>
        <v/>
      </c>
      <c r="K58" s="127">
        <f>IF(COUNTIF(Subgroup_Overrides!$H$11:$H$100,"B|"&amp;$C58&amp;"|"&amp;$D58)&gt;0,SUMIFS(Subgroup_Overrides!$F$11:$F$100,Subgroup_Overrides!$H$11:$H$100,"B|"&amp;$C58&amp;"|"&amp;$D58),"")</f>
        <v/>
      </c>
      <c r="L58" s="96">
        <f>TRIM(B58)</f>
        <v/>
      </c>
      <c r="M58" s="96">
        <f>IF($H58="","",1*$H58)</f>
        <v/>
      </c>
      <c r="N58" s="96">
        <f>IF($I58="","",1*$I58)</f>
        <v/>
      </c>
      <c r="O58" s="141">
        <f>IF($M58="","",$B58&amp;"|"&amp;ROUND($M58*1000000000000,0))</f>
        <v/>
      </c>
      <c r="P58" s="141">
        <f>IF($N58="","",$B58&amp;"|"&amp;ROUND($N58*1000000000000,0))</f>
        <v/>
      </c>
    </row>
    <row r="59" ht="14.25" customHeight="1" s="97">
      <c r="A59" s="96" t="n">
        <v>58</v>
      </c>
      <c r="B59" s="96" t="inlineStr">
        <is>
          <t>PROC</t>
        </is>
      </c>
      <c r="C59" s="96" t="inlineStr">
        <is>
          <t>U6</t>
        </is>
      </c>
      <c r="D59" s="96" t="inlineStr">
        <is>
          <t>D5</t>
        </is>
      </c>
      <c r="E59" s="96" t="n">
        <v>-0.45</v>
      </c>
      <c r="F59" s="107">
        <f>INDEX(I_prop!$B$7:$H$13, MATCH($C59, I_prop!$A$7:$A$13,0), MATCH($D59, I_prop!$B$6:$H$6,0))</f>
        <v/>
      </c>
      <c r="G59" s="107">
        <f>INDEX(I_prop!$B$18:$H$24, MATCH($C59, I_prop!$A$18:$A$24,0), MATCH($D59, I_prop!$B$17:$H$17,0))</f>
        <v/>
      </c>
      <c r="H59" s="107">
        <f>IF($J59&lt;&gt;"",$J59,IF($F59&lt;0,MAX(-1,Subgroup_Overrides!$B$7*$F59),$F59))</f>
        <v/>
      </c>
      <c r="I59" s="107">
        <f>IF($K59&lt;&gt;"",$K59,IF($G59&lt;0,MAX(-1,Subgroup_Overrides!$B$7*$G59),$G59))</f>
        <v/>
      </c>
      <c r="J59" s="127">
        <f>IF(COUNTIF(Subgroup_Overrides!$H$11:$H$100,"A|"&amp;$C59&amp;"|"&amp;$D59)&gt;0,SUMIFS(Subgroup_Overrides!$F$11:$F$100,Subgroup_Overrides!$H$11:$H$100,"A|"&amp;$C59&amp;"|"&amp;$D59),"")</f>
        <v/>
      </c>
      <c r="K59" s="127">
        <f>IF(COUNTIF(Subgroup_Overrides!$H$11:$H$100,"B|"&amp;$C59&amp;"|"&amp;$D59)&gt;0,SUMIFS(Subgroup_Overrides!$F$11:$F$100,Subgroup_Overrides!$H$11:$H$100,"B|"&amp;$C59&amp;"|"&amp;$D59),"")</f>
        <v/>
      </c>
      <c r="L59" s="96">
        <f>TRIM(B59)</f>
        <v/>
      </c>
      <c r="M59" s="96">
        <f>IF($H59="","",1*$H59)</f>
        <v/>
      </c>
      <c r="N59" s="96">
        <f>IF($I59="","",1*$I59)</f>
        <v/>
      </c>
      <c r="O59" s="141">
        <f>IF($M59="","",$B59&amp;"|"&amp;ROUND($M59*1000000000000,0))</f>
        <v/>
      </c>
      <c r="P59" s="141">
        <f>IF($N59="","",$B59&amp;"|"&amp;ROUND($N59*1000000000000,0))</f>
        <v/>
      </c>
    </row>
    <row r="60" ht="14.25" customHeight="1" s="97">
      <c r="A60" s="96" t="n">
        <v>59</v>
      </c>
      <c r="B60" s="96" t="inlineStr">
        <is>
          <t>INFO</t>
        </is>
      </c>
      <c r="C60" s="96" t="inlineStr">
        <is>
          <t>U1</t>
        </is>
      </c>
      <c r="D60" s="96" t="inlineStr">
        <is>
          <t>D4</t>
        </is>
      </c>
      <c r="E60" s="96" t="n">
        <v>-0.4</v>
      </c>
      <c r="F60" s="107">
        <f>INDEX(I_prop!$B$7:$H$13, MATCH($C60, I_prop!$A$7:$A$13,0), MATCH($D60, I_prop!$B$6:$H$6,0))</f>
        <v/>
      </c>
      <c r="G60" s="107">
        <f>INDEX(I_prop!$B$18:$H$24, MATCH($C60, I_prop!$A$18:$A$24,0), MATCH($D60, I_prop!$B$17:$H$17,0))</f>
        <v/>
      </c>
      <c r="H60" s="107">
        <f>IF($J60&lt;&gt;"",$J60,IF($F60&lt;0,MAX(-1,Subgroup_Overrides!$B$7*$F60),$F60))</f>
        <v/>
      </c>
      <c r="I60" s="107">
        <f>IF($K60&lt;&gt;"",$K60,IF($G60&lt;0,MAX(-1,Subgroup_Overrides!$B$7*$G60),$G60))</f>
        <v/>
      </c>
      <c r="J60" s="127">
        <f>IF(COUNTIF(Subgroup_Overrides!$H$11:$H$100,"A|"&amp;$C60&amp;"|"&amp;$D60)&gt;0,SUMIFS(Subgroup_Overrides!$F$11:$F$100,Subgroup_Overrides!$H$11:$H$100,"A|"&amp;$C60&amp;"|"&amp;$D60),"")</f>
        <v/>
      </c>
      <c r="K60" s="127">
        <f>IF(COUNTIF(Subgroup_Overrides!$H$11:$H$100,"B|"&amp;$C60&amp;"|"&amp;$D60)&gt;0,SUMIFS(Subgroup_Overrides!$F$11:$F$100,Subgroup_Overrides!$H$11:$H$100,"B|"&amp;$C60&amp;"|"&amp;$D60),"")</f>
        <v/>
      </c>
      <c r="L60" s="96">
        <f>TRIM(B60)</f>
        <v/>
      </c>
      <c r="M60" s="96">
        <f>IF($H60="","",1*$H60)</f>
        <v/>
      </c>
      <c r="N60" s="96">
        <f>IF($I60="","",1*$I60)</f>
        <v/>
      </c>
      <c r="O60" s="141">
        <f>IF($M60="","",$B60&amp;"|"&amp;ROUND($M60*1000000000000,0))</f>
        <v/>
      </c>
      <c r="P60" s="141">
        <f>IF($N60="","",$B60&amp;"|"&amp;ROUND($N60*1000000000000,0))</f>
        <v/>
      </c>
    </row>
    <row r="61" ht="14.25" customHeight="1" s="97">
      <c r="A61" s="96" t="n">
        <v>60</v>
      </c>
      <c r="B61" s="96" t="inlineStr">
        <is>
          <t>INFO</t>
        </is>
      </c>
      <c r="C61" s="96" t="inlineStr">
        <is>
          <t>U1</t>
        </is>
      </c>
      <c r="D61" s="96" t="inlineStr">
        <is>
          <t>D5</t>
        </is>
      </c>
      <c r="E61" s="96" t="n">
        <v>-0.4</v>
      </c>
      <c r="F61" s="107">
        <f>INDEX(I_prop!$B$7:$H$13, MATCH($C61, I_prop!$A$7:$A$13,0), MATCH($D61, I_prop!$B$6:$H$6,0))</f>
        <v/>
      </c>
      <c r="G61" s="107">
        <f>INDEX(I_prop!$B$18:$H$24, MATCH($C61, I_prop!$A$18:$A$24,0), MATCH($D61, I_prop!$B$17:$H$17,0))</f>
        <v/>
      </c>
      <c r="H61" s="107">
        <f>IF($J61&lt;&gt;"",$J61,IF($F61&lt;0,MAX(-1,Subgroup_Overrides!$B$7*$F61),$F61))</f>
        <v/>
      </c>
      <c r="I61" s="107">
        <f>IF($K61&lt;&gt;"",$K61,IF($G61&lt;0,MAX(-1,Subgroup_Overrides!$B$7*$G61),$G61))</f>
        <v/>
      </c>
      <c r="J61" s="127">
        <f>IF(COUNTIF(Subgroup_Overrides!$H$11:$H$100,"A|"&amp;$C61&amp;"|"&amp;$D61)&gt;0,SUMIFS(Subgroup_Overrides!$F$11:$F$100,Subgroup_Overrides!$H$11:$H$100,"A|"&amp;$C61&amp;"|"&amp;$D61),"")</f>
        <v/>
      </c>
      <c r="K61" s="127">
        <f>IF(COUNTIF(Subgroup_Overrides!$H$11:$H$100,"B|"&amp;$C61&amp;"|"&amp;$D61)&gt;0,SUMIFS(Subgroup_Overrides!$F$11:$F$100,Subgroup_Overrides!$H$11:$H$100,"B|"&amp;$C61&amp;"|"&amp;$D61),"")</f>
        <v/>
      </c>
      <c r="L61" s="96">
        <f>TRIM(B61)</f>
        <v/>
      </c>
      <c r="M61" s="96">
        <f>IF($H61="","",1*$H61)</f>
        <v/>
      </c>
      <c r="N61" s="96">
        <f>IF($I61="","",1*$I61)</f>
        <v/>
      </c>
      <c r="O61" s="141">
        <f>IF($M61="","",$B61&amp;"|"&amp;ROUND($M61*1000000000000,0))</f>
        <v/>
      </c>
      <c r="P61" s="141">
        <f>IF($N61="","",$B61&amp;"|"&amp;ROUND($N61*1000000000000,0))</f>
        <v/>
      </c>
    </row>
    <row r="62" ht="14.25" customHeight="1" s="97">
      <c r="A62" s="96" t="n">
        <v>61</v>
      </c>
      <c r="B62" s="96" t="inlineStr">
        <is>
          <t>INFO</t>
        </is>
      </c>
      <c r="C62" s="96" t="inlineStr">
        <is>
          <t>U2</t>
        </is>
      </c>
      <c r="D62" s="96" t="inlineStr">
        <is>
          <t>D4</t>
        </is>
      </c>
      <c r="E62" s="96" t="n">
        <v>-0.4</v>
      </c>
      <c r="F62" s="107">
        <f>INDEX(I_prop!$B$7:$H$13, MATCH($C62, I_prop!$A$7:$A$13,0), MATCH($D62, I_prop!$B$6:$H$6,0))</f>
        <v/>
      </c>
      <c r="G62" s="107">
        <f>INDEX(I_prop!$B$18:$H$24, MATCH($C62, I_prop!$A$18:$A$24,0), MATCH($D62, I_prop!$B$17:$H$17,0))</f>
        <v/>
      </c>
      <c r="H62" s="107">
        <f>IF($J62&lt;&gt;"",$J62,IF($F62&lt;0,MAX(-1,Subgroup_Overrides!$B$7*$F62),$F62))</f>
        <v/>
      </c>
      <c r="I62" s="107">
        <f>IF($K62&lt;&gt;"",$K62,IF($G62&lt;0,MAX(-1,Subgroup_Overrides!$B$7*$G62),$G62))</f>
        <v/>
      </c>
      <c r="J62" s="127">
        <f>IF(COUNTIF(Subgroup_Overrides!$H$11:$H$100,"A|"&amp;$C62&amp;"|"&amp;$D62)&gt;0,SUMIFS(Subgroup_Overrides!$F$11:$F$100,Subgroup_Overrides!$H$11:$H$100,"A|"&amp;$C62&amp;"|"&amp;$D62),"")</f>
        <v/>
      </c>
      <c r="K62" s="127">
        <f>IF(COUNTIF(Subgroup_Overrides!$H$11:$H$100,"B|"&amp;$C62&amp;"|"&amp;$D62)&gt;0,SUMIFS(Subgroup_Overrides!$F$11:$F$100,Subgroup_Overrides!$H$11:$H$100,"B|"&amp;$C62&amp;"|"&amp;$D62),"")</f>
        <v/>
      </c>
      <c r="L62" s="96">
        <f>TRIM(B62)</f>
        <v/>
      </c>
      <c r="M62" s="96">
        <f>IF($H62="","",1*$H62)</f>
        <v/>
      </c>
      <c r="N62" s="96">
        <f>IF($I62="","",1*$I62)</f>
        <v/>
      </c>
      <c r="O62" s="141">
        <f>IF($M62="","",$B62&amp;"|"&amp;ROUND($M62*1000000000000,0))</f>
        <v/>
      </c>
      <c r="P62" s="141">
        <f>IF($N62="","",$B62&amp;"|"&amp;ROUND($N62*1000000000000,0))</f>
        <v/>
      </c>
    </row>
    <row r="63" ht="14.25" customHeight="1" s="97">
      <c r="A63" s="96" t="n">
        <v>62</v>
      </c>
      <c r="B63" s="96" t="inlineStr">
        <is>
          <t>INFO</t>
        </is>
      </c>
      <c r="C63" s="96" t="inlineStr">
        <is>
          <t>U2</t>
        </is>
      </c>
      <c r="D63" s="96" t="inlineStr">
        <is>
          <t>D5</t>
        </is>
      </c>
      <c r="E63" s="96" t="n">
        <v>-0.4</v>
      </c>
      <c r="F63" s="107">
        <f>INDEX(I_prop!$B$7:$H$13, MATCH($C63, I_prop!$A$7:$A$13,0), MATCH($D63, I_prop!$B$6:$H$6,0))</f>
        <v/>
      </c>
      <c r="G63" s="107">
        <f>INDEX(I_prop!$B$18:$H$24, MATCH($C63, I_prop!$A$18:$A$24,0), MATCH($D63, I_prop!$B$17:$H$17,0))</f>
        <v/>
      </c>
      <c r="H63" s="107">
        <f>IF($J63&lt;&gt;"",$J63,IF($F63&lt;0,MAX(-1,Subgroup_Overrides!$B$7*$F63),$F63))</f>
        <v/>
      </c>
      <c r="I63" s="107">
        <f>IF($K63&lt;&gt;"",$K63,IF($G63&lt;0,MAX(-1,Subgroup_Overrides!$B$7*$G63),$G63))</f>
        <v/>
      </c>
      <c r="J63" s="127">
        <f>IF(COUNTIF(Subgroup_Overrides!$H$11:$H$100,"A|"&amp;$C63&amp;"|"&amp;$D63)&gt;0,SUMIFS(Subgroup_Overrides!$F$11:$F$100,Subgroup_Overrides!$H$11:$H$100,"A|"&amp;$C63&amp;"|"&amp;$D63),"")</f>
        <v/>
      </c>
      <c r="K63" s="127">
        <f>IF(COUNTIF(Subgroup_Overrides!$H$11:$H$100,"B|"&amp;$C63&amp;"|"&amp;$D63)&gt;0,SUMIFS(Subgroup_Overrides!$F$11:$F$100,Subgroup_Overrides!$H$11:$H$100,"B|"&amp;$C63&amp;"|"&amp;$D63),"")</f>
        <v/>
      </c>
      <c r="L63" s="96">
        <f>TRIM(B63)</f>
        <v/>
      </c>
      <c r="M63" s="96">
        <f>IF($H63="","",1*$H63)</f>
        <v/>
      </c>
      <c r="N63" s="96">
        <f>IF($I63="","",1*$I63)</f>
        <v/>
      </c>
      <c r="O63" s="141">
        <f>IF($M63="","",$B63&amp;"|"&amp;ROUND($M63*1000000000000,0))</f>
        <v/>
      </c>
      <c r="P63" s="141">
        <f>IF($N63="","",$B63&amp;"|"&amp;ROUND($N63*1000000000000,0))</f>
        <v/>
      </c>
    </row>
    <row r="64" ht="14.25" customHeight="1" s="97">
      <c r="A64" s="96" t="n">
        <v>63</v>
      </c>
      <c r="B64" s="96" t="inlineStr">
        <is>
          <t>INFO</t>
        </is>
      </c>
      <c r="C64" s="96" t="inlineStr">
        <is>
          <t>U3</t>
        </is>
      </c>
      <c r="D64" s="96" t="inlineStr">
        <is>
          <t>D4</t>
        </is>
      </c>
      <c r="E64" s="96" t="n">
        <v>-0.4</v>
      </c>
      <c r="F64" s="107">
        <f>INDEX(I_prop!$B$7:$H$13, MATCH($C64, I_prop!$A$7:$A$13,0), MATCH($D64, I_prop!$B$6:$H$6,0))</f>
        <v/>
      </c>
      <c r="G64" s="107">
        <f>INDEX(I_prop!$B$18:$H$24, MATCH($C64, I_prop!$A$18:$A$24,0), MATCH($D64, I_prop!$B$17:$H$17,0))</f>
        <v/>
      </c>
      <c r="H64" s="107">
        <f>IF($J64&lt;&gt;"",$J64,IF($F64&lt;0,MAX(-1,Subgroup_Overrides!$B$7*$F64),$F64))</f>
        <v/>
      </c>
      <c r="I64" s="107">
        <f>IF($K64&lt;&gt;"",$K64,IF($G64&lt;0,MAX(-1,Subgroup_Overrides!$B$7*$G64),$G64))</f>
        <v/>
      </c>
      <c r="J64" s="127">
        <f>IF(COUNTIF(Subgroup_Overrides!$H$11:$H$100,"A|"&amp;$C64&amp;"|"&amp;$D64)&gt;0,SUMIFS(Subgroup_Overrides!$F$11:$F$100,Subgroup_Overrides!$H$11:$H$100,"A|"&amp;$C64&amp;"|"&amp;$D64),"")</f>
        <v/>
      </c>
      <c r="K64" s="127">
        <f>IF(COUNTIF(Subgroup_Overrides!$H$11:$H$100,"B|"&amp;$C64&amp;"|"&amp;$D64)&gt;0,SUMIFS(Subgroup_Overrides!$F$11:$F$100,Subgroup_Overrides!$H$11:$H$100,"B|"&amp;$C64&amp;"|"&amp;$D64),"")</f>
        <v/>
      </c>
      <c r="L64" s="96">
        <f>TRIM(B64)</f>
        <v/>
      </c>
      <c r="M64" s="96">
        <f>IF($H64="","",1*$H64)</f>
        <v/>
      </c>
      <c r="N64" s="96">
        <f>IF($I64="","",1*$I64)</f>
        <v/>
      </c>
      <c r="O64" s="141">
        <f>IF($M64="","",$B64&amp;"|"&amp;ROUND($M64*1000000000000,0))</f>
        <v/>
      </c>
      <c r="P64" s="141">
        <f>IF($N64="","",$B64&amp;"|"&amp;ROUND($N64*1000000000000,0))</f>
        <v/>
      </c>
    </row>
    <row r="65" ht="14.25" customHeight="1" s="97">
      <c r="A65" s="96" t="n">
        <v>64</v>
      </c>
      <c r="B65" s="96" t="inlineStr">
        <is>
          <t>INFO</t>
        </is>
      </c>
      <c r="C65" s="96" t="inlineStr">
        <is>
          <t>U3</t>
        </is>
      </c>
      <c r="D65" s="96" t="inlineStr">
        <is>
          <t>D5</t>
        </is>
      </c>
      <c r="E65" s="96" t="n">
        <v>-0.4</v>
      </c>
      <c r="F65" s="107">
        <f>INDEX(I_prop!$B$7:$H$13, MATCH($C65, I_prop!$A$7:$A$13,0), MATCH($D65, I_prop!$B$6:$H$6,0))</f>
        <v/>
      </c>
      <c r="G65" s="107">
        <f>INDEX(I_prop!$B$18:$H$24, MATCH($C65, I_prop!$A$18:$A$24,0), MATCH($D65, I_prop!$B$17:$H$17,0))</f>
        <v/>
      </c>
      <c r="H65" s="107">
        <f>IF($J65&lt;&gt;"",$J65,IF($F65&lt;0,MAX(-1,Subgroup_Overrides!$B$7*$F65),$F65))</f>
        <v/>
      </c>
      <c r="I65" s="107">
        <f>IF($K65&lt;&gt;"",$K65,IF($G65&lt;0,MAX(-1,Subgroup_Overrides!$B$7*$G65),$G65))</f>
        <v/>
      </c>
      <c r="J65" s="127">
        <f>IF(COUNTIF(Subgroup_Overrides!$H$11:$H$100,"A|"&amp;$C65&amp;"|"&amp;$D65)&gt;0,SUMIFS(Subgroup_Overrides!$F$11:$F$100,Subgroup_Overrides!$H$11:$H$100,"A|"&amp;$C65&amp;"|"&amp;$D65),"")</f>
        <v/>
      </c>
      <c r="K65" s="127">
        <f>IF(COUNTIF(Subgroup_Overrides!$H$11:$H$100,"B|"&amp;$C65&amp;"|"&amp;$D65)&gt;0,SUMIFS(Subgroup_Overrides!$F$11:$F$100,Subgroup_Overrides!$H$11:$H$100,"B|"&amp;$C65&amp;"|"&amp;$D65),"")</f>
        <v/>
      </c>
      <c r="L65" s="96">
        <f>TRIM(B65)</f>
        <v/>
      </c>
      <c r="M65" s="96">
        <f>IF($H65="","",1*$H65)</f>
        <v/>
      </c>
      <c r="N65" s="96">
        <f>IF($I65="","",1*$I65)</f>
        <v/>
      </c>
      <c r="O65" s="141">
        <f>IF($M65="","",$B65&amp;"|"&amp;ROUND($M65*1000000000000,0))</f>
        <v/>
      </c>
      <c r="P65" s="141">
        <f>IF($N65="","",$B65&amp;"|"&amp;ROUND($N65*1000000000000,0))</f>
        <v/>
      </c>
    </row>
    <row r="66" ht="14.25" customHeight="1" s="97">
      <c r="A66" s="96" t="n">
        <v>65</v>
      </c>
      <c r="B66" s="96" t="inlineStr">
        <is>
          <t>INFO</t>
        </is>
      </c>
      <c r="C66" s="96" t="inlineStr">
        <is>
          <t>U4</t>
        </is>
      </c>
      <c r="D66" s="96" t="inlineStr">
        <is>
          <t>D4</t>
        </is>
      </c>
      <c r="E66" s="96" t="n">
        <v>-0.4</v>
      </c>
      <c r="F66" s="107">
        <f>INDEX(I_prop!$B$7:$H$13, MATCH($C66, I_prop!$A$7:$A$13,0), MATCH($D66, I_prop!$B$6:$H$6,0))</f>
        <v/>
      </c>
      <c r="G66" s="107">
        <f>INDEX(I_prop!$B$18:$H$24, MATCH($C66, I_prop!$A$18:$A$24,0), MATCH($D66, I_prop!$B$17:$H$17,0))</f>
        <v/>
      </c>
      <c r="H66" s="107">
        <f>IF($J66&lt;&gt;"",$J66,IF($F66&lt;0,MAX(-1,Subgroup_Overrides!$B$7*$F66),$F66))</f>
        <v/>
      </c>
      <c r="I66" s="107">
        <f>IF($K66&lt;&gt;"",$K66,IF($G66&lt;0,MAX(-1,Subgroup_Overrides!$B$7*$G66),$G66))</f>
        <v/>
      </c>
      <c r="J66" s="127">
        <f>IF(COUNTIF(Subgroup_Overrides!$H$11:$H$100,"A|"&amp;$C66&amp;"|"&amp;$D66)&gt;0,SUMIFS(Subgroup_Overrides!$F$11:$F$100,Subgroup_Overrides!$H$11:$H$100,"A|"&amp;$C66&amp;"|"&amp;$D66),"")</f>
        <v/>
      </c>
      <c r="K66" s="127">
        <f>IF(COUNTIF(Subgroup_Overrides!$H$11:$H$100,"B|"&amp;$C66&amp;"|"&amp;$D66)&gt;0,SUMIFS(Subgroup_Overrides!$F$11:$F$100,Subgroup_Overrides!$H$11:$H$100,"B|"&amp;$C66&amp;"|"&amp;$D66),"")</f>
        <v/>
      </c>
      <c r="L66" s="96">
        <f>TRIM(B66)</f>
        <v/>
      </c>
      <c r="M66" s="96">
        <f>IF($H66="","",1*$H66)</f>
        <v/>
      </c>
      <c r="N66" s="96">
        <f>IF($I66="","",1*$I66)</f>
        <v/>
      </c>
      <c r="O66" s="141">
        <f>IF($M66="","",$B66&amp;"|"&amp;ROUND($M66*1000000000000,0))</f>
        <v/>
      </c>
      <c r="P66" s="141">
        <f>IF($N66="","",$B66&amp;"|"&amp;ROUND($N66*1000000000000,0))</f>
        <v/>
      </c>
    </row>
    <row r="67" ht="14.25" customHeight="1" s="97">
      <c r="A67" s="96" t="n">
        <v>66</v>
      </c>
      <c r="B67" s="96" t="inlineStr">
        <is>
          <t>INFO</t>
        </is>
      </c>
      <c r="C67" s="96" t="inlineStr">
        <is>
          <t>U4</t>
        </is>
      </c>
      <c r="D67" s="96" t="inlineStr">
        <is>
          <t>D5</t>
        </is>
      </c>
      <c r="E67" s="96" t="n">
        <v>-0.4</v>
      </c>
      <c r="F67" s="107">
        <f>INDEX(I_prop!$B$7:$H$13, MATCH($C67, I_prop!$A$7:$A$13,0), MATCH($D67, I_prop!$B$6:$H$6,0))</f>
        <v/>
      </c>
      <c r="G67" s="107">
        <f>INDEX(I_prop!$B$18:$H$24, MATCH($C67, I_prop!$A$18:$A$24,0), MATCH($D67, I_prop!$B$17:$H$17,0))</f>
        <v/>
      </c>
      <c r="H67" s="107">
        <f>IF($J67&lt;&gt;"",$J67,IF($F67&lt;0,MAX(-1,Subgroup_Overrides!$B$7*$F67),$F67))</f>
        <v/>
      </c>
      <c r="I67" s="107">
        <f>IF($K67&lt;&gt;"",$K67,IF($G67&lt;0,MAX(-1,Subgroup_Overrides!$B$7*$G67),$G67))</f>
        <v/>
      </c>
      <c r="J67" s="127">
        <f>IF(COUNTIF(Subgroup_Overrides!$H$11:$H$100,"A|"&amp;$C67&amp;"|"&amp;$D67)&gt;0,SUMIFS(Subgroup_Overrides!$F$11:$F$100,Subgroup_Overrides!$H$11:$H$100,"A|"&amp;$C67&amp;"|"&amp;$D67),"")</f>
        <v/>
      </c>
      <c r="K67" s="127">
        <f>IF(COUNTIF(Subgroup_Overrides!$H$11:$H$100,"B|"&amp;$C67&amp;"|"&amp;$D67)&gt;0,SUMIFS(Subgroup_Overrides!$F$11:$F$100,Subgroup_Overrides!$H$11:$H$100,"B|"&amp;$C67&amp;"|"&amp;$D67),"")</f>
        <v/>
      </c>
      <c r="L67" s="96">
        <f>TRIM(B67)</f>
        <v/>
      </c>
      <c r="M67" s="96">
        <f>IF($H67="","",1*$H67)</f>
        <v/>
      </c>
      <c r="N67" s="96">
        <f>IF($I67="","",1*$I67)</f>
        <v/>
      </c>
      <c r="O67" s="141">
        <f>IF($M67="","",$B67&amp;"|"&amp;ROUND($M67*1000000000000,0))</f>
        <v/>
      </c>
      <c r="P67" s="141">
        <f>IF($N67="","",$B67&amp;"|"&amp;ROUND($N67*1000000000000,0))</f>
        <v/>
      </c>
    </row>
    <row r="68" ht="14.25" customHeight="1" s="97">
      <c r="A68" s="96" t="n">
        <v>67</v>
      </c>
      <c r="B68" s="96" t="inlineStr">
        <is>
          <t>INFO</t>
        </is>
      </c>
      <c r="C68" s="96" t="inlineStr">
        <is>
          <t>U5</t>
        </is>
      </c>
      <c r="D68" s="96" t="inlineStr">
        <is>
          <t>D4</t>
        </is>
      </c>
      <c r="E68" s="96" t="n">
        <v>-0.4</v>
      </c>
      <c r="F68" s="107">
        <f>INDEX(I_prop!$B$7:$H$13, MATCH($C68, I_prop!$A$7:$A$13,0), MATCH($D68, I_prop!$B$6:$H$6,0))</f>
        <v/>
      </c>
      <c r="G68" s="107">
        <f>INDEX(I_prop!$B$18:$H$24, MATCH($C68, I_prop!$A$18:$A$24,0), MATCH($D68, I_prop!$B$17:$H$17,0))</f>
        <v/>
      </c>
      <c r="H68" s="107">
        <f>IF($J68&lt;&gt;"",$J68,IF($F68&lt;0,MAX(-1,Subgroup_Overrides!$B$7*$F68),$F68))</f>
        <v/>
      </c>
      <c r="I68" s="107">
        <f>IF($K68&lt;&gt;"",$K68,IF($G68&lt;0,MAX(-1,Subgroup_Overrides!$B$7*$G68),$G68))</f>
        <v/>
      </c>
      <c r="J68" s="127">
        <f>IF(COUNTIF(Subgroup_Overrides!$H$11:$H$100,"A|"&amp;$C68&amp;"|"&amp;$D68)&gt;0,SUMIFS(Subgroup_Overrides!$F$11:$F$100,Subgroup_Overrides!$H$11:$H$100,"A|"&amp;$C68&amp;"|"&amp;$D68),"")</f>
        <v/>
      </c>
      <c r="K68" s="127">
        <f>IF(COUNTIF(Subgroup_Overrides!$H$11:$H$100,"B|"&amp;$C68&amp;"|"&amp;$D68)&gt;0,SUMIFS(Subgroup_Overrides!$F$11:$F$100,Subgroup_Overrides!$H$11:$H$100,"B|"&amp;$C68&amp;"|"&amp;$D68),"")</f>
        <v/>
      </c>
      <c r="L68" s="96">
        <f>TRIM(B68)</f>
        <v/>
      </c>
      <c r="M68" s="96">
        <f>IF($H68="","",1*$H68)</f>
        <v/>
      </c>
      <c r="N68" s="96">
        <f>IF($I68="","",1*$I68)</f>
        <v/>
      </c>
      <c r="O68" s="141">
        <f>IF($M68="","",$B68&amp;"|"&amp;ROUND($M68*1000000000000,0))</f>
        <v/>
      </c>
      <c r="P68" s="141">
        <f>IF($N68="","",$B68&amp;"|"&amp;ROUND($N68*1000000000000,0))</f>
        <v/>
      </c>
    </row>
    <row r="69" ht="14.25" customHeight="1" s="97">
      <c r="A69" s="96" t="n">
        <v>68</v>
      </c>
      <c r="B69" s="96" t="inlineStr">
        <is>
          <t>INFO</t>
        </is>
      </c>
      <c r="C69" s="96" t="inlineStr">
        <is>
          <t>U5</t>
        </is>
      </c>
      <c r="D69" s="96" t="inlineStr">
        <is>
          <t>D5</t>
        </is>
      </c>
      <c r="E69" s="96" t="n">
        <v>-0.4</v>
      </c>
      <c r="F69" s="107">
        <f>INDEX(I_prop!$B$7:$H$13, MATCH($C69, I_prop!$A$7:$A$13,0), MATCH($D69, I_prop!$B$6:$H$6,0))</f>
        <v/>
      </c>
      <c r="G69" s="107">
        <f>INDEX(I_prop!$B$18:$H$24, MATCH($C69, I_prop!$A$18:$A$24,0), MATCH($D69, I_prop!$B$17:$H$17,0))</f>
        <v/>
      </c>
      <c r="H69" s="107">
        <f>IF($J69&lt;&gt;"",$J69,IF($F69&lt;0,MAX(-1,Subgroup_Overrides!$B$7*$F69),$F69))</f>
        <v/>
      </c>
      <c r="I69" s="107">
        <f>IF($K69&lt;&gt;"",$K69,IF($G69&lt;0,MAX(-1,Subgroup_Overrides!$B$7*$G69),$G69))</f>
        <v/>
      </c>
      <c r="J69" s="127">
        <f>IF(COUNTIF(Subgroup_Overrides!$H$11:$H$100,"A|"&amp;$C69&amp;"|"&amp;$D69)&gt;0,SUMIFS(Subgroup_Overrides!$F$11:$F$100,Subgroup_Overrides!$H$11:$H$100,"A|"&amp;$C69&amp;"|"&amp;$D69),"")</f>
        <v/>
      </c>
      <c r="K69" s="127">
        <f>IF(COUNTIF(Subgroup_Overrides!$H$11:$H$100,"B|"&amp;$C69&amp;"|"&amp;$D69)&gt;0,SUMIFS(Subgroup_Overrides!$F$11:$F$100,Subgroup_Overrides!$H$11:$H$100,"B|"&amp;$C69&amp;"|"&amp;$D69),"")</f>
        <v/>
      </c>
      <c r="L69" s="96">
        <f>TRIM(B69)</f>
        <v/>
      </c>
      <c r="M69" s="96">
        <f>IF($H69="","",1*$H69)</f>
        <v/>
      </c>
      <c r="N69" s="96">
        <f>IF($I69="","",1*$I69)</f>
        <v/>
      </c>
      <c r="O69" s="141">
        <f>IF($M69="","",$B69&amp;"|"&amp;ROUND($M69*1000000000000,0))</f>
        <v/>
      </c>
      <c r="P69" s="141">
        <f>IF($N69="","",$B69&amp;"|"&amp;ROUND($N69*1000000000000,0))</f>
        <v/>
      </c>
    </row>
    <row r="70" ht="14.25" customHeight="1" s="97">
      <c r="A70" s="96" t="n">
        <v>69</v>
      </c>
      <c r="B70" s="96" t="inlineStr">
        <is>
          <t>INFO</t>
        </is>
      </c>
      <c r="C70" s="96" t="inlineStr">
        <is>
          <t>U6</t>
        </is>
      </c>
      <c r="D70" s="96" t="inlineStr">
        <is>
          <t>D4</t>
        </is>
      </c>
      <c r="E70" s="96" t="n">
        <v>-0.4</v>
      </c>
      <c r="F70" s="107">
        <f>INDEX(I_prop!$B$7:$H$13, MATCH($C70, I_prop!$A$7:$A$13,0), MATCH($D70, I_prop!$B$6:$H$6,0))</f>
        <v/>
      </c>
      <c r="G70" s="107">
        <f>INDEX(I_prop!$B$18:$H$24, MATCH($C70, I_prop!$A$18:$A$24,0), MATCH($D70, I_prop!$B$17:$H$17,0))</f>
        <v/>
      </c>
      <c r="H70" s="107">
        <f>IF($J70&lt;&gt;"",$J70,IF($F70&lt;0,MAX(-1,Subgroup_Overrides!$B$7*$F70),$F70))</f>
        <v/>
      </c>
      <c r="I70" s="107">
        <f>IF($K70&lt;&gt;"",$K70,IF($G70&lt;0,MAX(-1,Subgroup_Overrides!$B$7*$G70),$G70))</f>
        <v/>
      </c>
      <c r="J70" s="127">
        <f>IF(COUNTIF(Subgroup_Overrides!$H$11:$H$100,"A|"&amp;$C70&amp;"|"&amp;$D70)&gt;0,SUMIFS(Subgroup_Overrides!$F$11:$F$100,Subgroup_Overrides!$H$11:$H$100,"A|"&amp;$C70&amp;"|"&amp;$D70),"")</f>
        <v/>
      </c>
      <c r="K70" s="127">
        <f>IF(COUNTIF(Subgroup_Overrides!$H$11:$H$100,"B|"&amp;$C70&amp;"|"&amp;$D70)&gt;0,SUMIFS(Subgroup_Overrides!$F$11:$F$100,Subgroup_Overrides!$H$11:$H$100,"B|"&amp;$C70&amp;"|"&amp;$D70),"")</f>
        <v/>
      </c>
      <c r="L70" s="96">
        <f>TRIM(B70)</f>
        <v/>
      </c>
      <c r="M70" s="96">
        <f>IF($H70="","",1*$H70)</f>
        <v/>
      </c>
      <c r="N70" s="96">
        <f>IF($I70="","",1*$I70)</f>
        <v/>
      </c>
      <c r="O70" s="141">
        <f>IF($M70="","",$B70&amp;"|"&amp;ROUND($M70*1000000000000,0))</f>
        <v/>
      </c>
      <c r="P70" s="141">
        <f>IF($N70="","",$B70&amp;"|"&amp;ROUND($N70*1000000000000,0))</f>
        <v/>
      </c>
    </row>
    <row r="71" ht="14.25" customHeight="1" s="97">
      <c r="A71" s="96" t="n">
        <v>70</v>
      </c>
      <c r="B71" s="96" t="inlineStr">
        <is>
          <t>INFO</t>
        </is>
      </c>
      <c r="C71" s="96" t="inlineStr">
        <is>
          <t>U6</t>
        </is>
      </c>
      <c r="D71" s="96" t="inlineStr">
        <is>
          <t>D5</t>
        </is>
      </c>
      <c r="E71" s="96" t="n">
        <v>-0.4</v>
      </c>
      <c r="F71" s="107">
        <f>INDEX(I_prop!$B$7:$H$13, MATCH($C71, I_prop!$A$7:$A$13,0), MATCH($D71, I_prop!$B$6:$H$6,0))</f>
        <v/>
      </c>
      <c r="G71" s="107">
        <f>INDEX(I_prop!$B$18:$H$24, MATCH($C71, I_prop!$A$18:$A$24,0), MATCH($D71, I_prop!$B$17:$H$17,0))</f>
        <v/>
      </c>
      <c r="H71" s="107">
        <f>IF($J71&lt;&gt;"",$J71,IF($F71&lt;0,MAX(-1,Subgroup_Overrides!$B$7*$F71),$F71))</f>
        <v/>
      </c>
      <c r="I71" s="107">
        <f>IF($K71&lt;&gt;"",$K71,IF($G71&lt;0,MAX(-1,Subgroup_Overrides!$B$7*$G71),$G71))</f>
        <v/>
      </c>
      <c r="J71" s="127">
        <f>IF(COUNTIF(Subgroup_Overrides!$H$11:$H$100,"A|"&amp;$C71&amp;"|"&amp;$D71)&gt;0,SUMIFS(Subgroup_Overrides!$F$11:$F$100,Subgroup_Overrides!$H$11:$H$100,"A|"&amp;$C71&amp;"|"&amp;$D71),"")</f>
        <v/>
      </c>
      <c r="K71" s="127">
        <f>IF(COUNTIF(Subgroup_Overrides!$H$11:$H$100,"B|"&amp;$C71&amp;"|"&amp;$D71)&gt;0,SUMIFS(Subgroup_Overrides!$F$11:$F$100,Subgroup_Overrides!$H$11:$H$100,"B|"&amp;$C71&amp;"|"&amp;$D71),"")</f>
        <v/>
      </c>
      <c r="L71" s="96">
        <f>TRIM(B71)</f>
        <v/>
      </c>
      <c r="M71" s="96">
        <f>IF($H71="","",1*$H71)</f>
        <v/>
      </c>
      <c r="N71" s="96">
        <f>IF($I71="","",1*$I71)</f>
        <v/>
      </c>
      <c r="O71" s="141">
        <f>IF($M71="","",$B71&amp;"|"&amp;ROUND($M71*1000000000000,0))</f>
        <v/>
      </c>
      <c r="P71" s="141">
        <f>IF($N71="","",$B71&amp;"|"&amp;ROUND($N71*1000000000000,0))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1" workbookViewId="0">
      <selection activeCell="A1" sqref="A1"/>
    </sheetView>
  </sheetViews>
  <sheetFormatPr baseColWidth="8" defaultColWidth="8.66796875" defaultRowHeight="12.75"/>
  <cols>
    <col width="20" customWidth="1" style="104" min="1" max="1"/>
    <col width="14" customWidth="1" style="104" min="2" max="2"/>
    <col width="18" customWidth="1" style="104" min="3" max="3"/>
    <col width="14" customWidth="1" style="104" min="4" max="4"/>
    <col width="60" customWidth="1" style="104" min="5" max="5"/>
  </cols>
  <sheetData>
    <row r="1" ht="14.25" customHeight="1" s="97">
      <c r="A1" s="124" t="inlineStr">
        <is>
          <t>CATASTROPHE CELL SET (C_cat) - TRC Loss Computation</t>
        </is>
      </c>
    </row>
    <row r="2" ht="13.5" customHeight="1" s="97"/>
    <row r="3" ht="14.25" customHeight="1" s="97">
      <c r="A3" s="96" t="inlineStr">
        <is>
          <t>Reference: RippleLogic v9.6.4 Section 8.3</t>
        </is>
      </c>
    </row>
    <row r="4" ht="14.25" customHeight="1" s="97">
      <c r="A4" s="106" t="inlineStr">
        <is>
          <t>BASE SET (Canonical - governance approval required to extend)</t>
        </is>
      </c>
    </row>
    <row r="5" ht="13.5" customHeight="1" s="97"/>
    <row r="6" ht="14.25" customHeight="1" s="97">
      <c r="A6" s="106" t="inlineStr">
        <is>
          <t>Cell</t>
        </is>
      </c>
      <c r="B6" s="106" t="inlineStr">
        <is>
          <t>Union Scope</t>
        </is>
      </c>
      <c r="C6" s="106" t="inlineStr">
        <is>
          <t>Dimension</t>
        </is>
      </c>
      <c r="D6" s="106" t="inlineStr">
        <is>
          <t>Weight (ω_c)</t>
        </is>
      </c>
      <c r="E6" s="106" t="inlineStr">
        <is>
          <t>Rationale</t>
        </is>
      </c>
    </row>
    <row r="7" ht="14.25" customHeight="1" s="97">
      <c r="A7" s="96" t="inlineStr">
        <is>
          <t>C1</t>
        </is>
      </c>
      <c r="B7" s="96" t="inlineStr">
        <is>
          <t>U6</t>
        </is>
      </c>
      <c r="C7" s="96" t="inlineStr">
        <is>
          <t>D2 (Health)</t>
        </is>
      </c>
      <c r="D7" s="96" t="n">
        <v>0.35</v>
      </c>
      <c r="E7" s="96" t="inlineStr">
        <is>
          <t>Humanity health catastrophe</t>
        </is>
      </c>
    </row>
    <row r="8" ht="14.25" customHeight="1" s="97">
      <c r="A8" s="96" t="inlineStr">
        <is>
          <t>C2</t>
        </is>
      </c>
      <c r="B8" s="96" t="inlineStr">
        <is>
          <t>U6</t>
        </is>
      </c>
      <c r="C8" s="96" t="inlineStr">
        <is>
          <t>D7 (Environ)</t>
        </is>
      </c>
      <c r="D8" s="96" t="n">
        <v>0.3</v>
      </c>
      <c r="E8" s="96" t="inlineStr">
        <is>
          <t>Humanity-environment interface</t>
        </is>
      </c>
    </row>
    <row r="9" ht="14.25" customHeight="1" s="97">
      <c r="A9" s="96" t="inlineStr">
        <is>
          <t>C3</t>
        </is>
      </c>
      <c r="B9" s="96" t="inlineStr">
        <is>
          <t>U7</t>
        </is>
      </c>
      <c r="C9" s="96" t="inlineStr">
        <is>
          <t>D7 (Environ)</t>
        </is>
      </c>
      <c r="D9" s="96" t="n">
        <v>0.35</v>
      </c>
      <c r="E9" s="96" t="inlineStr">
        <is>
          <t>Biosphere integrity</t>
        </is>
      </c>
    </row>
    <row r="10" ht="13.5" customHeight="1" s="97"/>
    <row r="11" ht="14.25" customHeight="1" s="97">
      <c r="A11" s="96" t="inlineStr">
        <is>
          <t>Weight Sum Check:</t>
        </is>
      </c>
      <c r="B11" s="96">
        <f>SUM(D7:D9)</f>
        <v/>
      </c>
      <c r="C11" s="96" t="inlineStr">
        <is>
          <t>Must = 1.00</t>
        </is>
      </c>
    </row>
    <row r="12" ht="13.5" customHeight="1" s="97"/>
    <row r="13" ht="14.25" customHeight="1" s="97">
      <c r="A13" s="106" t="inlineStr">
        <is>
          <t>EXTENSION / WEIGHT GOVERNANCE</t>
        </is>
      </c>
    </row>
    <row r="14" ht="33.75" customHeight="1" s="97">
      <c r="A14" s="100" t="inlineStr">
        <is>
          <t>Current posture</t>
        </is>
      </c>
      <c r="B14" s="129" t="inlineStr">
        <is>
          <t>NON-DEFAULT ω_c profile declared for this worked run</t>
        </is>
      </c>
      <c r="C14" s="129" t="inlineStr">
        <is>
          <t>0.35 / 0.30 / 0.35</t>
        </is>
      </c>
      <c r="D14" s="129" t="inlineStr">
        <is>
          <t>Governed disclosure</t>
        </is>
      </c>
      <c r="E14" s="129" t="inlineStr">
        <is>
          <t>If a future run does not declare a non-default profile, revert to the canon’s uniform default over C_cat.</t>
        </is>
      </c>
    </row>
    <row r="15" ht="33.75" customHeight="1" s="97">
      <c r="A15" s="100" t="inlineStr">
        <is>
          <t>Default rule</t>
        </is>
      </c>
      <c r="B15" s="129" t="inlineStr">
        <is>
          <t>Uniform over C_cat unless otherwise governed</t>
        </is>
      </c>
      <c r="C15" s="129" t="inlineStr">
        <is>
          <t>Canon Appendix D.6</t>
        </is>
      </c>
    </row>
    <row r="16" ht="14.25" customHeight="1" s="97">
      <c r="A16" s="96" t="inlineStr">
        <is>
          <t xml:space="preserve">  - Documentation in PCC</t>
        </is>
      </c>
    </row>
    <row r="17" ht="14.25" customHeight="1" s="97">
      <c r="A17" s="96" t="inlineStr">
        <is>
          <t xml:space="preserve">  - CCAT_EXTENDED flag set</t>
        </is>
      </c>
    </row>
    <row r="18" ht="13.5" customHeight="1" s="97"/>
    <row r="19" ht="14.25" customHeight="1" s="97">
      <c r="A19" s="96" t="inlineStr">
        <is>
          <t>CCAT_EXTENDED Flag:</t>
        </is>
      </c>
      <c r="B19" s="111" t="inlineStr">
        <is>
          <t>NO - BASE ONLY</t>
        </is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2026-04-30T06:08:03Z</dcterms:created>
  <dcterms:modified xmlns:dcterms="http://purl.org/dc/terms/" xmlns:xsi="http://www.w3.org/2001/XMLSchema-instance" xsi:type="dcterms:W3CDTF">2026-05-01T16:38:02Z</dcterms:modified>
</cp:coreProperties>
</file>