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D:\Work\Project - Learning\Project - Financials\Project - Excellent\Excellent\"/>
    </mc:Choice>
  </mc:AlternateContent>
  <xr:revisionPtr revIDLastSave="0" documentId="13_ncr:1_{6F6FEB7C-6097-4A57-8CFA-AD4F2CA37196}" xr6:coauthVersionLast="47" xr6:coauthVersionMax="47" xr10:uidLastSave="{00000000-0000-0000-0000-000000000000}"/>
  <bookViews>
    <workbookView xWindow="-120" yWindow="-120" windowWidth="29040" windowHeight="15720" tabRatio="862" activeTab="3" xr2:uid="{00000000-000D-0000-FFFF-FFFF00000000}"/>
  </bookViews>
  <sheets>
    <sheet name="Dashboard" sheetId="1" r:id="rId1"/>
    <sheet name="Input-Basic" sheetId="4" r:id="rId2"/>
    <sheet name="Input-MonthlyExpenses" sheetId="5" r:id="rId3"/>
    <sheet name="Input-Events" sheetId="3" r:id="rId4"/>
    <sheet name="TestCases" sheetId="7" r:id="rId5"/>
  </sheets>
  <definedNames>
    <definedName name="AnnaulROI" comment="Annual ROI">'Input-Basic'!$N$14</definedName>
    <definedName name="annualAmountSWP">'Input-Basic'!$C$29</definedName>
    <definedName name="annualChangeInSWP">'Input-Basic'!$C$30</definedName>
    <definedName name="annualEffectivePostRetirementROI">'Input-Basic'!$F$14</definedName>
    <definedName name="annualEffectiveROI">'Input-Basic'!$F$13</definedName>
    <definedName name="annualIncreaseInSavings">'Input-Basic'!$C$21</definedName>
    <definedName name="annualInflation">'Input-Basic'!$C$17</definedName>
    <definedName name="annualInflationLifeStyle">'Input-Basic'!$C$18</definedName>
    <definedName name="annualInflationOthers">'Input-Basic'!$C$19</definedName>
    <definedName name="annualPostRetirementROI">'Input-Basic'!$C$24</definedName>
    <definedName name="annualROI">'Input-Basic'!$C$16</definedName>
    <definedName name="annualWithdrawalSWP_FV">'Input-Basic'!$F$16</definedName>
    <definedName name="InflationCPI">'Input-Basic'!$N$15</definedName>
    <definedName name="monthlyExpenses">'Input-Basic'!#REF!</definedName>
    <definedName name="_xlnm.Print_Area" localSheetId="0">Dashboard!$B$7:$K$109</definedName>
    <definedName name="swpLTCGExemption">'Input-Basic'!$C$37</definedName>
    <definedName name="swpLTCGTaxPercentage">'Input-Basic'!$C$38</definedName>
    <definedName name="swpOtherTaxExemptions">'Input-Basic'!$C$36</definedName>
    <definedName name="TEsting">'Input-Basic'!$D$13:$D$23</definedName>
    <definedName name="userAge">'Input-Basic'!$F$9</definedName>
    <definedName name="userAnnualSavings">'Input-Basic'!$F$12</definedName>
    <definedName name="userCurrentLiabilities">'Input-Basic'!$C$13</definedName>
    <definedName name="userCurrentSavings">'Input-Basic'!$C$12</definedName>
    <definedName name="userDOB">'Input-Basic'!$C$10</definedName>
    <definedName name="userIncome">'Input-Basic'!$C$11</definedName>
    <definedName name="userLifeExpectancyAge">'Input-Basic'!$C$34</definedName>
    <definedName name="userMonthlyExpenses">'Input-MonthlyExpenses'!$B$3</definedName>
    <definedName name="userMonthlyIncome">'Input-Basic'!$C$11</definedName>
    <definedName name="userName">'Input-Basic'!$C$9</definedName>
    <definedName name="userRetirementAge">'Input-Basic'!$C$33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3" l="1"/>
  <c r="H8" i="3"/>
  <c r="H10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4" i="3"/>
  <c r="H4" i="3"/>
  <c r="B4" i="3"/>
  <c r="B3" i="3"/>
  <c r="F13" i="4"/>
  <c r="E104" i="3"/>
  <c r="E103" i="3"/>
  <c r="H103" i="3" s="1"/>
  <c r="D9" i="1"/>
  <c r="F14" i="4"/>
  <c r="N4" i="5"/>
  <c r="N5" i="5"/>
  <c r="N6" i="5"/>
  <c r="N7" i="5"/>
  <c r="N8" i="5"/>
  <c r="N3" i="5"/>
  <c r="F9" i="4"/>
  <c r="H5" i="3" s="1"/>
  <c r="E106" i="3"/>
  <c r="H106" i="3" s="1"/>
  <c r="E105" i="3"/>
  <c r="H105" i="3" s="1"/>
  <c r="I1" i="5"/>
  <c r="H9" i="3" l="1"/>
  <c r="F16" i="4"/>
  <c r="H11" i="3"/>
  <c r="H7" i="3"/>
  <c r="B3" i="5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F12" i="4" l="1"/>
  <c r="E9" i="1" s="1"/>
  <c r="F10" i="4"/>
  <c r="C9" i="1"/>
  <c r="H9" i="1" l="1"/>
  <c r="F9" i="1"/>
  <c r="G9" i="1" a="1"/>
  <c r="G9" i="1" s="1"/>
  <c r="C10" i="1"/>
  <c r="F10" i="1" l="1"/>
  <c r="I9" i="1"/>
  <c r="J9" i="1" s="1"/>
  <c r="K9" i="1" s="1"/>
  <c r="G10" i="1" a="1"/>
  <c r="G10" i="1" s="1"/>
  <c r="C11" i="1"/>
  <c r="F11" i="1" l="1"/>
  <c r="G11" i="1" a="1"/>
  <c r="G11" i="1" s="1"/>
  <c r="D10" i="1"/>
  <c r="E10" i="1" s="1"/>
  <c r="C12" i="1"/>
  <c r="F12" i="1" l="1"/>
  <c r="H10" i="1"/>
  <c r="G12" i="1" a="1"/>
  <c r="G12" i="1" s="1"/>
  <c r="C13" i="1"/>
  <c r="F13" i="1" l="1"/>
  <c r="I10" i="1"/>
  <c r="J10" i="1" s="1"/>
  <c r="K10" i="1" s="1"/>
  <c r="D11" i="1" s="1"/>
  <c r="E11" i="1" s="1"/>
  <c r="G13" i="1" a="1"/>
  <c r="G13" i="1" s="1"/>
  <c r="C14" i="1"/>
  <c r="F14" i="1" l="1"/>
  <c r="H11" i="1"/>
  <c r="G14" i="1" a="1"/>
  <c r="G14" i="1" s="1"/>
  <c r="C15" i="1"/>
  <c r="F15" i="1" l="1"/>
  <c r="I11" i="1"/>
  <c r="J11" i="1" s="1"/>
  <c r="K11" i="1" s="1"/>
  <c r="D12" i="1" s="1"/>
  <c r="E12" i="1" s="1"/>
  <c r="G15" i="1" a="1"/>
  <c r="G15" i="1" s="1"/>
  <c r="C16" i="1"/>
  <c r="F16" i="1" l="1"/>
  <c r="H12" i="1"/>
  <c r="G16" i="1" a="1"/>
  <c r="G16" i="1" s="1"/>
  <c r="C17" i="1"/>
  <c r="F17" i="1" l="1"/>
  <c r="I12" i="1"/>
  <c r="J12" i="1" s="1"/>
  <c r="K12" i="1" s="1"/>
  <c r="D13" i="1" s="1"/>
  <c r="E13" i="1" s="1"/>
  <c r="G17" i="1" a="1"/>
  <c r="G17" i="1" s="1"/>
  <c r="C18" i="1"/>
  <c r="F18" i="1" l="1"/>
  <c r="H13" i="1"/>
  <c r="G18" i="1" a="1"/>
  <c r="G18" i="1" s="1"/>
  <c r="C19" i="1"/>
  <c r="F19" i="1" l="1"/>
  <c r="I13" i="1"/>
  <c r="J13" i="1" s="1"/>
  <c r="K13" i="1" s="1"/>
  <c r="D14" i="1" s="1"/>
  <c r="E14" i="1" s="1"/>
  <c r="G19" i="1" a="1"/>
  <c r="G19" i="1" s="1"/>
  <c r="C20" i="1"/>
  <c r="F20" i="1" l="1"/>
  <c r="H14" i="1"/>
  <c r="G20" i="1" a="1"/>
  <c r="G20" i="1" s="1"/>
  <c r="C21" i="1"/>
  <c r="F21" i="1" l="1"/>
  <c r="I14" i="1"/>
  <c r="J14" i="1" s="1"/>
  <c r="K14" i="1" s="1"/>
  <c r="D15" i="1" s="1"/>
  <c r="E15" i="1" s="1"/>
  <c r="G21" i="1" a="1"/>
  <c r="G21" i="1" s="1"/>
  <c r="C22" i="1"/>
  <c r="F22" i="1" l="1"/>
  <c r="H15" i="1"/>
  <c r="G22" i="1" a="1"/>
  <c r="G22" i="1" s="1"/>
  <c r="C23" i="1"/>
  <c r="F23" i="1" l="1"/>
  <c r="I15" i="1"/>
  <c r="J15" i="1" s="1"/>
  <c r="K15" i="1" s="1"/>
  <c r="D16" i="1" s="1"/>
  <c r="E16" i="1" s="1"/>
  <c r="G23" i="1" a="1"/>
  <c r="G23" i="1" s="1"/>
  <c r="C24" i="1"/>
  <c r="F24" i="1" l="1"/>
  <c r="H16" i="1"/>
  <c r="C25" i="1"/>
  <c r="G24" i="1" a="1"/>
  <c r="G24" i="1" s="1"/>
  <c r="F25" i="1" l="1"/>
  <c r="I16" i="1"/>
  <c r="J16" i="1" s="1"/>
  <c r="K16" i="1" s="1"/>
  <c r="D17" i="1" s="1"/>
  <c r="E17" i="1" s="1"/>
  <c r="G25" i="1" a="1"/>
  <c r="G25" i="1" s="1"/>
  <c r="C26" i="1"/>
  <c r="F26" i="1" l="1"/>
  <c r="H17" i="1"/>
  <c r="C27" i="1"/>
  <c r="G26" i="1" a="1"/>
  <c r="G26" i="1" s="1"/>
  <c r="F27" i="1" l="1"/>
  <c r="I17" i="1"/>
  <c r="J17" i="1" s="1"/>
  <c r="K17" i="1" s="1"/>
  <c r="D18" i="1" s="1"/>
  <c r="E18" i="1" s="1"/>
  <c r="G27" i="1" a="1"/>
  <c r="G27" i="1" s="1"/>
  <c r="C28" i="1"/>
  <c r="F28" i="1" l="1"/>
  <c r="C29" i="1"/>
  <c r="H18" i="1"/>
  <c r="G28" i="1" a="1"/>
  <c r="G28" i="1" s="1"/>
  <c r="F29" i="1" l="1"/>
  <c r="G29" i="1" a="1"/>
  <c r="G29" i="1" s="1"/>
  <c r="I18" i="1"/>
  <c r="J18" i="1" s="1"/>
  <c r="K18" i="1" s="1"/>
  <c r="D19" i="1" s="1"/>
  <c r="E19" i="1" s="1"/>
  <c r="C30" i="1"/>
  <c r="G30" i="1" a="1"/>
  <c r="G30" i="1" s="1"/>
  <c r="F30" i="1" l="1"/>
  <c r="C31" i="1"/>
  <c r="H19" i="1"/>
  <c r="F31" i="1" l="1"/>
  <c r="I19" i="1"/>
  <c r="J19" i="1" s="1"/>
  <c r="K19" i="1" s="1"/>
  <c r="D20" i="1" s="1"/>
  <c r="E20" i="1" s="1"/>
  <c r="C32" i="1"/>
  <c r="G31" i="1" a="1"/>
  <c r="G31" i="1" s="1"/>
  <c r="G32" i="1" a="1"/>
  <c r="G32" i="1" s="1"/>
  <c r="C33" i="1"/>
  <c r="F33" i="1" l="1"/>
  <c r="F32" i="1"/>
  <c r="H20" i="1"/>
  <c r="G33" i="1" a="1"/>
  <c r="G33" i="1" s="1"/>
  <c r="C34" i="1"/>
  <c r="F34" i="1" l="1"/>
  <c r="I20" i="1"/>
  <c r="J20" i="1" s="1"/>
  <c r="K20" i="1" s="1"/>
  <c r="D21" i="1" s="1"/>
  <c r="E21" i="1" s="1"/>
  <c r="G34" i="1" a="1"/>
  <c r="G34" i="1" s="1"/>
  <c r="C35" i="1"/>
  <c r="F35" i="1" l="1"/>
  <c r="H21" i="1"/>
  <c r="G35" i="1" a="1"/>
  <c r="G35" i="1" s="1"/>
  <c r="C36" i="1"/>
  <c r="F36" i="1" l="1"/>
  <c r="I21" i="1"/>
  <c r="J21" i="1" s="1"/>
  <c r="K21" i="1" s="1"/>
  <c r="D22" i="1" s="1"/>
  <c r="E22" i="1" s="1"/>
  <c r="G36" i="1" a="1"/>
  <c r="G36" i="1" s="1"/>
  <c r="C37" i="1"/>
  <c r="F37" i="1" l="1"/>
  <c r="H22" i="1"/>
  <c r="G37" i="1" a="1"/>
  <c r="G37" i="1" s="1"/>
  <c r="C38" i="1"/>
  <c r="F38" i="1" l="1"/>
  <c r="I22" i="1"/>
  <c r="J22" i="1" s="1"/>
  <c r="K22" i="1" s="1"/>
  <c r="D23" i="1" s="1"/>
  <c r="E23" i="1" s="1"/>
  <c r="G38" i="1" a="1"/>
  <c r="G38" i="1" s="1"/>
  <c r="C39" i="1"/>
  <c r="F39" i="1" l="1"/>
  <c r="H23" i="1"/>
  <c r="G39" i="1" a="1"/>
  <c r="G39" i="1" s="1"/>
  <c r="C40" i="1"/>
  <c r="F40" i="1" l="1"/>
  <c r="I23" i="1"/>
  <c r="J23" i="1" s="1"/>
  <c r="K23" i="1" s="1"/>
  <c r="D24" i="1" s="1"/>
  <c r="E24" i="1" s="1"/>
  <c r="G40" i="1" a="1"/>
  <c r="G40" i="1" s="1"/>
  <c r="C41" i="1"/>
  <c r="F41" i="1" l="1"/>
  <c r="H24" i="1"/>
  <c r="G41" i="1" a="1"/>
  <c r="G41" i="1" s="1"/>
  <c r="C42" i="1"/>
  <c r="F42" i="1" l="1"/>
  <c r="I24" i="1"/>
  <c r="J24" i="1" s="1"/>
  <c r="K24" i="1" s="1"/>
  <c r="D25" i="1" s="1"/>
  <c r="E25" i="1" s="1"/>
  <c r="G42" i="1" a="1"/>
  <c r="G42" i="1" s="1"/>
  <c r="C43" i="1"/>
  <c r="F43" i="1" l="1"/>
  <c r="H25" i="1"/>
  <c r="G43" i="1" a="1"/>
  <c r="G43" i="1" s="1"/>
  <c r="C44" i="1"/>
  <c r="F44" i="1" l="1"/>
  <c r="I25" i="1"/>
  <c r="J25" i="1" s="1"/>
  <c r="K25" i="1" s="1"/>
  <c r="D26" i="1" s="1"/>
  <c r="E26" i="1" s="1"/>
  <c r="G44" i="1" a="1"/>
  <c r="G44" i="1" s="1"/>
  <c r="C45" i="1"/>
  <c r="F45" i="1" l="1"/>
  <c r="H26" i="1"/>
  <c r="G45" i="1" a="1"/>
  <c r="G45" i="1" s="1"/>
  <c r="C46" i="1"/>
  <c r="F46" i="1" l="1"/>
  <c r="I26" i="1"/>
  <c r="J26" i="1" s="1"/>
  <c r="K26" i="1" s="1"/>
  <c r="D27" i="1" s="1"/>
  <c r="E27" i="1" s="1"/>
  <c r="G46" i="1" a="1"/>
  <c r="G46" i="1" s="1"/>
  <c r="C47" i="1"/>
  <c r="F47" i="1" l="1"/>
  <c r="H27" i="1"/>
  <c r="G47" i="1" a="1"/>
  <c r="G47" i="1" s="1"/>
  <c r="C48" i="1"/>
  <c r="F48" i="1" l="1"/>
  <c r="I27" i="1"/>
  <c r="J27" i="1" s="1"/>
  <c r="K27" i="1" s="1"/>
  <c r="D28" i="1" s="1"/>
  <c r="E28" i="1" s="1"/>
  <c r="G48" i="1" a="1"/>
  <c r="G48" i="1" s="1"/>
  <c r="C49" i="1"/>
  <c r="F49" i="1" l="1"/>
  <c r="H28" i="1"/>
  <c r="G49" i="1" a="1"/>
  <c r="G49" i="1" s="1"/>
  <c r="C50" i="1"/>
  <c r="F50" i="1" l="1"/>
  <c r="I28" i="1"/>
  <c r="J28" i="1" s="1"/>
  <c r="K28" i="1" s="1"/>
  <c r="D29" i="1" s="1"/>
  <c r="E29" i="1" s="1"/>
  <c r="G50" i="1" a="1"/>
  <c r="G50" i="1" s="1"/>
  <c r="C51" i="1"/>
  <c r="F51" i="1" l="1"/>
  <c r="H29" i="1"/>
  <c r="G51" i="1" a="1"/>
  <c r="G51" i="1" s="1"/>
  <c r="C52" i="1"/>
  <c r="F52" i="1" l="1"/>
  <c r="I29" i="1"/>
  <c r="J29" i="1" s="1"/>
  <c r="K29" i="1" s="1"/>
  <c r="D30" i="1" s="1"/>
  <c r="E30" i="1" s="1"/>
  <c r="G52" i="1" a="1"/>
  <c r="G52" i="1" s="1"/>
  <c r="C53" i="1"/>
  <c r="F53" i="1" l="1"/>
  <c r="H30" i="1"/>
  <c r="G53" i="1" a="1"/>
  <c r="G53" i="1" s="1"/>
  <c r="C54" i="1"/>
  <c r="F54" i="1" l="1"/>
  <c r="I30" i="1"/>
  <c r="J30" i="1" s="1"/>
  <c r="K30" i="1" s="1"/>
  <c r="D31" i="1" s="1"/>
  <c r="E31" i="1" s="1"/>
  <c r="G54" i="1" a="1"/>
  <c r="G54" i="1" s="1"/>
  <c r="C55" i="1"/>
  <c r="F55" i="1" l="1"/>
  <c r="H31" i="1"/>
  <c r="G55" i="1" a="1"/>
  <c r="G55" i="1" s="1"/>
  <c r="C56" i="1"/>
  <c r="F56" i="1" l="1"/>
  <c r="I31" i="1"/>
  <c r="J31" i="1" s="1"/>
  <c r="K31" i="1" s="1"/>
  <c r="D32" i="1" s="1"/>
  <c r="E32" i="1" s="1"/>
  <c r="G56" i="1" a="1"/>
  <c r="G56" i="1" s="1"/>
  <c r="C57" i="1"/>
  <c r="F57" i="1" l="1"/>
  <c r="H32" i="1"/>
  <c r="G57" i="1" a="1"/>
  <c r="G57" i="1" s="1"/>
  <c r="C58" i="1"/>
  <c r="F58" i="1" l="1"/>
  <c r="I32" i="1"/>
  <c r="J32" i="1" s="1"/>
  <c r="K32" i="1" s="1"/>
  <c r="D33" i="1" s="1"/>
  <c r="E33" i="1" s="1"/>
  <c r="G58" i="1" a="1"/>
  <c r="G58" i="1" s="1"/>
  <c r="C59" i="1"/>
  <c r="F59" i="1" l="1"/>
  <c r="H33" i="1"/>
  <c r="G59" i="1" a="1"/>
  <c r="G59" i="1" s="1"/>
  <c r="C60" i="1"/>
  <c r="F60" i="1" l="1"/>
  <c r="I33" i="1"/>
  <c r="J33" i="1" s="1"/>
  <c r="K33" i="1" s="1"/>
  <c r="D34" i="1" s="1"/>
  <c r="E34" i="1" s="1"/>
  <c r="G60" i="1" a="1"/>
  <c r="G60" i="1" s="1"/>
  <c r="C61" i="1"/>
  <c r="F61" i="1" l="1"/>
  <c r="H34" i="1"/>
  <c r="G61" i="1" a="1"/>
  <c r="G61" i="1" s="1"/>
  <c r="C62" i="1"/>
  <c r="F62" i="1" l="1"/>
  <c r="I34" i="1"/>
  <c r="J34" i="1" s="1"/>
  <c r="K34" i="1" s="1"/>
  <c r="D35" i="1" s="1"/>
  <c r="E35" i="1" s="1"/>
  <c r="G62" i="1" a="1"/>
  <c r="G62" i="1" s="1"/>
  <c r="C63" i="1"/>
  <c r="F63" i="1" l="1"/>
  <c r="H35" i="1"/>
  <c r="G63" i="1" a="1"/>
  <c r="G63" i="1" s="1"/>
  <c r="C64" i="1"/>
  <c r="F64" i="1" l="1"/>
  <c r="I35" i="1"/>
  <c r="J35" i="1" s="1"/>
  <c r="K35" i="1" s="1"/>
  <c r="D36" i="1" s="1"/>
  <c r="E36" i="1" s="1"/>
  <c r="G64" i="1" a="1"/>
  <c r="G64" i="1" s="1"/>
  <c r="C65" i="1"/>
  <c r="F65" i="1" l="1"/>
  <c r="H36" i="1"/>
  <c r="G65" i="1" a="1"/>
  <c r="G65" i="1" s="1"/>
  <c r="C66" i="1"/>
  <c r="F66" i="1" l="1"/>
  <c r="I36" i="1"/>
  <c r="J36" i="1" s="1"/>
  <c r="K36" i="1" s="1"/>
  <c r="D37" i="1" s="1"/>
  <c r="E37" i="1" s="1"/>
  <c r="G66" i="1" a="1"/>
  <c r="G66" i="1" s="1"/>
  <c r="C67" i="1"/>
  <c r="F67" i="1" l="1"/>
  <c r="H37" i="1"/>
  <c r="G67" i="1" a="1"/>
  <c r="G67" i="1" s="1"/>
  <c r="C68" i="1"/>
  <c r="F68" i="1" l="1"/>
  <c r="I37" i="1"/>
  <c r="J37" i="1" s="1"/>
  <c r="K37" i="1" s="1"/>
  <c r="D38" i="1" s="1"/>
  <c r="E38" i="1" s="1"/>
  <c r="G68" i="1" a="1"/>
  <c r="G68" i="1" s="1"/>
  <c r="C69" i="1"/>
  <c r="F69" i="1" l="1"/>
  <c r="H38" i="1"/>
  <c r="G69" i="1" a="1"/>
  <c r="G69" i="1" s="1"/>
  <c r="C70" i="1"/>
  <c r="F70" i="1" l="1"/>
  <c r="I38" i="1"/>
  <c r="J38" i="1" s="1"/>
  <c r="K38" i="1" s="1"/>
  <c r="D39" i="1" s="1"/>
  <c r="E39" i="1" s="1"/>
  <c r="G70" i="1" a="1"/>
  <c r="G70" i="1" s="1"/>
  <c r="C71" i="1"/>
  <c r="F71" i="1" l="1"/>
  <c r="H39" i="1"/>
  <c r="G71" i="1" a="1"/>
  <c r="G71" i="1" s="1"/>
  <c r="C72" i="1"/>
  <c r="F72" i="1" l="1"/>
  <c r="I39" i="1"/>
  <c r="J39" i="1" s="1"/>
  <c r="K39" i="1" s="1"/>
  <c r="D40" i="1" s="1"/>
  <c r="E40" i="1" s="1"/>
  <c r="G72" i="1" a="1"/>
  <c r="G72" i="1" s="1"/>
  <c r="C73" i="1"/>
  <c r="F73" i="1" l="1"/>
  <c r="H40" i="1"/>
  <c r="G73" i="1" a="1"/>
  <c r="G73" i="1" s="1"/>
  <c r="C74" i="1"/>
  <c r="F74" i="1" l="1"/>
  <c r="I40" i="1"/>
  <c r="J40" i="1" s="1"/>
  <c r="K40" i="1" s="1"/>
  <c r="D41" i="1" s="1"/>
  <c r="E41" i="1" s="1"/>
  <c r="G74" i="1" a="1"/>
  <c r="G74" i="1" s="1"/>
  <c r="C75" i="1"/>
  <c r="F75" i="1" l="1"/>
  <c r="H41" i="1"/>
  <c r="G75" i="1" a="1"/>
  <c r="G75" i="1" s="1"/>
  <c r="C76" i="1"/>
  <c r="F76" i="1" l="1"/>
  <c r="I41" i="1"/>
  <c r="J41" i="1" s="1"/>
  <c r="K41" i="1" s="1"/>
  <c r="D42" i="1" s="1"/>
  <c r="E42" i="1" s="1"/>
  <c r="G76" i="1" a="1"/>
  <c r="G76" i="1" s="1"/>
  <c r="C77" i="1"/>
  <c r="F77" i="1" l="1"/>
  <c r="H42" i="1"/>
  <c r="G77" i="1" a="1"/>
  <c r="G77" i="1" s="1"/>
  <c r="C78" i="1"/>
  <c r="F78" i="1" l="1"/>
  <c r="I42" i="1"/>
  <c r="J42" i="1" s="1"/>
  <c r="K42" i="1" s="1"/>
  <c r="D43" i="1" s="1"/>
  <c r="E43" i="1" s="1"/>
  <c r="G78" i="1" a="1"/>
  <c r="G78" i="1" s="1"/>
  <c r="C79" i="1"/>
  <c r="F79" i="1" l="1"/>
  <c r="H43" i="1"/>
  <c r="G79" i="1" a="1"/>
  <c r="G79" i="1" s="1"/>
  <c r="C80" i="1"/>
  <c r="F80" i="1" l="1"/>
  <c r="I43" i="1"/>
  <c r="J43" i="1" s="1"/>
  <c r="K43" i="1" s="1"/>
  <c r="D44" i="1" s="1"/>
  <c r="E44" i="1" s="1"/>
  <c r="G80" i="1" a="1"/>
  <c r="G80" i="1" s="1"/>
  <c r="C81" i="1"/>
  <c r="F81" i="1" l="1"/>
  <c r="H44" i="1"/>
  <c r="G81" i="1" a="1"/>
  <c r="G81" i="1" s="1"/>
  <c r="C82" i="1"/>
  <c r="F82" i="1" l="1"/>
  <c r="I44" i="1"/>
  <c r="J44" i="1" s="1"/>
  <c r="K44" i="1" s="1"/>
  <c r="D45" i="1" s="1"/>
  <c r="E45" i="1" s="1"/>
  <c r="G82" i="1" a="1"/>
  <c r="G82" i="1" s="1"/>
  <c r="C83" i="1"/>
  <c r="F83" i="1" l="1"/>
  <c r="H45" i="1"/>
  <c r="G83" i="1" a="1"/>
  <c r="G83" i="1" s="1"/>
  <c r="C84" i="1"/>
  <c r="F84" i="1" l="1"/>
  <c r="I45" i="1"/>
  <c r="J45" i="1" s="1"/>
  <c r="K45" i="1" s="1"/>
  <c r="D46" i="1" s="1"/>
  <c r="E46" i="1" s="1"/>
  <c r="G84" i="1" a="1"/>
  <c r="G84" i="1" s="1"/>
  <c r="C85" i="1"/>
  <c r="F85" i="1" l="1"/>
  <c r="H46" i="1"/>
  <c r="G85" i="1" a="1"/>
  <c r="G85" i="1" s="1"/>
  <c r="C86" i="1"/>
  <c r="F86" i="1" l="1"/>
  <c r="I46" i="1"/>
  <c r="J46" i="1" s="1"/>
  <c r="K46" i="1" s="1"/>
  <c r="D47" i="1" s="1"/>
  <c r="E47" i="1" s="1"/>
  <c r="G86" i="1" a="1"/>
  <c r="G86" i="1" s="1"/>
  <c r="C87" i="1"/>
  <c r="F87" i="1" l="1"/>
  <c r="H47" i="1"/>
  <c r="G87" i="1" a="1"/>
  <c r="G87" i="1" s="1"/>
  <c r="C88" i="1"/>
  <c r="F88" i="1" l="1"/>
  <c r="I47" i="1"/>
  <c r="J47" i="1" s="1"/>
  <c r="K47" i="1" s="1"/>
  <c r="D48" i="1" s="1"/>
  <c r="E48" i="1" s="1"/>
  <c r="G88" i="1" a="1"/>
  <c r="G88" i="1" s="1"/>
  <c r="C89" i="1"/>
  <c r="F89" i="1" l="1"/>
  <c r="H48" i="1"/>
  <c r="G89" i="1" a="1"/>
  <c r="G89" i="1" s="1"/>
  <c r="C90" i="1"/>
  <c r="F90" i="1" l="1"/>
  <c r="I48" i="1"/>
  <c r="J48" i="1" s="1"/>
  <c r="K48" i="1" s="1"/>
  <c r="D49" i="1" s="1"/>
  <c r="E49" i="1" s="1"/>
  <c r="G90" i="1" a="1"/>
  <c r="G90" i="1" s="1"/>
  <c r="C91" i="1"/>
  <c r="F91" i="1" l="1"/>
  <c r="H49" i="1"/>
  <c r="G91" i="1" a="1"/>
  <c r="G91" i="1" s="1"/>
  <c r="C92" i="1"/>
  <c r="F92" i="1" l="1"/>
  <c r="I49" i="1"/>
  <c r="J49" i="1" s="1"/>
  <c r="K49" i="1" s="1"/>
  <c r="D50" i="1" s="1"/>
  <c r="E50" i="1" s="1"/>
  <c r="G92" i="1" a="1"/>
  <c r="G92" i="1" s="1"/>
  <c r="C93" i="1"/>
  <c r="F93" i="1" l="1"/>
  <c r="H50" i="1"/>
  <c r="G93" i="1" a="1"/>
  <c r="G93" i="1" s="1"/>
  <c r="C94" i="1"/>
  <c r="F94" i="1" l="1"/>
  <c r="I50" i="1"/>
  <c r="J50" i="1" s="1"/>
  <c r="K50" i="1" s="1"/>
  <c r="D51" i="1" s="1"/>
  <c r="E51" i="1" s="1"/>
  <c r="G94" i="1" a="1"/>
  <c r="G94" i="1" s="1"/>
  <c r="C95" i="1"/>
  <c r="F95" i="1" l="1"/>
  <c r="H51" i="1"/>
  <c r="G95" i="1" a="1"/>
  <c r="G95" i="1" s="1"/>
  <c r="C96" i="1"/>
  <c r="F96" i="1" l="1"/>
  <c r="I51" i="1"/>
  <c r="J51" i="1" s="1"/>
  <c r="K51" i="1" s="1"/>
  <c r="D52" i="1" s="1"/>
  <c r="E52" i="1" s="1"/>
  <c r="G96" i="1" a="1"/>
  <c r="G96" i="1" s="1"/>
  <c r="C97" i="1"/>
  <c r="F97" i="1" l="1"/>
  <c r="H52" i="1"/>
  <c r="G97" i="1" a="1"/>
  <c r="G97" i="1" s="1"/>
  <c r="C98" i="1"/>
  <c r="F98" i="1" l="1"/>
  <c r="I52" i="1"/>
  <c r="J52" i="1" s="1"/>
  <c r="K52" i="1" s="1"/>
  <c r="D53" i="1" s="1"/>
  <c r="E53" i="1" s="1"/>
  <c r="G98" i="1" a="1"/>
  <c r="G98" i="1" s="1"/>
  <c r="C99" i="1"/>
  <c r="F99" i="1" l="1"/>
  <c r="H53" i="1"/>
  <c r="G99" i="1" a="1"/>
  <c r="G99" i="1" s="1"/>
  <c r="C100" i="1"/>
  <c r="F100" i="1" l="1"/>
  <c r="I53" i="1"/>
  <c r="J53" i="1" s="1"/>
  <c r="K53" i="1" s="1"/>
  <c r="D54" i="1" s="1"/>
  <c r="E54" i="1" s="1"/>
  <c r="G100" i="1" a="1"/>
  <c r="G100" i="1" s="1"/>
  <c r="C101" i="1"/>
  <c r="F101" i="1" l="1"/>
  <c r="H54" i="1"/>
  <c r="G101" i="1" a="1"/>
  <c r="G101" i="1" s="1"/>
  <c r="C102" i="1"/>
  <c r="F102" i="1" l="1"/>
  <c r="I54" i="1"/>
  <c r="J54" i="1" s="1"/>
  <c r="K54" i="1" s="1"/>
  <c r="D55" i="1" s="1"/>
  <c r="E55" i="1" s="1"/>
  <c r="G102" i="1" a="1"/>
  <c r="G102" i="1" s="1"/>
  <c r="C103" i="1"/>
  <c r="F103" i="1" l="1"/>
  <c r="H55" i="1"/>
  <c r="G103" i="1" a="1"/>
  <c r="G103" i="1" s="1"/>
  <c r="C104" i="1"/>
  <c r="F104" i="1" l="1"/>
  <c r="I55" i="1"/>
  <c r="J55" i="1" s="1"/>
  <c r="K55" i="1" s="1"/>
  <c r="D56" i="1" s="1"/>
  <c r="E56" i="1" s="1"/>
  <c r="G104" i="1" a="1"/>
  <c r="G104" i="1" s="1"/>
  <c r="C105" i="1"/>
  <c r="F105" i="1" l="1"/>
  <c r="H56" i="1"/>
  <c r="G105" i="1" a="1"/>
  <c r="G105" i="1" s="1"/>
  <c r="C106" i="1"/>
  <c r="F106" i="1" l="1"/>
  <c r="I56" i="1"/>
  <c r="J56" i="1" s="1"/>
  <c r="K56" i="1" s="1"/>
  <c r="D57" i="1" s="1"/>
  <c r="E57" i="1" s="1"/>
  <c r="G106" i="1" a="1"/>
  <c r="G106" i="1" s="1"/>
  <c r="C107" i="1"/>
  <c r="F107" i="1" l="1"/>
  <c r="H57" i="1"/>
  <c r="G107" i="1" a="1"/>
  <c r="G107" i="1" s="1"/>
  <c r="C108" i="1"/>
  <c r="F108" i="1" l="1"/>
  <c r="I57" i="1"/>
  <c r="J57" i="1" s="1"/>
  <c r="K57" i="1" s="1"/>
  <c r="D58" i="1" s="1"/>
  <c r="E58" i="1" s="1"/>
  <c r="G108" i="1" a="1"/>
  <c r="G108" i="1" s="1"/>
  <c r="C109" i="1"/>
  <c r="F109" i="1" l="1"/>
  <c r="H58" i="1"/>
  <c r="G109" i="1" a="1"/>
  <c r="G109" i="1" s="1"/>
  <c r="I58" i="1" l="1"/>
  <c r="J58" i="1" s="1"/>
  <c r="K58" i="1" s="1"/>
  <c r="D59" i="1" s="1"/>
  <c r="E59" i="1" s="1"/>
  <c r="H59" i="1" l="1"/>
  <c r="I59" i="1" l="1"/>
  <c r="J59" i="1" s="1"/>
  <c r="K59" i="1" s="1"/>
  <c r="D60" i="1" s="1"/>
  <c r="E60" i="1" s="1"/>
  <c r="H60" i="1" l="1"/>
  <c r="I60" i="1" l="1"/>
  <c r="J60" i="1" s="1"/>
  <c r="K60" i="1" s="1"/>
  <c r="D61" i="1" s="1"/>
  <c r="E61" i="1" s="1"/>
  <c r="H61" i="1" l="1"/>
  <c r="I61" i="1" l="1"/>
  <c r="J61" i="1" s="1"/>
  <c r="K61" i="1" s="1"/>
  <c r="D62" i="1" s="1"/>
  <c r="E62" i="1" s="1"/>
  <c r="H62" i="1" l="1"/>
  <c r="I62" i="1" l="1"/>
  <c r="J62" i="1" s="1"/>
  <c r="K62" i="1" s="1"/>
  <c r="D63" i="1" s="1"/>
  <c r="E63" i="1" s="1"/>
  <c r="H63" i="1" l="1"/>
  <c r="I63" i="1" l="1"/>
  <c r="J63" i="1" s="1"/>
  <c r="K63" i="1" s="1"/>
  <c r="D64" i="1" s="1"/>
  <c r="E64" i="1" s="1"/>
  <c r="H64" i="1" l="1"/>
  <c r="I64" i="1" l="1"/>
  <c r="J64" i="1" s="1"/>
  <c r="K64" i="1" s="1"/>
  <c r="D65" i="1" s="1"/>
  <c r="E65" i="1" s="1"/>
  <c r="H65" i="1" l="1"/>
  <c r="I65" i="1" l="1"/>
  <c r="J65" i="1" s="1"/>
  <c r="K65" i="1" s="1"/>
  <c r="D66" i="1" s="1"/>
  <c r="E66" i="1" s="1"/>
  <c r="H66" i="1" l="1"/>
  <c r="I66" i="1" l="1"/>
  <c r="J66" i="1" s="1"/>
  <c r="K66" i="1" s="1"/>
  <c r="D67" i="1" s="1"/>
  <c r="E67" i="1" s="1"/>
  <c r="H67" i="1" l="1"/>
  <c r="I67" i="1" s="1"/>
  <c r="J67" i="1" s="1"/>
  <c r="K67" i="1" s="1"/>
  <c r="D68" i="1" s="1"/>
  <c r="E68" i="1" s="1"/>
  <c r="H68" i="1" l="1"/>
  <c r="I68" i="1" l="1"/>
  <c r="J68" i="1" s="1"/>
  <c r="K68" i="1" s="1"/>
  <c r="D69" i="1" s="1"/>
  <c r="E69" i="1" s="1"/>
  <c r="H69" i="1" l="1"/>
  <c r="I69" i="1" l="1"/>
  <c r="J69" i="1" s="1"/>
  <c r="K69" i="1" s="1"/>
  <c r="D70" i="1" s="1"/>
  <c r="E70" i="1" s="1"/>
  <c r="H70" i="1" l="1"/>
  <c r="I70" i="1" s="1"/>
  <c r="J70" i="1" s="1"/>
  <c r="K70" i="1" s="1"/>
  <c r="D71" i="1" s="1"/>
  <c r="E71" i="1" s="1"/>
  <c r="H71" i="1" l="1"/>
  <c r="I71" i="1" l="1"/>
  <c r="J71" i="1" s="1"/>
  <c r="K71" i="1" s="1"/>
  <c r="D72" i="1" s="1"/>
  <c r="E72" i="1" l="1"/>
  <c r="H72" i="1" s="1"/>
  <c r="I72" i="1" l="1"/>
  <c r="J72" i="1" s="1"/>
  <c r="K72" i="1" s="1"/>
  <c r="D73" i="1" s="1"/>
  <c r="E73" i="1" l="1"/>
  <c r="H73" i="1" l="1"/>
  <c r="I73" i="1" s="1"/>
  <c r="J73" i="1" s="1"/>
  <c r="K73" i="1" s="1"/>
  <c r="D74" i="1" s="1"/>
  <c r="E74" i="1" l="1"/>
  <c r="H74" i="1" s="1"/>
  <c r="I74" i="1" l="1"/>
  <c r="J74" i="1" s="1"/>
  <c r="K74" i="1" s="1"/>
  <c r="D75" i="1" s="1"/>
  <c r="E75" i="1" s="1"/>
  <c r="H75" i="1" s="1"/>
  <c r="I75" i="1" l="1"/>
  <c r="J75" i="1" s="1"/>
  <c r="K75" i="1" s="1"/>
  <c r="D76" i="1" s="1"/>
  <c r="E76" i="1" s="1"/>
  <c r="H76" i="1" s="1"/>
  <c r="I76" i="1" l="1"/>
  <c r="J76" i="1" s="1"/>
  <c r="K76" i="1" s="1"/>
  <c r="D77" i="1" s="1"/>
  <c r="E77" i="1" s="1"/>
  <c r="H77" i="1" l="1"/>
  <c r="I77" i="1" l="1"/>
  <c r="J77" i="1" s="1"/>
  <c r="K77" i="1" s="1"/>
  <c r="D78" i="1" s="1"/>
  <c r="E78" i="1" s="1"/>
  <c r="H78" i="1" l="1"/>
  <c r="I78" i="1" l="1"/>
  <c r="J78" i="1" s="1"/>
  <c r="K78" i="1" s="1"/>
  <c r="D79" i="1" s="1"/>
  <c r="E79" i="1" s="1"/>
  <c r="H79" i="1" l="1"/>
  <c r="I79" i="1" l="1"/>
  <c r="J79" i="1" s="1"/>
  <c r="K79" i="1" s="1"/>
  <c r="D80" i="1" s="1"/>
  <c r="E80" i="1" s="1"/>
  <c r="H80" i="1" l="1"/>
  <c r="I80" i="1" l="1"/>
  <c r="J80" i="1" s="1"/>
  <c r="K80" i="1" s="1"/>
  <c r="D81" i="1" s="1"/>
  <c r="E81" i="1" s="1"/>
  <c r="H81" i="1" l="1"/>
  <c r="I81" i="1" l="1"/>
  <c r="J81" i="1" s="1"/>
  <c r="K81" i="1" s="1"/>
  <c r="D82" i="1" s="1"/>
  <c r="E82" i="1" s="1"/>
  <c r="H82" i="1" l="1"/>
  <c r="I82" i="1" l="1"/>
  <c r="J82" i="1" s="1"/>
  <c r="K82" i="1" s="1"/>
  <c r="D83" i="1" s="1"/>
  <c r="E83" i="1" s="1"/>
  <c r="H83" i="1" l="1"/>
  <c r="I83" i="1" l="1"/>
  <c r="J83" i="1" s="1"/>
  <c r="K83" i="1" s="1"/>
  <c r="D84" i="1" s="1"/>
  <c r="E84" i="1" s="1"/>
  <c r="H84" i="1" l="1"/>
  <c r="I84" i="1" l="1"/>
  <c r="J84" i="1" s="1"/>
  <c r="K84" i="1" s="1"/>
  <c r="D85" i="1" s="1"/>
  <c r="E85" i="1" s="1"/>
  <c r="H85" i="1" l="1"/>
  <c r="I85" i="1" l="1"/>
  <c r="J85" i="1" s="1"/>
  <c r="K85" i="1" s="1"/>
  <c r="D86" i="1" s="1"/>
  <c r="E86" i="1" s="1"/>
  <c r="H86" i="1" l="1"/>
  <c r="I86" i="1" l="1"/>
  <c r="J86" i="1" s="1"/>
  <c r="K86" i="1" s="1"/>
  <c r="D87" i="1" s="1"/>
  <c r="E87" i="1" s="1"/>
  <c r="H87" i="1" l="1"/>
  <c r="I87" i="1" l="1"/>
  <c r="J87" i="1" s="1"/>
  <c r="K87" i="1" s="1"/>
  <c r="D88" i="1" s="1"/>
  <c r="E88" i="1" s="1"/>
  <c r="H88" i="1" l="1"/>
  <c r="I88" i="1" l="1"/>
  <c r="J88" i="1" s="1"/>
  <c r="K88" i="1" s="1"/>
  <c r="D89" i="1" s="1"/>
  <c r="E89" i="1" s="1"/>
  <c r="H89" i="1" l="1"/>
  <c r="I89" i="1" l="1"/>
  <c r="J89" i="1" s="1"/>
  <c r="K89" i="1" s="1"/>
  <c r="D90" i="1" s="1"/>
  <c r="E90" i="1" s="1"/>
  <c r="H90" i="1" l="1"/>
  <c r="I90" i="1" l="1"/>
  <c r="J90" i="1" s="1"/>
  <c r="K90" i="1" s="1"/>
  <c r="D91" i="1" s="1"/>
  <c r="E91" i="1" s="1"/>
  <c r="H91" i="1" l="1"/>
  <c r="I91" i="1" l="1"/>
  <c r="J91" i="1" s="1"/>
  <c r="K91" i="1" s="1"/>
  <c r="D92" i="1" s="1"/>
  <c r="E92" i="1" s="1"/>
  <c r="H92" i="1" l="1"/>
  <c r="I92" i="1" l="1"/>
  <c r="J92" i="1" s="1"/>
  <c r="K92" i="1" s="1"/>
  <c r="D93" i="1" s="1"/>
  <c r="E93" i="1" s="1"/>
  <c r="H93" i="1" l="1"/>
  <c r="I93" i="1" l="1"/>
  <c r="J93" i="1" s="1"/>
  <c r="K93" i="1" s="1"/>
  <c r="D94" i="1" s="1"/>
  <c r="E94" i="1" s="1"/>
  <c r="H94" i="1" l="1"/>
  <c r="I94" i="1" l="1"/>
  <c r="J94" i="1" s="1"/>
  <c r="K94" i="1" s="1"/>
  <c r="D95" i="1" s="1"/>
  <c r="E95" i="1" s="1"/>
  <c r="H95" i="1" l="1"/>
  <c r="I95" i="1" l="1"/>
  <c r="J95" i="1" s="1"/>
  <c r="K95" i="1" s="1"/>
  <c r="D96" i="1" s="1"/>
  <c r="E96" i="1" s="1"/>
  <c r="H96" i="1" l="1"/>
  <c r="I96" i="1" l="1"/>
  <c r="J96" i="1" s="1"/>
  <c r="K96" i="1" s="1"/>
  <c r="D97" i="1" s="1"/>
  <c r="E97" i="1" s="1"/>
  <c r="H97" i="1" l="1"/>
  <c r="I97" i="1" l="1"/>
  <c r="J97" i="1" s="1"/>
  <c r="K97" i="1" s="1"/>
  <c r="D98" i="1" s="1"/>
  <c r="E98" i="1" s="1"/>
  <c r="H98" i="1" l="1"/>
  <c r="I98" i="1" l="1"/>
  <c r="J98" i="1" s="1"/>
  <c r="K98" i="1" s="1"/>
  <c r="D99" i="1" s="1"/>
  <c r="E99" i="1" s="1"/>
  <c r="H99" i="1" l="1"/>
  <c r="I99" i="1" l="1"/>
  <c r="J99" i="1" s="1"/>
  <c r="K99" i="1" s="1"/>
  <c r="D100" i="1" s="1"/>
  <c r="E100" i="1" s="1"/>
  <c r="H100" i="1" l="1"/>
  <c r="I100" i="1" l="1"/>
  <c r="J100" i="1" s="1"/>
  <c r="K100" i="1" s="1"/>
  <c r="D101" i="1" s="1"/>
  <c r="E101" i="1" s="1"/>
  <c r="H101" i="1" l="1"/>
  <c r="I101" i="1" l="1"/>
  <c r="J101" i="1" s="1"/>
  <c r="K101" i="1" s="1"/>
  <c r="D102" i="1" s="1"/>
  <c r="E102" i="1" s="1"/>
  <c r="H102" i="1" l="1"/>
  <c r="I102" i="1" l="1"/>
  <c r="J102" i="1" s="1"/>
  <c r="K102" i="1" s="1"/>
  <c r="D103" i="1" s="1"/>
  <c r="E103" i="1" s="1"/>
  <c r="H103" i="1" l="1"/>
  <c r="I103" i="1" l="1"/>
  <c r="J103" i="1" s="1"/>
  <c r="K103" i="1" s="1"/>
  <c r="D104" i="1" s="1"/>
  <c r="E104" i="1" s="1"/>
  <c r="H104" i="1" l="1"/>
  <c r="I104" i="1" l="1"/>
  <c r="J104" i="1" s="1"/>
  <c r="K104" i="1" s="1"/>
  <c r="D105" i="1" s="1"/>
  <c r="E105" i="1" s="1"/>
  <c r="H105" i="1" l="1"/>
  <c r="I105" i="1" l="1"/>
  <c r="J105" i="1" s="1"/>
  <c r="K105" i="1" s="1"/>
  <c r="D106" i="1" s="1"/>
  <c r="E106" i="1" s="1"/>
  <c r="H106" i="1" l="1"/>
  <c r="I106" i="1" l="1"/>
  <c r="J106" i="1" s="1"/>
  <c r="K106" i="1" s="1"/>
  <c r="D107" i="1" s="1"/>
  <c r="E107" i="1" s="1"/>
  <c r="H107" i="1" l="1"/>
  <c r="I107" i="1" l="1"/>
  <c r="J107" i="1" s="1"/>
  <c r="K107" i="1" s="1"/>
  <c r="D108" i="1" s="1"/>
  <c r="E108" i="1" s="1"/>
  <c r="H108" i="1" l="1"/>
  <c r="I108" i="1" l="1"/>
  <c r="J108" i="1" s="1"/>
  <c r="K108" i="1" s="1"/>
  <c r="D109" i="1" s="1"/>
  <c r="E109" i="1" s="1"/>
  <c r="H109" i="1" l="1"/>
  <c r="I109" i="1" l="1"/>
  <c r="J109" i="1" s="1"/>
  <c r="K10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tc={C2CF4C27-CC88-4AED-A439-B713356409F1}</author>
    <author>tc={1009532E-AF5E-4475-A3B1-59481A972DBF}</author>
  </authors>
  <commentList>
    <comment ref="B25" authorId="0" shapeId="0" xr:uid="{C2CF4C27-CC88-4AED-A439-B713356409F1}">
      <text>
        <t>[Threaded comment]
Your version of Excel allows you to read this threaded comment; however, any edits to it will get removed if the file is opened in a newer version of Excel. Learn more: https://go.microsoft.com/fwlink/?linkid=870924
Comment:
    Used for Annual SWP withdrawal calculation.</t>
      </text>
    </comment>
    <comment ref="C25" authorId="1" shapeId="0" xr:uid="{1009532E-AF5E-4475-A3B1-59481A972DBF}">
      <text>
        <t>[Threaded comment]
Your version of Excel allows you to read this threaded comment; however, any edits to it will get removed if the file is opened in a newer version of Excel. Learn more: https://go.microsoft.com/fwlink/?linkid=870924
Comment:
    Used for Annual SWP withdrawal calculation.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tc={27C1B6D3-3DEC-49A5-8A83-BEF2369533D2}</author>
  </authors>
  <commentList>
    <comment ref="E3" authorId="0" shapeId="0" xr:uid="{27C1B6D3-3DEC-49A5-8A83-BEF2369533D2}">
      <text>
        <t>[Threaded comment]
Your version of Excel allows you to read this threaded comment; however, any edits to it will get removed if the file is opened in a newer version of Excel. Learn more: https://go.microsoft.com/fwlink/?linkid=870924
Comment:
    Delete an event from computation? 
In the respective row, select the cell under "Age" field and press delete key.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<sst xmlns="http://schemas.openxmlformats.org/spreadsheetml/2006/main" count="147" uniqueCount="100">
  <si>
    <t>Name</t>
  </si>
  <si>
    <t>Age</t>
  </si>
  <si>
    <t>User Fields (Editable)</t>
  </si>
  <si>
    <t>DOB</t>
  </si>
  <si>
    <t>YEAR</t>
  </si>
  <si>
    <t>Current Savings</t>
  </si>
  <si>
    <t>Marriage</t>
  </si>
  <si>
    <t>Education</t>
  </si>
  <si>
    <t>Car</t>
  </si>
  <si>
    <t>Home</t>
  </si>
  <si>
    <t>Important Events</t>
  </si>
  <si>
    <t>Retirement</t>
  </si>
  <si>
    <t>Title or Description</t>
  </si>
  <si>
    <t>TOTAL</t>
  </si>
  <si>
    <t>Amount</t>
  </si>
  <si>
    <t>AGE</t>
  </si>
  <si>
    <t>Life Expectancy</t>
  </si>
  <si>
    <t>Monthly Income</t>
  </si>
  <si>
    <t>Monthly Expenses</t>
  </si>
  <si>
    <t>Annual Savings/Investments</t>
  </si>
  <si>
    <t>Event #3</t>
  </si>
  <si>
    <t>Event #4</t>
  </si>
  <si>
    <t>Event #5</t>
  </si>
  <si>
    <t>Children Marriage</t>
  </si>
  <si>
    <t>Children Education</t>
  </si>
  <si>
    <t>Ganesh</t>
  </si>
  <si>
    <t>Mobile</t>
  </si>
  <si>
    <t>Bike</t>
  </si>
  <si>
    <t>Domestic Trip</t>
  </si>
  <si>
    <t>International Trip</t>
  </si>
  <si>
    <t>Gift</t>
  </si>
  <si>
    <t>Event #1</t>
  </si>
  <si>
    <t>Event #2</t>
  </si>
  <si>
    <t>EVENTS</t>
  </si>
  <si>
    <t>Effective ROI</t>
  </si>
  <si>
    <t>ROI</t>
  </si>
  <si>
    <t>User Inputs</t>
  </si>
  <si>
    <t>Annual Inflation (%)</t>
  </si>
  <si>
    <t>Annual Life Style Inflation (%)</t>
  </si>
  <si>
    <t>Others (%)</t>
  </si>
  <si>
    <t>Description</t>
  </si>
  <si>
    <t>Rent</t>
  </si>
  <si>
    <t>EMI</t>
  </si>
  <si>
    <t>Credit Cards</t>
  </si>
  <si>
    <t>Groceries</t>
  </si>
  <si>
    <t>Utilities</t>
  </si>
  <si>
    <t>Monthly Expenses Total</t>
  </si>
  <si>
    <t>Misc</t>
  </si>
  <si>
    <t>Life Expectancy Age</t>
  </si>
  <si>
    <t>*If any income is expected on certain age, kindly provide negative value</t>
  </si>
  <si>
    <t>Total Expense Events</t>
  </si>
  <si>
    <t>Total Income Events</t>
  </si>
  <si>
    <t>Computed Values</t>
  </si>
  <si>
    <t>*Edit only the fields with Blue Background</t>
  </si>
  <si>
    <t>PPF Maturity</t>
  </si>
  <si>
    <t>Retirement Age</t>
  </si>
  <si>
    <t>*Copy and paste only the values to test</t>
  </si>
  <si>
    <t>Insurance Maturity</t>
  </si>
  <si>
    <t>EVENTS DESCRIPTION</t>
  </si>
  <si>
    <t>P.Y SAVINGS</t>
  </si>
  <si>
    <t>C.Y SAVINGS</t>
  </si>
  <si>
    <t>Term Insurance</t>
  </si>
  <si>
    <t>Conversion Tool</t>
  </si>
  <si>
    <t>Yearly</t>
  </si>
  <si>
    <t>Half-Yearly</t>
  </si>
  <si>
    <t>Quarterly</t>
  </si>
  <si>
    <t>Weekly</t>
  </si>
  <si>
    <t>Daily</t>
  </si>
  <si>
    <t>Bi-Monthly</t>
  </si>
  <si>
    <t>*Considers Investments from your next year age.</t>
  </si>
  <si>
    <t>*Considers Investments/Events from beginning of each year</t>
  </si>
  <si>
    <t>Post Retirement ROI (%)</t>
  </si>
  <si>
    <t>Annual Increase In Savings (%)</t>
  </si>
  <si>
    <t>Effective ROI after Retirement</t>
  </si>
  <si>
    <t>Annual ROI (%)</t>
  </si>
  <si>
    <t>Post Retirement Annual Inflation (%)</t>
  </si>
  <si>
    <t>Post Retirement Life Style Inflation (%)</t>
  </si>
  <si>
    <t>Formula Fields (Do not Edit)</t>
  </si>
  <si>
    <t xml:space="preserve"> Post Retirement Annual Withdrawal (SWP)</t>
  </si>
  <si>
    <t>Annual Change In SWP (%)</t>
  </si>
  <si>
    <t>PRE RETIREMENT</t>
  </si>
  <si>
    <t>POST RETIREMENT</t>
  </si>
  <si>
    <t>MAIN EVENTS</t>
  </si>
  <si>
    <t>Current Liabilities</t>
  </si>
  <si>
    <t>*P.Y - Previous Year</t>
  </si>
  <si>
    <t>*C.Y - Current Year</t>
  </si>
  <si>
    <t>NET INVESTMENT</t>
  </si>
  <si>
    <t>Retirement Corpus</t>
  </si>
  <si>
    <t>Monthly Income (post tax)</t>
  </si>
  <si>
    <t>LTCG Tax (as of FY24)</t>
  </si>
  <si>
    <t>LTCG Exemption (as of FY24)</t>
  </si>
  <si>
    <t>Tax on SWP</t>
  </si>
  <si>
    <t>Standard + Other tax exemptions</t>
  </si>
  <si>
    <t>TAX (SWP)</t>
  </si>
  <si>
    <t>Today's Price</t>
  </si>
  <si>
    <t>Inflation (if any)</t>
  </si>
  <si>
    <t>Inflation Adjusted Price</t>
  </si>
  <si>
    <t>*Inflation adjusted price is rounded off with next nearest 1000</t>
  </si>
  <si>
    <t>BASIC INFO</t>
  </si>
  <si>
    <t>Annual SWP withdrawal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</si>
</sst>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₹&quot;\ #,##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5" borderId="4" xfId="0" applyFill="1" applyBorder="1" applyAlignment="1" applyProtection="1">
      <alignment horizontal="right"/>
      <protection locked="0"/>
    </xf>
    <xf numFmtId="0" fontId="3" fillId="3" borderId="5" xfId="0" applyFont="1" applyFill="1" applyBorder="1" applyAlignment="1" applyProtection="1">
      <alignment horizontal="left"/>
      <protection locked="0"/>
    </xf>
    <xf numFmtId="164" fontId="3" fillId="3" borderId="9" xfId="0" applyNumberFormat="1" applyFont="1" applyFill="1" applyBorder="1" applyAlignment="1" applyProtection="1">
      <alignment horizontal="left"/>
      <protection locked="0"/>
    </xf>
    <xf numFmtId="164" fontId="0" fillId="0" borderId="0" xfId="0" applyNumberFormat="1"/>
    <xf numFmtId="0" fontId="3" fillId="0" borderId="5" xfId="0" applyFont="1" applyBorder="1"/>
    <xf numFmtId="0" fontId="3" fillId="6" borderId="5" xfId="0" applyFont="1" applyFill="1" applyBorder="1" applyAlignment="1">
      <alignment horizontal="center"/>
    </xf>
    <xf numFmtId="14" fontId="3" fillId="6" borderId="5" xfId="0" applyNumberFormat="1" applyFont="1" applyFill="1" applyBorder="1" applyAlignment="1">
      <alignment horizontal="center"/>
    </xf>
    <xf numFmtId="164" fontId="3" fillId="6" borderId="5" xfId="0" applyNumberFormat="1" applyFont="1" applyFill="1" applyBorder="1" applyAlignment="1">
      <alignment horizontal="center"/>
    </xf>
    <xf numFmtId="9" fontId="3" fillId="6" borderId="5" xfId="1" applyFont="1" applyFill="1" applyBorder="1" applyAlignment="1">
      <alignment horizontal="center"/>
    </xf>
    <xf numFmtId="0" fontId="3" fillId="0" borderId="0" xfId="0" applyFont="1" applyAlignment="1" applyProtection="1">
      <alignment horizontal="left"/>
      <protection locked="0"/>
    </xf>
    <xf numFmtId="14" fontId="3" fillId="0" borderId="0" xfId="0" applyNumberFormat="1" applyFont="1" applyAlignment="1" applyProtection="1">
      <alignment horizontal="left"/>
      <protection locked="0"/>
    </xf>
    <xf numFmtId="164" fontId="3" fillId="0" borderId="0" xfId="0" applyNumberFormat="1" applyFont="1" applyAlignment="1" applyProtection="1">
      <alignment horizontal="left"/>
      <protection locked="0"/>
    </xf>
    <xf numFmtId="9" fontId="3" fillId="0" borderId="0" xfId="1" applyFont="1" applyFill="1" applyBorder="1" applyAlignment="1" applyProtection="1">
      <alignment horizontal="left"/>
      <protection locked="0"/>
    </xf>
    <xf numFmtId="164" fontId="3" fillId="0" borderId="0" xfId="1" applyNumberFormat="1" applyFont="1" applyFill="1" applyBorder="1" applyAlignment="1" applyProtection="1">
      <alignment horizontal="left"/>
      <protection locked="0"/>
    </xf>
    <xf numFmtId="164" fontId="3" fillId="3" borderId="10" xfId="0" applyNumberFormat="1" applyFont="1" applyFill="1" applyBorder="1" applyAlignment="1" applyProtection="1">
      <alignment horizontal="left"/>
      <protection locked="0"/>
    </xf>
    <xf numFmtId="0" fontId="0" fillId="5" borderId="4" xfId="0" applyFill="1" applyBorder="1" applyAlignment="1">
      <alignment horizontal="center"/>
    </xf>
    <xf numFmtId="0" fontId="0" fillId="8" borderId="0" xfId="0" applyFill="1"/>
    <xf numFmtId="9" fontId="3" fillId="9" borderId="5" xfId="1" applyFont="1" applyFill="1" applyBorder="1" applyAlignment="1">
      <alignment horizontal="center"/>
    </xf>
    <xf numFmtId="1" fontId="3" fillId="6" borderId="5" xfId="1" applyNumberFormat="1" applyFont="1" applyFill="1" applyBorder="1" applyAlignment="1">
      <alignment horizontal="center"/>
    </xf>
    <xf numFmtId="1" fontId="3" fillId="6" borderId="7" xfId="1" applyNumberFormat="1" applyFont="1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/>
    </xf>
    <xf numFmtId="164" fontId="0" fillId="0" borderId="12" xfId="0" applyNumberFormat="1" applyBorder="1"/>
    <xf numFmtId="0" fontId="2" fillId="5" borderId="4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0" fillId="3" borderId="0" xfId="0" applyFill="1"/>
    <xf numFmtId="0" fontId="0" fillId="2" borderId="0" xfId="0" applyFill="1"/>
    <xf numFmtId="0" fontId="0" fillId="4" borderId="0" xfId="0" applyFill="1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right"/>
    </xf>
    <xf numFmtId="0" fontId="3" fillId="2" borderId="5" xfId="0" applyFont="1" applyFill="1" applyBorder="1" applyAlignment="1">
      <alignment horizontal="center"/>
    </xf>
    <xf numFmtId="164" fontId="3" fillId="2" borderId="5" xfId="0" applyNumberFormat="1" applyFont="1" applyFill="1" applyBorder="1" applyAlignment="1">
      <alignment horizontal="center"/>
    </xf>
    <xf numFmtId="9" fontId="3" fillId="2" borderId="5" xfId="1" applyFont="1" applyFill="1" applyBorder="1" applyAlignment="1" applyProtection="1">
      <alignment horizontal="center"/>
    </xf>
    <xf numFmtId="0" fontId="3" fillId="5" borderId="7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6" borderId="5" xfId="0" applyFont="1" applyFill="1" applyBorder="1" applyAlignment="1" applyProtection="1">
      <alignment horizontal="center"/>
      <protection locked="0"/>
    </xf>
    <xf numFmtId="14" fontId="3" fillId="6" borderId="5" xfId="0" applyNumberFormat="1" applyFont="1" applyFill="1" applyBorder="1" applyAlignment="1" applyProtection="1">
      <alignment horizontal="center"/>
      <protection locked="0"/>
    </xf>
    <xf numFmtId="164" fontId="3" fillId="6" borderId="5" xfId="0" applyNumberFormat="1" applyFont="1" applyFill="1" applyBorder="1" applyAlignment="1" applyProtection="1">
      <alignment horizontal="center"/>
      <protection locked="0"/>
    </xf>
    <xf numFmtId="0" fontId="3" fillId="5" borderId="5" xfId="0" applyFont="1" applyFill="1" applyBorder="1" applyAlignment="1" applyProtection="1">
      <alignment horizontal="center"/>
      <protection locked="0"/>
    </xf>
    <xf numFmtId="1" fontId="3" fillId="6" borderId="5" xfId="1" applyNumberFormat="1" applyFont="1" applyFill="1" applyBorder="1" applyAlignment="1" applyProtection="1">
      <alignment horizontal="center"/>
      <protection locked="0"/>
    </xf>
    <xf numFmtId="1" fontId="3" fillId="6" borderId="7" xfId="1" applyNumberFormat="1" applyFont="1" applyFill="1" applyBorder="1" applyAlignment="1" applyProtection="1">
      <alignment horizontal="center"/>
      <protection locked="0"/>
    </xf>
    <xf numFmtId="0" fontId="0" fillId="7" borderId="0" xfId="0" applyFill="1"/>
    <xf numFmtId="0" fontId="0" fillId="5" borderId="0" xfId="0" applyFill="1"/>
    <xf numFmtId="0" fontId="2" fillId="0" borderId="0" xfId="0" applyFont="1"/>
    <xf numFmtId="164" fontId="3" fillId="2" borderId="0" xfId="0" applyNumberFormat="1" applyFont="1" applyFill="1"/>
    <xf numFmtId="0" fontId="2" fillId="4" borderId="1" xfId="0" applyFont="1" applyFill="1" applyBorder="1" applyAlignment="1">
      <alignment horizontal="center"/>
    </xf>
    <xf numFmtId="0" fontId="0" fillId="5" borderId="4" xfId="0" applyFill="1" applyBorder="1" applyAlignment="1">
      <alignment horizontal="right"/>
    </xf>
    <xf numFmtId="0" fontId="2" fillId="5" borderId="8" xfId="0" applyFont="1" applyFill="1" applyBorder="1" applyAlignment="1">
      <alignment horizontal="right"/>
    </xf>
    <xf numFmtId="0" fontId="2" fillId="5" borderId="6" xfId="0" applyFont="1" applyFill="1" applyBorder="1" applyAlignment="1">
      <alignment horizontal="right"/>
    </xf>
    <xf numFmtId="0" fontId="0" fillId="5" borderId="6" xfId="0" applyFill="1" applyBorder="1" applyAlignment="1" applyProtection="1">
      <alignment horizontal="right"/>
      <protection locked="0"/>
    </xf>
    <xf numFmtId="0" fontId="3" fillId="2" borderId="1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164" fontId="3" fillId="3" borderId="14" xfId="0" applyNumberFormat="1" applyFont="1" applyFill="1" applyBorder="1" applyAlignment="1" applyProtection="1">
      <alignment horizontal="left"/>
      <protection locked="0"/>
    </xf>
    <xf numFmtId="0" fontId="3" fillId="2" borderId="0" xfId="0" applyFont="1" applyFill="1" applyAlignment="1">
      <alignment horizontal="left"/>
    </xf>
    <xf numFmtId="164" fontId="3" fillId="3" borderId="0" xfId="0" applyNumberFormat="1" applyFont="1" applyFill="1" applyAlignment="1" applyProtection="1">
      <alignment horizontal="left"/>
      <protection locked="0"/>
    </xf>
    <xf numFmtId="10" fontId="3" fillId="3" borderId="9" xfId="0" applyNumberFormat="1" applyFont="1" applyFill="1" applyBorder="1" applyAlignment="1" applyProtection="1">
      <alignment horizontal="left"/>
      <protection locked="0"/>
    </xf>
    <xf numFmtId="164" fontId="3" fillId="2" borderId="9" xfId="0" applyNumberFormat="1" applyFont="1" applyFill="1" applyBorder="1" applyAlignment="1" applyProtection="1">
      <alignment horizontal="left"/>
      <protection locked="0"/>
    </xf>
    <xf numFmtId="10" fontId="3" fillId="3" borderId="10" xfId="0" applyNumberFormat="1" applyFont="1" applyFill="1" applyBorder="1" applyAlignment="1" applyProtection="1">
      <alignment horizontal="left"/>
      <protection locked="0"/>
    </xf>
    <xf numFmtId="164" fontId="3" fillId="2" borderId="10" xfId="0" applyNumberFormat="1" applyFont="1" applyFill="1" applyBorder="1" applyAlignment="1" applyProtection="1">
      <alignment horizontal="left"/>
      <protection locked="0"/>
    </xf>
    <xf numFmtId="10" fontId="3" fillId="3" borderId="15" xfId="0" applyNumberFormat="1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 applyProtection="1">
      <alignment horizontal="left"/>
      <protection locked="0"/>
    </xf>
    <xf numFmtId="10" fontId="3" fillId="6" borderId="5" xfId="1" applyNumberFormat="1" applyFont="1" applyFill="1" applyBorder="1" applyAlignment="1" applyProtection="1">
      <alignment horizontal="center"/>
      <protection locked="0"/>
    </xf>
    <xf numFmtId="0" fontId="2" fillId="5" borderId="2" xfId="0" applyFont="1" applyFill="1" applyBorder="1" applyAlignment="1">
      <alignment horizontal="center"/>
    </xf>
    <xf numFmtId="0" fontId="3" fillId="5" borderId="3" xfId="0" applyFont="1" applyFill="1" applyBorder="1" applyAlignment="1" applyProtection="1">
      <alignment horizontal="center"/>
      <protection locked="0"/>
    </xf>
    <xf numFmtId="10" fontId="3" fillId="6" borderId="7" xfId="1" applyNumberFormat="1" applyFont="1" applyFill="1" applyBorder="1" applyAlignment="1" applyProtection="1">
      <alignment horizontal="center"/>
      <protection locked="0"/>
    </xf>
    <xf numFmtId="0" fontId="3" fillId="5" borderId="7" xfId="0" applyFont="1" applyFill="1" applyBorder="1" applyAlignment="1" applyProtection="1">
      <alignment horizontal="center"/>
      <protection locked="0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</cellXfs>
  <cellStyles count="2">
    <cellStyle name="Normal" xfId="0" builtinId="0"/>
    <cellStyle name="Percent" xfId="1" builtinId="5"/>
  </cellStyles>
  <dxfs count="7">
    <dxf>
      <font>
        <color rgb="FF9C0006"/>
      </font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b/>
        <i/>
      </font>
      <fill>
        <patternFill>
          <bgColor theme="0" tint="-4.9989318521683403E-2"/>
        </patternFill>
      </fill>
    </dxf>
    <dxf>
      <font>
        <b/>
        <i/>
      </font>
      <fill>
        <patternFill>
          <bgColor theme="9" tint="0.59996337778862885"/>
        </patternFill>
      </fill>
    </dxf>
    <dxf>
      <font>
        <b/>
        <i/>
        <u val="double"/>
      </font>
      <fill>
        <patternFill>
          <bgColor rgb="FF00B050"/>
        </patternFill>
      </fill>
    </dxf>
    <dxf>
      <font>
        <color theme="0" tint="-0.499984740745262"/>
      </font>
      <fill>
        <patternFill>
          <bgColor theme="0" tint="-0.34998626667073579"/>
        </patternFill>
      </fill>
    </dxf>
  </dxfs>
  <tableStyles count="0" defaultTableStyle="TableStyleMedium2" defaultPivotStyle="PivotStyleLight16"/>
  <colors>
    <mruColors>
      <color rgb="FFC80000"/>
      <color rgb="FF96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ctrlProps/ctrlProp1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3676650</xdr:colOff>
          <xdr:row>110</xdr:row>
          <xdr:rowOff>161925</xdr:rowOff>
        </xdr:from>
        <xdr:to>
          <xdr:col>10</xdr:col>
          <xdr:colOff>9525</xdr:colOff>
          <xdr:row>114</xdr:row>
          <xdr:rowOff>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IN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PRINT THIS PAGE</a:t>
              </a:r>
            </a:p>
          </xdr:txBody>
        </xdr:sp>
        <xdr:clientData fPrintsWithSheet="0"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>
  <person displayName="Naveenkumar" id="{3093248D-1E2F-4DCB-89A3-46C9B522FA53}" userId="S::naveenkumar@metamation.com::a6891bee-00dd-4bf5-97f5-6ef0eb222f35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5" dT="2025-08-10T17:44:02.06" personId="{3093248D-1E2F-4DCB-89A3-46C9B522FA53}" id="{C2CF4C27-CC88-4AED-A439-B713356409F1}">
    <text>Used for Annual SWP withdrawal calculation.</text>
  </threadedComment>
  <threadedComment ref="C25" dT="2025-08-10T17:43:09.37" personId="{3093248D-1E2F-4DCB-89A3-46C9B522FA53}" id="{1009532E-AF5E-4475-A3B1-59481A972DBF}">
    <text>Used for Annual SWP withdrawal calculation.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3" dT="2024-07-23T13:32:28.30" personId="{3093248D-1E2F-4DCB-89A3-46C9B522FA53}" id="{27C1B6D3-3DEC-49A5-8A83-BEF2369533D2}">
    <text>Delete an event from computation? 
In the respective row, select the cell under "Age" field and press delete key.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L109"/>
  <sheetViews>
    <sheetView zoomScale="89" workbookViewId="0">
      <selection activeCell="E13" sqref="E13"/>
    </sheetView>
  </sheetViews>
  <sheetFormatPr defaultColWidth="41.28515625" defaultRowHeight="15" x14ac:dyDescent="0.25"/>
  <cols>
    <col min="1" max="1" width="55.5703125" bestFit="1" customWidth="1"/>
    <col min="2" max="2" width="9.140625" bestFit="1" customWidth="1"/>
    <col min="3" max="3" width="7.7109375" bestFit="1" customWidth="1"/>
    <col min="4" max="5" width="18.5703125" bestFit="1" customWidth="1"/>
    <col min="6" max="6" width="21.140625" customWidth="1"/>
    <col min="7" max="7" width="49.5703125" bestFit="1" customWidth="1"/>
    <col min="8" max="8" width="16" bestFit="1" customWidth="1"/>
    <col min="9" max="9" width="25.42578125" bestFit="1" customWidth="1"/>
    <col min="10" max="10" width="16.7109375" bestFit="1" customWidth="1"/>
    <col min="11" max="12" width="16" bestFit="1" customWidth="1"/>
  </cols>
  <sheetData>
    <row r="1" spans="1:12" x14ac:dyDescent="0.25">
      <c r="A1" t="s">
        <v>70</v>
      </c>
    </row>
    <row r="2" spans="1:12" x14ac:dyDescent="0.25">
      <c r="A2" t="s">
        <v>69</v>
      </c>
    </row>
    <row r="3" spans="1:12" x14ac:dyDescent="0.25">
      <c r="A3" t="s">
        <v>84</v>
      </c>
    </row>
    <row r="4" spans="1:12" x14ac:dyDescent="0.25">
      <c r="A4" t="s">
        <v>85</v>
      </c>
    </row>
    <row r="5" spans="1:12" x14ac:dyDescent="0.25">
      <c r="K5" s="4"/>
      <c r="L5" s="4"/>
    </row>
    <row r="6" spans="1:12" ht="15.75" thickBot="1" x14ac:dyDescent="0.3"/>
    <row r="7" spans="1:12" ht="21" x14ac:dyDescent="0.35">
      <c r="B7" s="33" t="s">
        <v>4</v>
      </c>
      <c r="C7" s="34" t="s">
        <v>15</v>
      </c>
      <c r="D7" s="34" t="s">
        <v>59</v>
      </c>
      <c r="E7" s="35" t="s">
        <v>60</v>
      </c>
      <c r="F7" s="34" t="s">
        <v>33</v>
      </c>
      <c r="G7" s="34" t="s">
        <v>58</v>
      </c>
      <c r="H7" s="34" t="s">
        <v>93</v>
      </c>
      <c r="I7" s="34" t="s">
        <v>86</v>
      </c>
      <c r="J7" s="34" t="s">
        <v>35</v>
      </c>
      <c r="K7" s="36" t="s">
        <v>13</v>
      </c>
    </row>
    <row r="8" spans="1:12" x14ac:dyDescent="0.25">
      <c r="B8" s="1"/>
      <c r="K8" s="2"/>
    </row>
    <row r="9" spans="1:12" x14ac:dyDescent="0.25">
      <c r="B9" s="3">
        <f ca="1">YEAR(TODAY())</f>
        <v>2025</v>
      </c>
      <c r="C9" s="4">
        <f ca="1">userAge+1</f>
        <v>34</v>
      </c>
      <c r="D9" s="5">
        <f>ROUND(userCurrentSavings-userCurrentLiabilities, 0)</f>
        <v>1000000</v>
      </c>
      <c r="E9" s="14">
        <f>userAnnualSavings</f>
        <v>600000</v>
      </c>
      <c r="F9" s="5">
        <f ca="1">-SUMIFS('Input-Events'!H$4:H$106, 'Input-Events'!E$4:E$106, $C9)</f>
        <v>0</v>
      </c>
      <c r="G9" s="4" t="str" cm="1">
        <f t="array" aca="1" ref="G9" ca="1">_xlfn.TEXTJOIN(", ", TRUE, IF('Input-Events'!E$4:E$106=$C9, 'Input-Events'!D$4:D$106, ""))</f>
        <v/>
      </c>
      <c r="H9" s="5">
        <f t="shared" ref="H9:H40" ca="1" si="0">IF(AND($C9&gt;userRetirementAge, SUM($E9, swpLTCGExemption, swpOtherTaxExemptions) &lt; 0), (-SUM($E9, swpLTCGExemption, swpOtherTaxExemptions))*swpLTCGTaxPercentage, 0)</f>
        <v>0</v>
      </c>
      <c r="I9" s="5">
        <f ca="1">$D9+$E9+$F9-$H9</f>
        <v>1600000</v>
      </c>
      <c r="J9" s="5">
        <f t="shared" ref="J9:J40" ca="1" si="1">ROUND(IF($C9&gt;=userRetirementAge, IF($I9&gt;0, $I9*annualEffectivePostRetirementROI, 0), IF($I9&gt;0, $I9*annualEffectiveROI, 0)), 0)</f>
        <v>192000</v>
      </c>
      <c r="K9" s="6">
        <f t="shared" ref="K9:K40" ca="1" si="2">ROUND(I9+J9, 0)</f>
        <v>1792000</v>
      </c>
    </row>
    <row r="10" spans="1:12" x14ac:dyDescent="0.25">
      <c r="B10" s="3">
        <f t="shared" ref="B10:B41" ca="1" si="3">B9+1</f>
        <v>2026</v>
      </c>
      <c r="C10" s="4">
        <f t="shared" ref="C10:C41" ca="1" si="4">C9+1</f>
        <v>35</v>
      </c>
      <c r="D10" s="5">
        <f t="shared" ref="D10:D41" ca="1" si="5">ROUND(K9, 0)</f>
        <v>1792000</v>
      </c>
      <c r="E10" s="14">
        <f t="shared" ref="E10:E41" ca="1" si="6">ROUND(IF($C10&gt;userRetirementAge, IF($D10&gt;0,-FV(annualChangeInSWP, $C10-userRetirementAge-1, 0, -annualWithdrawalSWP_FV, 1), 0), E9+E9*(annualIncreaseInSavings)), 0)</f>
        <v>630000</v>
      </c>
      <c r="F10" s="5">
        <f ca="1">-SUMIFS('Input-Events'!H$4:H$106, 'Input-Events'!E$4:E$106, $C10)</f>
        <v>-521000</v>
      </c>
      <c r="G10" s="4" t="str" cm="1">
        <f t="array" aca="1" ref="G10" ca="1">_xlfn.TEXTJOIN(", ", TRUE, IF('Input-Events'!E$4:E$106=$C10, 'Input-Events'!D$4:D$106, ""))</f>
        <v>International Trip</v>
      </c>
      <c r="H10" s="5">
        <f t="shared" ca="1" si="0"/>
        <v>0</v>
      </c>
      <c r="I10" s="5">
        <f t="shared" ref="I10:I73" ca="1" si="7">$D10+$E10+$F10-$H10</f>
        <v>1901000</v>
      </c>
      <c r="J10" s="5">
        <f t="shared" ca="1" si="1"/>
        <v>228120</v>
      </c>
      <c r="K10" s="6">
        <f t="shared" ca="1" si="2"/>
        <v>2129120</v>
      </c>
    </row>
    <row r="11" spans="1:12" x14ac:dyDescent="0.25">
      <c r="B11" s="3">
        <f t="shared" ca="1" si="3"/>
        <v>2027</v>
      </c>
      <c r="C11" s="4">
        <f t="shared" ca="1" si="4"/>
        <v>36</v>
      </c>
      <c r="D11" s="5">
        <f t="shared" ca="1" si="5"/>
        <v>2129120</v>
      </c>
      <c r="E11" s="14">
        <f t="shared" ca="1" si="6"/>
        <v>661500</v>
      </c>
      <c r="F11" s="5">
        <f ca="1">-SUMIFS('Input-Events'!H$4:H$106, 'Input-Events'!E$4:E$106, $C11)</f>
        <v>0</v>
      </c>
      <c r="G11" s="4" t="str" cm="1">
        <f t="array" aca="1" ref="G11" ca="1">_xlfn.TEXTJOIN(", ", TRUE, IF('Input-Events'!E$4:E$106=$C11, 'Input-Events'!D$4:D$106, ""))</f>
        <v/>
      </c>
      <c r="H11" s="5">
        <f t="shared" ca="1" si="0"/>
        <v>0</v>
      </c>
      <c r="I11" s="5">
        <f t="shared" ca="1" si="7"/>
        <v>2790620</v>
      </c>
      <c r="J11" s="5">
        <f t="shared" ca="1" si="1"/>
        <v>334874</v>
      </c>
      <c r="K11" s="6">
        <f t="shared" ca="1" si="2"/>
        <v>3125494</v>
      </c>
    </row>
    <row r="12" spans="1:12" x14ac:dyDescent="0.25">
      <c r="B12" s="3">
        <f t="shared" ca="1" si="3"/>
        <v>2028</v>
      </c>
      <c r="C12" s="4">
        <f t="shared" ca="1" si="4"/>
        <v>37</v>
      </c>
      <c r="D12" s="5">
        <f t="shared" ca="1" si="5"/>
        <v>3125494</v>
      </c>
      <c r="E12" s="14">
        <f t="shared" ca="1" si="6"/>
        <v>694575</v>
      </c>
      <c r="F12" s="5">
        <f ca="1">-SUMIFS('Input-Events'!H$4:H$106, 'Input-Events'!E$4:E$106, $C12)</f>
        <v>0</v>
      </c>
      <c r="G12" s="4" t="str" cm="1">
        <f t="array" aca="1" ref="G12" ca="1">_xlfn.TEXTJOIN(", ", TRUE, IF('Input-Events'!E$4:E$106=$C12, 'Input-Events'!D$4:D$106, ""))</f>
        <v/>
      </c>
      <c r="H12" s="5">
        <f t="shared" ca="1" si="0"/>
        <v>0</v>
      </c>
      <c r="I12" s="5">
        <f t="shared" ca="1" si="7"/>
        <v>3820069</v>
      </c>
      <c r="J12" s="5">
        <f t="shared" ca="1" si="1"/>
        <v>458408</v>
      </c>
      <c r="K12" s="6">
        <f t="shared" ca="1" si="2"/>
        <v>4278477</v>
      </c>
    </row>
    <row r="13" spans="1:12" x14ac:dyDescent="0.25">
      <c r="B13" s="3">
        <f t="shared" ca="1" si="3"/>
        <v>2029</v>
      </c>
      <c r="C13" s="4">
        <f t="shared" ca="1" si="4"/>
        <v>38</v>
      </c>
      <c r="D13" s="5">
        <f t="shared" ca="1" si="5"/>
        <v>4278477</v>
      </c>
      <c r="E13" s="14">
        <f t="shared" ca="1" si="6"/>
        <v>729304</v>
      </c>
      <c r="F13" s="5">
        <f ca="1">-SUMIFS('Input-Events'!H$4:H$106, 'Input-Events'!E$4:E$106, $C13)</f>
        <v>-1277000</v>
      </c>
      <c r="G13" s="4" t="str" cm="1">
        <f t="array" aca="1" ref="G13" ca="1">_xlfn.TEXTJOIN(", ", TRUE, IF('Input-Events'!E$4:E$106=$C13, 'Input-Events'!D$4:D$106, ""))</f>
        <v>Car</v>
      </c>
      <c r="H13" s="5">
        <f t="shared" ca="1" si="0"/>
        <v>0</v>
      </c>
      <c r="I13" s="5">
        <f t="shared" ca="1" si="7"/>
        <v>3730781</v>
      </c>
      <c r="J13" s="5">
        <f t="shared" ca="1" si="1"/>
        <v>447694</v>
      </c>
      <c r="K13" s="6">
        <f t="shared" ca="1" si="2"/>
        <v>4178475</v>
      </c>
    </row>
    <row r="14" spans="1:12" x14ac:dyDescent="0.25">
      <c r="B14" s="3">
        <f t="shared" ca="1" si="3"/>
        <v>2030</v>
      </c>
      <c r="C14" s="4">
        <f t="shared" ca="1" si="4"/>
        <v>39</v>
      </c>
      <c r="D14" s="5">
        <f t="shared" ca="1" si="5"/>
        <v>4178475</v>
      </c>
      <c r="E14" s="14">
        <f t="shared" ca="1" si="6"/>
        <v>765769</v>
      </c>
      <c r="F14" s="5">
        <f ca="1">-SUMIFS('Input-Events'!H$4:H$106, 'Input-Events'!E$4:E$106, $C14)</f>
        <v>0</v>
      </c>
      <c r="G14" s="4" t="str" cm="1">
        <f t="array" aca="1" ref="G14" ca="1">_xlfn.TEXTJOIN(", ", TRUE, IF('Input-Events'!E$4:E$106=$C14, 'Input-Events'!D$4:D$106, ""))</f>
        <v/>
      </c>
      <c r="H14" s="5">
        <f t="shared" ca="1" si="0"/>
        <v>0</v>
      </c>
      <c r="I14" s="5">
        <f t="shared" ca="1" si="7"/>
        <v>4944244</v>
      </c>
      <c r="J14" s="5">
        <f t="shared" ca="1" si="1"/>
        <v>593309</v>
      </c>
      <c r="K14" s="6">
        <f t="shared" ca="1" si="2"/>
        <v>5537553</v>
      </c>
    </row>
    <row r="15" spans="1:12" x14ac:dyDescent="0.25">
      <c r="B15" s="3">
        <f t="shared" ca="1" si="3"/>
        <v>2031</v>
      </c>
      <c r="C15" s="4">
        <f t="shared" ca="1" si="4"/>
        <v>40</v>
      </c>
      <c r="D15" s="5">
        <f t="shared" ca="1" si="5"/>
        <v>5537553</v>
      </c>
      <c r="E15" s="14">
        <f t="shared" ca="1" si="6"/>
        <v>804057</v>
      </c>
      <c r="F15" s="5">
        <f ca="1">-SUMIFS('Input-Events'!H$4:H$106, 'Input-Events'!E$4:E$106, $C15)</f>
        <v>500000</v>
      </c>
      <c r="G15" s="4" t="str" cm="1">
        <f t="array" aca="1" ref="G15" ca="1">_xlfn.TEXTJOIN(", ", TRUE, IF('Input-Events'!E$4:E$106=$C15, 'Input-Events'!D$4:D$106, ""))</f>
        <v>Children Education, PPF Maturity, Insurance Maturity</v>
      </c>
      <c r="H15" s="5">
        <f t="shared" ca="1" si="0"/>
        <v>0</v>
      </c>
      <c r="I15" s="5">
        <f t="shared" ca="1" si="7"/>
        <v>6841610</v>
      </c>
      <c r="J15" s="5">
        <f t="shared" ca="1" si="1"/>
        <v>820993</v>
      </c>
      <c r="K15" s="6">
        <f t="shared" ca="1" si="2"/>
        <v>7662603</v>
      </c>
    </row>
    <row r="16" spans="1:12" x14ac:dyDescent="0.25">
      <c r="B16" s="3">
        <f t="shared" ca="1" si="3"/>
        <v>2032</v>
      </c>
      <c r="C16" s="4">
        <f t="shared" ca="1" si="4"/>
        <v>41</v>
      </c>
      <c r="D16" s="5">
        <f t="shared" ca="1" si="5"/>
        <v>7662603</v>
      </c>
      <c r="E16" s="14">
        <f t="shared" ca="1" si="6"/>
        <v>844260</v>
      </c>
      <c r="F16" s="5">
        <f ca="1">-SUMIFS('Input-Events'!H$4:H$106, 'Input-Events'!E$4:E$106, $C16)</f>
        <v>0</v>
      </c>
      <c r="G16" s="4" t="str" cm="1">
        <f t="array" aca="1" ref="G16" ca="1">_xlfn.TEXTJOIN(", ", TRUE, IF('Input-Events'!E$4:E$106=$C16, 'Input-Events'!D$4:D$106, ""))</f>
        <v/>
      </c>
      <c r="H16" s="5">
        <f t="shared" ca="1" si="0"/>
        <v>0</v>
      </c>
      <c r="I16" s="5">
        <f t="shared" ca="1" si="7"/>
        <v>8506863</v>
      </c>
      <c r="J16" s="5">
        <f t="shared" ca="1" si="1"/>
        <v>1020824</v>
      </c>
      <c r="K16" s="6">
        <f t="shared" ca="1" si="2"/>
        <v>9527687</v>
      </c>
    </row>
    <row r="17" spans="2:11" x14ac:dyDescent="0.25">
      <c r="B17" s="3">
        <f t="shared" ca="1" si="3"/>
        <v>2033</v>
      </c>
      <c r="C17" s="4">
        <f t="shared" ca="1" si="4"/>
        <v>42</v>
      </c>
      <c r="D17" s="5">
        <f t="shared" ca="1" si="5"/>
        <v>9527687</v>
      </c>
      <c r="E17" s="14">
        <f t="shared" ca="1" si="6"/>
        <v>886473</v>
      </c>
      <c r="F17" s="5">
        <f ca="1">-SUMIFS('Input-Events'!H$4:H$106, 'Input-Events'!E$4:E$106, $C17)</f>
        <v>0</v>
      </c>
      <c r="G17" s="4" t="str" cm="1">
        <f t="array" aca="1" ref="G17" ca="1">_xlfn.TEXTJOIN(", ", TRUE, IF('Input-Events'!E$4:E$106=$C17, 'Input-Events'!D$4:D$106, ""))</f>
        <v/>
      </c>
      <c r="H17" s="5">
        <f t="shared" ca="1" si="0"/>
        <v>0</v>
      </c>
      <c r="I17" s="5">
        <f t="shared" ca="1" si="7"/>
        <v>10414160</v>
      </c>
      <c r="J17" s="5">
        <f t="shared" ca="1" si="1"/>
        <v>1249699</v>
      </c>
      <c r="K17" s="6">
        <f t="shared" ca="1" si="2"/>
        <v>11663859</v>
      </c>
    </row>
    <row r="18" spans="2:11" x14ac:dyDescent="0.25">
      <c r="B18" s="3">
        <f t="shared" ca="1" si="3"/>
        <v>2034</v>
      </c>
      <c r="C18" s="4">
        <f t="shared" ca="1" si="4"/>
        <v>43</v>
      </c>
      <c r="D18" s="5">
        <f t="shared" ca="1" si="5"/>
        <v>11663859</v>
      </c>
      <c r="E18" s="14">
        <f t="shared" ca="1" si="6"/>
        <v>930797</v>
      </c>
      <c r="F18" s="5">
        <f ca="1">-SUMIFS('Input-Events'!H$4:H$106, 'Input-Events'!E$4:E$106, $C18)</f>
        <v>0</v>
      </c>
      <c r="G18" s="4" t="str" cm="1">
        <f t="array" aca="1" ref="G18" ca="1">_xlfn.TEXTJOIN(", ", TRUE, IF('Input-Events'!E$4:E$106=$C18, 'Input-Events'!D$4:D$106, ""))</f>
        <v/>
      </c>
      <c r="H18" s="5">
        <f t="shared" ca="1" si="0"/>
        <v>0</v>
      </c>
      <c r="I18" s="5">
        <f t="shared" ca="1" si="7"/>
        <v>12594656</v>
      </c>
      <c r="J18" s="5">
        <f t="shared" ca="1" si="1"/>
        <v>1511359</v>
      </c>
      <c r="K18" s="6">
        <f t="shared" ca="1" si="2"/>
        <v>14106015</v>
      </c>
    </row>
    <row r="19" spans="2:11" x14ac:dyDescent="0.25">
      <c r="B19" s="3">
        <f t="shared" ca="1" si="3"/>
        <v>2035</v>
      </c>
      <c r="C19" s="4">
        <f t="shared" ca="1" si="4"/>
        <v>44</v>
      </c>
      <c r="D19" s="5">
        <f t="shared" ca="1" si="5"/>
        <v>14106015</v>
      </c>
      <c r="E19" s="14">
        <f t="shared" ca="1" si="6"/>
        <v>977337</v>
      </c>
      <c r="F19" s="5">
        <f ca="1">-SUMIFS('Input-Events'!H$4:H$106, 'Input-Events'!E$4:E$106, $C19)</f>
        <v>0</v>
      </c>
      <c r="G19" s="4" t="str" cm="1">
        <f t="array" aca="1" ref="G19" ca="1">_xlfn.TEXTJOIN(", ", TRUE, IF('Input-Events'!E$4:E$106=$C19, 'Input-Events'!D$4:D$106, ""))</f>
        <v/>
      </c>
      <c r="H19" s="5">
        <f t="shared" ca="1" si="0"/>
        <v>0</v>
      </c>
      <c r="I19" s="5">
        <f t="shared" ca="1" si="7"/>
        <v>15083352</v>
      </c>
      <c r="J19" s="5">
        <f t="shared" ca="1" si="1"/>
        <v>1810002</v>
      </c>
      <c r="K19" s="6">
        <f t="shared" ca="1" si="2"/>
        <v>16893354</v>
      </c>
    </row>
    <row r="20" spans="2:11" x14ac:dyDescent="0.25">
      <c r="B20" s="3">
        <f t="shared" ca="1" si="3"/>
        <v>2036</v>
      </c>
      <c r="C20" s="4">
        <f t="shared" ca="1" si="4"/>
        <v>45</v>
      </c>
      <c r="D20" s="5">
        <f t="shared" ca="1" si="5"/>
        <v>16893354</v>
      </c>
      <c r="E20" s="14">
        <f t="shared" ca="1" si="6"/>
        <v>1026204</v>
      </c>
      <c r="F20" s="5">
        <f ca="1">-SUMIFS('Input-Events'!H$4:H$106, 'Input-Events'!E$4:E$106, $C20)</f>
        <v>0</v>
      </c>
      <c r="G20" s="4" t="str" cm="1">
        <f t="array" aca="1" ref="G20" ca="1">_xlfn.TEXTJOIN(", ", TRUE, IF('Input-Events'!E$4:E$106=$C20, 'Input-Events'!D$4:D$106, ""))</f>
        <v/>
      </c>
      <c r="H20" s="5">
        <f t="shared" ca="1" si="0"/>
        <v>0</v>
      </c>
      <c r="I20" s="5">
        <f t="shared" ca="1" si="7"/>
        <v>17919558</v>
      </c>
      <c r="J20" s="5">
        <f t="shared" ca="1" si="1"/>
        <v>2150347</v>
      </c>
      <c r="K20" s="6">
        <f t="shared" ca="1" si="2"/>
        <v>20069905</v>
      </c>
    </row>
    <row r="21" spans="2:11" x14ac:dyDescent="0.25">
      <c r="B21" s="3">
        <f t="shared" ca="1" si="3"/>
        <v>2037</v>
      </c>
      <c r="C21" s="4">
        <f t="shared" ca="1" si="4"/>
        <v>46</v>
      </c>
      <c r="D21" s="5">
        <f t="shared" ca="1" si="5"/>
        <v>20069905</v>
      </c>
      <c r="E21" s="14">
        <f t="shared" ca="1" si="6"/>
        <v>1077514</v>
      </c>
      <c r="F21" s="5">
        <f ca="1">-SUMIFS('Input-Events'!H$4:H$106, 'Input-Events'!E$4:E$106, $C21)</f>
        <v>0</v>
      </c>
      <c r="G21" s="4" t="str" cm="1">
        <f t="array" aca="1" ref="G21" ca="1">_xlfn.TEXTJOIN(", ", TRUE, IF('Input-Events'!E$4:E$106=$C21, 'Input-Events'!D$4:D$106, ""))</f>
        <v/>
      </c>
      <c r="H21" s="5">
        <f t="shared" ca="1" si="0"/>
        <v>0</v>
      </c>
      <c r="I21" s="5">
        <f t="shared" ca="1" si="7"/>
        <v>21147419</v>
      </c>
      <c r="J21" s="5">
        <f t="shared" ca="1" si="1"/>
        <v>2537690</v>
      </c>
      <c r="K21" s="6">
        <f t="shared" ca="1" si="2"/>
        <v>23685109</v>
      </c>
    </row>
    <row r="22" spans="2:11" x14ac:dyDescent="0.25">
      <c r="B22" s="3">
        <f t="shared" ca="1" si="3"/>
        <v>2038</v>
      </c>
      <c r="C22" s="4">
        <f t="shared" ca="1" si="4"/>
        <v>47</v>
      </c>
      <c r="D22" s="5">
        <f t="shared" ca="1" si="5"/>
        <v>23685109</v>
      </c>
      <c r="E22" s="14">
        <f t="shared" ca="1" si="6"/>
        <v>1131390</v>
      </c>
      <c r="F22" s="5">
        <f ca="1">-SUMIFS('Input-Events'!H$4:H$106, 'Input-Events'!E$4:E$106, $C22)</f>
        <v>0</v>
      </c>
      <c r="G22" s="4" t="str" cm="1">
        <f t="array" aca="1" ref="G22" ca="1">_xlfn.TEXTJOIN(", ", TRUE, IF('Input-Events'!E$4:E$106=$C22, 'Input-Events'!D$4:D$106, ""))</f>
        <v/>
      </c>
      <c r="H22" s="5">
        <f t="shared" ca="1" si="0"/>
        <v>0</v>
      </c>
      <c r="I22" s="5">
        <f t="shared" ca="1" si="7"/>
        <v>24816499</v>
      </c>
      <c r="J22" s="5">
        <f t="shared" ca="1" si="1"/>
        <v>2977980</v>
      </c>
      <c r="K22" s="6">
        <f t="shared" ca="1" si="2"/>
        <v>27794479</v>
      </c>
    </row>
    <row r="23" spans="2:11" x14ac:dyDescent="0.25">
      <c r="B23" s="3">
        <f t="shared" ca="1" si="3"/>
        <v>2039</v>
      </c>
      <c r="C23" s="4">
        <f t="shared" ca="1" si="4"/>
        <v>48</v>
      </c>
      <c r="D23" s="5">
        <f t="shared" ca="1" si="5"/>
        <v>27794479</v>
      </c>
      <c r="E23" s="14">
        <f t="shared" ca="1" si="6"/>
        <v>1187960</v>
      </c>
      <c r="F23" s="5">
        <f ca="1">-SUMIFS('Input-Events'!H$4:H$106, 'Input-Events'!E$4:E$106, $C23)</f>
        <v>0</v>
      </c>
      <c r="G23" s="4" t="str" cm="1">
        <f t="array" aca="1" ref="G23" ca="1">_xlfn.TEXTJOIN(", ", TRUE, IF('Input-Events'!E$4:E$106=$C23, 'Input-Events'!D$4:D$106, ""))</f>
        <v/>
      </c>
      <c r="H23" s="5">
        <f t="shared" ca="1" si="0"/>
        <v>0</v>
      </c>
      <c r="I23" s="5">
        <f t="shared" ca="1" si="7"/>
        <v>28982439</v>
      </c>
      <c r="J23" s="5">
        <f t="shared" ca="1" si="1"/>
        <v>3477893</v>
      </c>
      <c r="K23" s="6">
        <f t="shared" ca="1" si="2"/>
        <v>32460332</v>
      </c>
    </row>
    <row r="24" spans="2:11" x14ac:dyDescent="0.25">
      <c r="B24" s="3">
        <f t="shared" ca="1" si="3"/>
        <v>2040</v>
      </c>
      <c r="C24" s="4">
        <f t="shared" ca="1" si="4"/>
        <v>49</v>
      </c>
      <c r="D24" s="5">
        <f t="shared" ca="1" si="5"/>
        <v>32460332</v>
      </c>
      <c r="E24" s="14">
        <f t="shared" ca="1" si="6"/>
        <v>1247358</v>
      </c>
      <c r="F24" s="5">
        <f ca="1">-SUMIFS('Input-Events'!H$4:H$106, 'Input-Events'!E$4:E$106, $C24)</f>
        <v>0</v>
      </c>
      <c r="G24" s="4" t="str" cm="1">
        <f t="array" aca="1" ref="G24" ca="1">_xlfn.TEXTJOIN(", ", TRUE, IF('Input-Events'!E$4:E$106=$C24, 'Input-Events'!D$4:D$106, ""))</f>
        <v/>
      </c>
      <c r="H24" s="5">
        <f t="shared" ca="1" si="0"/>
        <v>0</v>
      </c>
      <c r="I24" s="5">
        <f t="shared" ca="1" si="7"/>
        <v>33707690</v>
      </c>
      <c r="J24" s="5">
        <f t="shared" ca="1" si="1"/>
        <v>4044923</v>
      </c>
      <c r="K24" s="6">
        <f t="shared" ca="1" si="2"/>
        <v>37752613</v>
      </c>
    </row>
    <row r="25" spans="2:11" x14ac:dyDescent="0.25">
      <c r="B25" s="3">
        <f t="shared" ca="1" si="3"/>
        <v>2041</v>
      </c>
      <c r="C25" s="4">
        <f t="shared" ca="1" si="4"/>
        <v>50</v>
      </c>
      <c r="D25" s="5">
        <f t="shared" ca="1" si="5"/>
        <v>37752613</v>
      </c>
      <c r="E25" s="14">
        <f t="shared" ca="1" si="6"/>
        <v>1309726</v>
      </c>
      <c r="F25" s="5">
        <f ca="1">-SUMIFS('Input-Events'!H$4:H$106, 'Input-Events'!E$4:E$106, $C25)</f>
        <v>-8265000</v>
      </c>
      <c r="G25" s="4" t="str" cm="1">
        <f t="array" aca="1" ref="G25" ca="1">_xlfn.TEXTJOIN(", ", TRUE, IF('Input-Events'!E$4:E$106=$C25, 'Input-Events'!D$4:D$106, ""))</f>
        <v>Home</v>
      </c>
      <c r="H25" s="5">
        <f t="shared" ca="1" si="0"/>
        <v>0</v>
      </c>
      <c r="I25" s="5">
        <f t="shared" ca="1" si="7"/>
        <v>30797339</v>
      </c>
      <c r="J25" s="5">
        <f t="shared" ca="1" si="1"/>
        <v>3695681</v>
      </c>
      <c r="K25" s="6">
        <f t="shared" ca="1" si="2"/>
        <v>34493020</v>
      </c>
    </row>
    <row r="26" spans="2:11" x14ac:dyDescent="0.25">
      <c r="B26" s="3">
        <f t="shared" ca="1" si="3"/>
        <v>2042</v>
      </c>
      <c r="C26" s="4">
        <f t="shared" ca="1" si="4"/>
        <v>51</v>
      </c>
      <c r="D26" s="5">
        <f t="shared" ca="1" si="5"/>
        <v>34493020</v>
      </c>
      <c r="E26" s="14">
        <f t="shared" ca="1" si="6"/>
        <v>1375212</v>
      </c>
      <c r="F26" s="5">
        <f ca="1">-SUMIFS('Input-Events'!H$4:H$106, 'Input-Events'!E$4:E$106, $C26)</f>
        <v>0</v>
      </c>
      <c r="G26" s="4" t="str" cm="1">
        <f t="array" aca="1" ref="G26" ca="1">_xlfn.TEXTJOIN(", ", TRUE, IF('Input-Events'!E$4:E$106=$C26, 'Input-Events'!D$4:D$106, ""))</f>
        <v/>
      </c>
      <c r="H26" s="5">
        <f t="shared" ca="1" si="0"/>
        <v>0</v>
      </c>
      <c r="I26" s="5">
        <f t="shared" ca="1" si="7"/>
        <v>35868232</v>
      </c>
      <c r="J26" s="5">
        <f t="shared" ca="1" si="1"/>
        <v>4304188</v>
      </c>
      <c r="K26" s="6">
        <f t="shared" ca="1" si="2"/>
        <v>40172420</v>
      </c>
    </row>
    <row r="27" spans="2:11" x14ac:dyDescent="0.25">
      <c r="B27" s="3">
        <f t="shared" ca="1" si="3"/>
        <v>2043</v>
      </c>
      <c r="C27" s="4">
        <f t="shared" ca="1" si="4"/>
        <v>52</v>
      </c>
      <c r="D27" s="5">
        <f t="shared" ca="1" si="5"/>
        <v>40172420</v>
      </c>
      <c r="E27" s="14">
        <f t="shared" ca="1" si="6"/>
        <v>1443973</v>
      </c>
      <c r="F27" s="5">
        <f ca="1">-SUMIFS('Input-Events'!H$4:H$106, 'Input-Events'!E$4:E$106, $C27)</f>
        <v>0</v>
      </c>
      <c r="G27" s="4" t="str" cm="1">
        <f t="array" aca="1" ref="G27" ca="1">_xlfn.TEXTJOIN(", ", TRUE, IF('Input-Events'!E$4:E$106=$C27, 'Input-Events'!D$4:D$106, ""))</f>
        <v/>
      </c>
      <c r="H27" s="5">
        <f t="shared" ca="1" si="0"/>
        <v>0</v>
      </c>
      <c r="I27" s="5">
        <f t="shared" ca="1" si="7"/>
        <v>41616393</v>
      </c>
      <c r="J27" s="5">
        <f t="shared" ca="1" si="1"/>
        <v>4993967</v>
      </c>
      <c r="K27" s="6">
        <f t="shared" ca="1" si="2"/>
        <v>46610360</v>
      </c>
    </row>
    <row r="28" spans="2:11" x14ac:dyDescent="0.25">
      <c r="B28" s="3">
        <f t="shared" ca="1" si="3"/>
        <v>2044</v>
      </c>
      <c r="C28" s="4">
        <f t="shared" ca="1" si="4"/>
        <v>53</v>
      </c>
      <c r="D28" s="5">
        <f t="shared" ca="1" si="5"/>
        <v>46610360</v>
      </c>
      <c r="E28" s="14">
        <f t="shared" ca="1" si="6"/>
        <v>1516172</v>
      </c>
      <c r="F28" s="5">
        <f ca="1">-SUMIFS('Input-Events'!H$4:H$106, 'Input-Events'!E$4:E$106, $C28)</f>
        <v>0</v>
      </c>
      <c r="G28" s="4" t="str" cm="1">
        <f t="array" aca="1" ref="G28" ca="1">_xlfn.TEXTJOIN(", ", TRUE, IF('Input-Events'!E$4:E$106=$C28, 'Input-Events'!D$4:D$106, ""))</f>
        <v/>
      </c>
      <c r="H28" s="5">
        <f t="shared" ca="1" si="0"/>
        <v>0</v>
      </c>
      <c r="I28" s="5">
        <f t="shared" ca="1" si="7"/>
        <v>48126532</v>
      </c>
      <c r="J28" s="5">
        <f t="shared" ca="1" si="1"/>
        <v>5775184</v>
      </c>
      <c r="K28" s="6">
        <f t="shared" ca="1" si="2"/>
        <v>53901716</v>
      </c>
    </row>
    <row r="29" spans="2:11" x14ac:dyDescent="0.25">
      <c r="B29" s="3">
        <f t="shared" ca="1" si="3"/>
        <v>2045</v>
      </c>
      <c r="C29" s="4">
        <f t="shared" ca="1" si="4"/>
        <v>54</v>
      </c>
      <c r="D29" s="5">
        <f t="shared" ca="1" si="5"/>
        <v>53901716</v>
      </c>
      <c r="E29" s="14">
        <f t="shared" ca="1" si="6"/>
        <v>1591981</v>
      </c>
      <c r="F29" s="5">
        <f ca="1">-SUMIFS('Input-Events'!H$4:H$106, 'Input-Events'!E$4:E$106, $C29)</f>
        <v>0</v>
      </c>
      <c r="G29" s="4" t="str" cm="1">
        <f t="array" aca="1" ref="G29" ca="1">_xlfn.TEXTJOIN(", ", TRUE, IF('Input-Events'!E$4:E$106=$C29, 'Input-Events'!D$4:D$106, ""))</f>
        <v/>
      </c>
      <c r="H29" s="5">
        <f t="shared" ca="1" si="0"/>
        <v>0</v>
      </c>
      <c r="I29" s="5">
        <f t="shared" ca="1" si="7"/>
        <v>55493697</v>
      </c>
      <c r="J29" s="5">
        <f t="shared" ca="1" si="1"/>
        <v>6659244</v>
      </c>
      <c r="K29" s="6">
        <f t="shared" ca="1" si="2"/>
        <v>62152941</v>
      </c>
    </row>
    <row r="30" spans="2:11" x14ac:dyDescent="0.25">
      <c r="B30" s="3">
        <f t="shared" ca="1" si="3"/>
        <v>2046</v>
      </c>
      <c r="C30" s="4">
        <f t="shared" ca="1" si="4"/>
        <v>55</v>
      </c>
      <c r="D30" s="5">
        <f t="shared" ca="1" si="5"/>
        <v>62152941</v>
      </c>
      <c r="E30" s="14">
        <f t="shared" ca="1" si="6"/>
        <v>1671580</v>
      </c>
      <c r="F30" s="5">
        <f ca="1">-SUMIFS('Input-Events'!H$4:H$106, 'Input-Events'!E$4:E$106, $C30)</f>
        <v>0</v>
      </c>
      <c r="G30" s="4" t="str" cm="1">
        <f t="array" aca="1" ref="G30" ca="1">_xlfn.TEXTJOIN(", ", TRUE, IF('Input-Events'!E$4:E$106=$C30, 'Input-Events'!D$4:D$106, ""))</f>
        <v/>
      </c>
      <c r="H30" s="5">
        <f t="shared" ca="1" si="0"/>
        <v>0</v>
      </c>
      <c r="I30" s="5">
        <f t="shared" ca="1" si="7"/>
        <v>63824521</v>
      </c>
      <c r="J30" s="5">
        <f t="shared" ca="1" si="1"/>
        <v>7658943</v>
      </c>
      <c r="K30" s="6">
        <f t="shared" ca="1" si="2"/>
        <v>71483464</v>
      </c>
    </row>
    <row r="31" spans="2:11" x14ac:dyDescent="0.25">
      <c r="B31" s="3">
        <f t="shared" ca="1" si="3"/>
        <v>2047</v>
      </c>
      <c r="C31" s="4">
        <f t="shared" ca="1" si="4"/>
        <v>56</v>
      </c>
      <c r="D31" s="5">
        <f t="shared" ca="1" si="5"/>
        <v>71483464</v>
      </c>
      <c r="E31" s="14">
        <f t="shared" ca="1" si="6"/>
        <v>1755159</v>
      </c>
      <c r="F31" s="5">
        <f ca="1">-SUMIFS('Input-Events'!H$4:H$106, 'Input-Events'!E$4:E$106, $C31)</f>
        <v>0</v>
      </c>
      <c r="G31" s="4" t="str" cm="1">
        <f t="array" aca="1" ref="G31" ca="1">_xlfn.TEXTJOIN(", ", TRUE, IF('Input-Events'!E$4:E$106=$C31, 'Input-Events'!D$4:D$106, ""))</f>
        <v/>
      </c>
      <c r="H31" s="5">
        <f t="shared" ca="1" si="0"/>
        <v>0</v>
      </c>
      <c r="I31" s="5">
        <f t="shared" ca="1" si="7"/>
        <v>73238623</v>
      </c>
      <c r="J31" s="5">
        <f t="shared" ca="1" si="1"/>
        <v>8788635</v>
      </c>
      <c r="K31" s="6">
        <f t="shared" ca="1" si="2"/>
        <v>82027258</v>
      </c>
    </row>
    <row r="32" spans="2:11" x14ac:dyDescent="0.25">
      <c r="B32" s="3">
        <f t="shared" ca="1" si="3"/>
        <v>2048</v>
      </c>
      <c r="C32" s="4">
        <f t="shared" ca="1" si="4"/>
        <v>57</v>
      </c>
      <c r="D32" s="5">
        <f t="shared" ca="1" si="5"/>
        <v>82027258</v>
      </c>
      <c r="E32" s="14">
        <f t="shared" ca="1" si="6"/>
        <v>1842917</v>
      </c>
      <c r="F32" s="5">
        <f ca="1">-SUMIFS('Input-Events'!H$4:H$106, 'Input-Events'!E$4:E$106, $C32)</f>
        <v>0</v>
      </c>
      <c r="G32" s="4" t="str" cm="1">
        <f t="array" aca="1" ref="G32" ca="1">_xlfn.TEXTJOIN(", ", TRUE, IF('Input-Events'!E$4:E$106=$C32, 'Input-Events'!D$4:D$106, ""))</f>
        <v/>
      </c>
      <c r="H32" s="5">
        <f t="shared" ca="1" si="0"/>
        <v>0</v>
      </c>
      <c r="I32" s="5">
        <f t="shared" ca="1" si="7"/>
        <v>83870175</v>
      </c>
      <c r="J32" s="5">
        <f t="shared" ca="1" si="1"/>
        <v>10064421</v>
      </c>
      <c r="K32" s="6">
        <f t="shared" ca="1" si="2"/>
        <v>93934596</v>
      </c>
    </row>
    <row r="33" spans="2:11" x14ac:dyDescent="0.25">
      <c r="B33" s="3">
        <f t="shared" ca="1" si="3"/>
        <v>2049</v>
      </c>
      <c r="C33" s="4">
        <f t="shared" ca="1" si="4"/>
        <v>58</v>
      </c>
      <c r="D33" s="5">
        <f t="shared" ca="1" si="5"/>
        <v>93934596</v>
      </c>
      <c r="E33" s="14">
        <f t="shared" ca="1" si="6"/>
        <v>1935063</v>
      </c>
      <c r="F33" s="5">
        <f ca="1">-SUMIFS('Input-Events'!H$4:H$106, 'Input-Events'!E$4:E$106, $C33)</f>
        <v>0</v>
      </c>
      <c r="G33" s="4" t="str" cm="1">
        <f t="array" aca="1" ref="G33" ca="1">_xlfn.TEXTJOIN(", ", TRUE, IF('Input-Events'!E$4:E$106=$C33, 'Input-Events'!D$4:D$106, ""))</f>
        <v/>
      </c>
      <c r="H33" s="5">
        <f t="shared" ca="1" si="0"/>
        <v>0</v>
      </c>
      <c r="I33" s="5">
        <f t="shared" ca="1" si="7"/>
        <v>95869659</v>
      </c>
      <c r="J33" s="5">
        <f t="shared" ca="1" si="1"/>
        <v>11504359</v>
      </c>
      <c r="K33" s="6">
        <f t="shared" ca="1" si="2"/>
        <v>107374018</v>
      </c>
    </row>
    <row r="34" spans="2:11" x14ac:dyDescent="0.25">
      <c r="B34" s="3">
        <f t="shared" ca="1" si="3"/>
        <v>2050</v>
      </c>
      <c r="C34" s="4">
        <f t="shared" ca="1" si="4"/>
        <v>59</v>
      </c>
      <c r="D34" s="5">
        <f t="shared" ca="1" si="5"/>
        <v>107374018</v>
      </c>
      <c r="E34" s="14">
        <f t="shared" ca="1" si="6"/>
        <v>2031816</v>
      </c>
      <c r="F34" s="5">
        <f ca="1">-SUMIFS('Input-Events'!H$4:H$106, 'Input-Events'!E$4:E$106, $C34)</f>
        <v>0</v>
      </c>
      <c r="G34" s="4" t="str" cm="1">
        <f t="array" aca="1" ref="G34" ca="1">_xlfn.TEXTJOIN(", ", TRUE, IF('Input-Events'!E$4:E$106=$C34, 'Input-Events'!D$4:D$106, ""))</f>
        <v/>
      </c>
      <c r="H34" s="5">
        <f t="shared" ca="1" si="0"/>
        <v>0</v>
      </c>
      <c r="I34" s="5">
        <f t="shared" ca="1" si="7"/>
        <v>109405834</v>
      </c>
      <c r="J34" s="5">
        <f t="shared" ca="1" si="1"/>
        <v>13128700</v>
      </c>
      <c r="K34" s="6">
        <f t="shared" ca="1" si="2"/>
        <v>122534534</v>
      </c>
    </row>
    <row r="35" spans="2:11" x14ac:dyDescent="0.25">
      <c r="B35" s="3">
        <f t="shared" ca="1" si="3"/>
        <v>2051</v>
      </c>
      <c r="C35" s="4">
        <f t="shared" ca="1" si="4"/>
        <v>60</v>
      </c>
      <c r="D35" s="5">
        <f t="shared" ca="1" si="5"/>
        <v>122534534</v>
      </c>
      <c r="E35" s="14">
        <f t="shared" ca="1" si="6"/>
        <v>2133407</v>
      </c>
      <c r="F35" s="5">
        <f ca="1">-SUMIFS('Input-Events'!H$4:H$106, 'Input-Events'!E$4:E$106, $C35)</f>
        <v>2000000</v>
      </c>
      <c r="G35" s="4" t="str" cm="1">
        <f t="array" aca="1" ref="G35" ca="1">_xlfn.TEXTJOIN(", ", TRUE, IF('Input-Events'!E$4:E$106=$C35, 'Input-Events'!D$4:D$106, ""))</f>
        <v>Retirement Corpus, Retirement</v>
      </c>
      <c r="H35" s="5">
        <f t="shared" ca="1" si="0"/>
        <v>0</v>
      </c>
      <c r="I35" s="5">
        <f t="shared" ca="1" si="7"/>
        <v>126667941</v>
      </c>
      <c r="J35" s="5">
        <f t="shared" ca="1" si="1"/>
        <v>15200153</v>
      </c>
      <c r="K35" s="6">
        <f t="shared" ca="1" si="2"/>
        <v>141868094</v>
      </c>
    </row>
    <row r="36" spans="2:11" x14ac:dyDescent="0.25">
      <c r="B36" s="3">
        <f t="shared" ca="1" si="3"/>
        <v>2052</v>
      </c>
      <c r="C36" s="4">
        <f t="shared" ca="1" si="4"/>
        <v>61</v>
      </c>
      <c r="D36" s="5">
        <f t="shared" ca="1" si="5"/>
        <v>141868094</v>
      </c>
      <c r="E36" s="14">
        <f t="shared" ca="1" si="6"/>
        <v>-4480148</v>
      </c>
      <c r="F36" s="5">
        <f ca="1">-SUMIFS('Input-Events'!H$4:H$106, 'Input-Events'!E$4:E$106, $C36)</f>
        <v>0</v>
      </c>
      <c r="G36" s="4" t="str" cm="1">
        <f t="array" aca="1" ref="G36" ca="1">_xlfn.TEXTJOIN(", ", TRUE, IF('Input-Events'!E$4:E$106=$C36, 'Input-Events'!D$4:D$106, ""))</f>
        <v/>
      </c>
      <c r="H36" s="5">
        <f t="shared" ca="1" si="0"/>
        <v>394393.5</v>
      </c>
      <c r="I36" s="5">
        <f t="shared" ca="1" si="7"/>
        <v>136993552.5</v>
      </c>
      <c r="J36" s="5">
        <f t="shared" ca="1" si="1"/>
        <v>16439226</v>
      </c>
      <c r="K36" s="6">
        <f t="shared" ca="1" si="2"/>
        <v>153432779</v>
      </c>
    </row>
    <row r="37" spans="2:11" x14ac:dyDescent="0.25">
      <c r="B37" s="3">
        <f t="shared" ca="1" si="3"/>
        <v>2053</v>
      </c>
      <c r="C37" s="4">
        <f t="shared" ca="1" si="4"/>
        <v>62</v>
      </c>
      <c r="D37" s="5">
        <f t="shared" ca="1" si="5"/>
        <v>153432779</v>
      </c>
      <c r="E37" s="14">
        <f t="shared" ca="1" si="6"/>
        <v>-4524949</v>
      </c>
      <c r="F37" s="5">
        <f ca="1">-SUMIFS('Input-Events'!H$4:H$106, 'Input-Events'!E$4:E$106, $C37)</f>
        <v>0</v>
      </c>
      <c r="G37" s="4" t="str" cm="1">
        <f t="array" aca="1" ref="G37" ca="1">_xlfn.TEXTJOIN(", ", TRUE, IF('Input-Events'!E$4:E$106=$C37, 'Input-Events'!D$4:D$106, ""))</f>
        <v/>
      </c>
      <c r="H37" s="5">
        <f t="shared" ca="1" si="0"/>
        <v>399993.625</v>
      </c>
      <c r="I37" s="5">
        <f t="shared" ca="1" si="7"/>
        <v>148507836.375</v>
      </c>
      <c r="J37" s="5">
        <f t="shared" ca="1" si="1"/>
        <v>17820940</v>
      </c>
      <c r="K37" s="6">
        <f t="shared" ca="1" si="2"/>
        <v>166328776</v>
      </c>
    </row>
    <row r="38" spans="2:11" x14ac:dyDescent="0.25">
      <c r="B38" s="3">
        <f t="shared" ca="1" si="3"/>
        <v>2054</v>
      </c>
      <c r="C38" s="4">
        <f t="shared" ca="1" si="4"/>
        <v>63</v>
      </c>
      <c r="D38" s="5">
        <f t="shared" ca="1" si="5"/>
        <v>166328776</v>
      </c>
      <c r="E38" s="14">
        <f t="shared" ca="1" si="6"/>
        <v>-4570199</v>
      </c>
      <c r="F38" s="5">
        <f ca="1">-SUMIFS('Input-Events'!H$4:H$106, 'Input-Events'!E$4:E$106, $C38)</f>
        <v>0</v>
      </c>
      <c r="G38" s="4" t="str" cm="1">
        <f t="array" aca="1" ref="G38" ca="1">_xlfn.TEXTJOIN(", ", TRUE, IF('Input-Events'!E$4:E$106=$C38, 'Input-Events'!D$4:D$106, ""))</f>
        <v/>
      </c>
      <c r="H38" s="5">
        <f t="shared" ca="1" si="0"/>
        <v>405649.875</v>
      </c>
      <c r="I38" s="5">
        <f t="shared" ca="1" si="7"/>
        <v>161352927.125</v>
      </c>
      <c r="J38" s="5">
        <f t="shared" ca="1" si="1"/>
        <v>19362351</v>
      </c>
      <c r="K38" s="6">
        <f t="shared" ca="1" si="2"/>
        <v>180715278</v>
      </c>
    </row>
    <row r="39" spans="2:11" x14ac:dyDescent="0.25">
      <c r="B39" s="3">
        <f t="shared" ca="1" si="3"/>
        <v>2055</v>
      </c>
      <c r="C39" s="4">
        <f t="shared" ca="1" si="4"/>
        <v>64</v>
      </c>
      <c r="D39" s="5">
        <f t="shared" ca="1" si="5"/>
        <v>180715278</v>
      </c>
      <c r="E39" s="14">
        <f t="shared" ca="1" si="6"/>
        <v>-4615901</v>
      </c>
      <c r="F39" s="5">
        <f ca="1">-SUMIFS('Input-Events'!H$4:H$106, 'Input-Events'!E$4:E$106, $C39)</f>
        <v>0</v>
      </c>
      <c r="G39" s="4" t="str" cm="1">
        <f t="array" aca="1" ref="G39" ca="1">_xlfn.TEXTJOIN(", ", TRUE, IF('Input-Events'!E$4:E$106=$C39, 'Input-Events'!D$4:D$106, ""))</f>
        <v/>
      </c>
      <c r="H39" s="5">
        <f t="shared" ca="1" si="0"/>
        <v>411362.625</v>
      </c>
      <c r="I39" s="5">
        <f t="shared" ca="1" si="7"/>
        <v>175688014.375</v>
      </c>
      <c r="J39" s="5">
        <f t="shared" ca="1" si="1"/>
        <v>21082562</v>
      </c>
      <c r="K39" s="6">
        <f t="shared" ca="1" si="2"/>
        <v>196770576</v>
      </c>
    </row>
    <row r="40" spans="2:11" x14ac:dyDescent="0.25">
      <c r="B40" s="3">
        <f t="shared" ca="1" si="3"/>
        <v>2056</v>
      </c>
      <c r="C40" s="4">
        <f t="shared" ca="1" si="4"/>
        <v>65</v>
      </c>
      <c r="D40" s="5">
        <f t="shared" ca="1" si="5"/>
        <v>196770576</v>
      </c>
      <c r="E40" s="14">
        <f t="shared" ca="1" si="6"/>
        <v>-4662060</v>
      </c>
      <c r="F40" s="5">
        <f ca="1">-SUMIFS('Input-Events'!H$4:H$106, 'Input-Events'!E$4:E$106, $C40)</f>
        <v>0</v>
      </c>
      <c r="G40" s="4" t="str" cm="1">
        <f t="array" aca="1" ref="G40" ca="1">_xlfn.TEXTJOIN(", ", TRUE, IF('Input-Events'!E$4:E$106=$C40, 'Input-Events'!D$4:D$106, ""))</f>
        <v/>
      </c>
      <c r="H40" s="5">
        <f t="shared" ca="1" si="0"/>
        <v>417132.5</v>
      </c>
      <c r="I40" s="5">
        <f t="shared" ca="1" si="7"/>
        <v>191691383.5</v>
      </c>
      <c r="J40" s="5">
        <f t="shared" ca="1" si="1"/>
        <v>23002966</v>
      </c>
      <c r="K40" s="6">
        <f t="shared" ca="1" si="2"/>
        <v>214694350</v>
      </c>
    </row>
    <row r="41" spans="2:11" x14ac:dyDescent="0.25">
      <c r="B41" s="3">
        <f t="shared" ca="1" si="3"/>
        <v>2057</v>
      </c>
      <c r="C41" s="4">
        <f t="shared" ca="1" si="4"/>
        <v>66</v>
      </c>
      <c r="D41" s="5">
        <f t="shared" ca="1" si="5"/>
        <v>214694350</v>
      </c>
      <c r="E41" s="14">
        <f t="shared" ca="1" si="6"/>
        <v>-4708681</v>
      </c>
      <c r="F41" s="5">
        <f ca="1">-SUMIFS('Input-Events'!H$4:H$106, 'Input-Events'!E$4:E$106, $C41)</f>
        <v>0</v>
      </c>
      <c r="G41" s="4" t="str" cm="1">
        <f t="array" aca="1" ref="G41" ca="1">_xlfn.TEXTJOIN(", ", TRUE, IF('Input-Events'!E$4:E$106=$C41, 'Input-Events'!D$4:D$106, ""))</f>
        <v/>
      </c>
      <c r="H41" s="5">
        <f t="shared" ref="H41:H72" ca="1" si="8">IF(AND($C41&gt;userRetirementAge, SUM($E41, swpLTCGExemption, swpOtherTaxExemptions) &lt; 0), (-SUM($E41, swpLTCGExemption, swpOtherTaxExemptions))*swpLTCGTaxPercentage, 0)</f>
        <v>422960.125</v>
      </c>
      <c r="I41" s="5">
        <f t="shared" ca="1" si="7"/>
        <v>209562708.875</v>
      </c>
      <c r="J41" s="5">
        <f t="shared" ref="J41:J72" ca="1" si="9">ROUND(IF($C41&gt;=userRetirementAge, IF($I41&gt;0, $I41*annualEffectivePostRetirementROI, 0), IF($I41&gt;0, $I41*annualEffectiveROI, 0)), 0)</f>
        <v>25147525</v>
      </c>
      <c r="K41" s="6">
        <f t="shared" ref="K41:K72" ca="1" si="10">ROUND(I41+J41, 0)</f>
        <v>234710234</v>
      </c>
    </row>
    <row r="42" spans="2:11" x14ac:dyDescent="0.25">
      <c r="B42" s="3">
        <f t="shared" ref="B42:B73" ca="1" si="11">B41+1</f>
        <v>2058</v>
      </c>
      <c r="C42" s="4">
        <f t="shared" ref="C42:C73" ca="1" si="12">C41+1</f>
        <v>67</v>
      </c>
      <c r="D42" s="5">
        <f t="shared" ref="D42:D73" ca="1" si="13">ROUND(K41, 0)</f>
        <v>234710234</v>
      </c>
      <c r="E42" s="14">
        <f t="shared" ref="E42:E73" ca="1" si="14">ROUND(IF($C42&gt;userRetirementAge, IF($D42&gt;0,-FV(annualChangeInSWP, $C42-userRetirementAge-1, 0, -annualWithdrawalSWP_FV, 1), 0), E41+E41*(annualIncreaseInSavings)), 0)</f>
        <v>-4755767</v>
      </c>
      <c r="F42" s="5">
        <f ca="1">-SUMIFS('Input-Events'!H$4:H$106, 'Input-Events'!E$4:E$106, $C42)</f>
        <v>0</v>
      </c>
      <c r="G42" s="4" t="str" cm="1">
        <f t="array" aca="1" ref="G42" ca="1">_xlfn.TEXTJOIN(", ", TRUE, IF('Input-Events'!E$4:E$106=$C42, 'Input-Events'!D$4:D$106, ""))</f>
        <v/>
      </c>
      <c r="H42" s="5">
        <f t="shared" ca="1" si="8"/>
        <v>428845.875</v>
      </c>
      <c r="I42" s="5">
        <f t="shared" ca="1" si="7"/>
        <v>229525621.125</v>
      </c>
      <c r="J42" s="5">
        <f t="shared" ca="1" si="9"/>
        <v>27543075</v>
      </c>
      <c r="K42" s="6">
        <f t="shared" ca="1" si="10"/>
        <v>257068696</v>
      </c>
    </row>
    <row r="43" spans="2:11" x14ac:dyDescent="0.25">
      <c r="B43" s="3">
        <f t="shared" ca="1" si="11"/>
        <v>2059</v>
      </c>
      <c r="C43" s="4">
        <f t="shared" ca="1" si="12"/>
        <v>68</v>
      </c>
      <c r="D43" s="5">
        <f t="shared" ca="1" si="13"/>
        <v>257068696</v>
      </c>
      <c r="E43" s="14">
        <f t="shared" ca="1" si="14"/>
        <v>-4803325</v>
      </c>
      <c r="F43" s="5">
        <f ca="1">-SUMIFS('Input-Events'!H$4:H$106, 'Input-Events'!E$4:E$106, $C43)</f>
        <v>0</v>
      </c>
      <c r="G43" s="4" t="str" cm="1">
        <f t="array" aca="1" ref="G43" ca="1">_xlfn.TEXTJOIN(", ", TRUE, IF('Input-Events'!E$4:E$106=$C43, 'Input-Events'!D$4:D$106, ""))</f>
        <v/>
      </c>
      <c r="H43" s="5">
        <f t="shared" ca="1" si="8"/>
        <v>434790.625</v>
      </c>
      <c r="I43" s="5">
        <f t="shared" ca="1" si="7"/>
        <v>251830580.375</v>
      </c>
      <c r="J43" s="5">
        <f t="shared" ca="1" si="9"/>
        <v>30219670</v>
      </c>
      <c r="K43" s="6">
        <f t="shared" ca="1" si="10"/>
        <v>282050250</v>
      </c>
    </row>
    <row r="44" spans="2:11" x14ac:dyDescent="0.25">
      <c r="B44" s="3">
        <f t="shared" ca="1" si="11"/>
        <v>2060</v>
      </c>
      <c r="C44" s="4">
        <f t="shared" ca="1" si="12"/>
        <v>69</v>
      </c>
      <c r="D44" s="5">
        <f t="shared" ca="1" si="13"/>
        <v>282050250</v>
      </c>
      <c r="E44" s="14">
        <f t="shared" ca="1" si="14"/>
        <v>-4851358</v>
      </c>
      <c r="F44" s="5">
        <f ca="1">-SUMIFS('Input-Events'!H$4:H$106, 'Input-Events'!E$4:E$106, $C44)</f>
        <v>0</v>
      </c>
      <c r="G44" s="4" t="str" cm="1">
        <f t="array" aca="1" ref="G44" ca="1">_xlfn.TEXTJOIN(", ", TRUE, IF('Input-Events'!E$4:E$106=$C44, 'Input-Events'!D$4:D$106, ""))</f>
        <v/>
      </c>
      <c r="H44" s="5">
        <f t="shared" ca="1" si="8"/>
        <v>440794.75</v>
      </c>
      <c r="I44" s="5">
        <f t="shared" ca="1" si="7"/>
        <v>276758097.25</v>
      </c>
      <c r="J44" s="5">
        <f t="shared" ca="1" si="9"/>
        <v>33210972</v>
      </c>
      <c r="K44" s="6">
        <f t="shared" ca="1" si="10"/>
        <v>309969069</v>
      </c>
    </row>
    <row r="45" spans="2:11" x14ac:dyDescent="0.25">
      <c r="B45" s="3">
        <f t="shared" ca="1" si="11"/>
        <v>2061</v>
      </c>
      <c r="C45" s="4">
        <f t="shared" ca="1" si="12"/>
        <v>70</v>
      </c>
      <c r="D45" s="5">
        <f t="shared" ca="1" si="13"/>
        <v>309969069</v>
      </c>
      <c r="E45" s="14">
        <f t="shared" ca="1" si="14"/>
        <v>-4899872</v>
      </c>
      <c r="F45" s="5">
        <f ca="1">-SUMIFS('Input-Events'!H$4:H$106, 'Input-Events'!E$4:E$106, $C45)</f>
        <v>0</v>
      </c>
      <c r="G45" s="4" t="str" cm="1">
        <f t="array" aca="1" ref="G45" ca="1">_xlfn.TEXTJOIN(", ", TRUE, IF('Input-Events'!E$4:E$106=$C45, 'Input-Events'!D$4:D$106, ""))</f>
        <v/>
      </c>
      <c r="H45" s="5">
        <f t="shared" ca="1" si="8"/>
        <v>446859</v>
      </c>
      <c r="I45" s="5">
        <f t="shared" ca="1" si="7"/>
        <v>304622338</v>
      </c>
      <c r="J45" s="5">
        <f t="shared" ca="1" si="9"/>
        <v>36554681</v>
      </c>
      <c r="K45" s="6">
        <f t="shared" ca="1" si="10"/>
        <v>341177019</v>
      </c>
    </row>
    <row r="46" spans="2:11" x14ac:dyDescent="0.25">
      <c r="B46" s="3">
        <f t="shared" ca="1" si="11"/>
        <v>2062</v>
      </c>
      <c r="C46" s="4">
        <f t="shared" ca="1" si="12"/>
        <v>71</v>
      </c>
      <c r="D46" s="5">
        <f t="shared" ca="1" si="13"/>
        <v>341177019</v>
      </c>
      <c r="E46" s="14">
        <f t="shared" ca="1" si="14"/>
        <v>-4948871</v>
      </c>
      <c r="F46" s="5">
        <f ca="1">-SUMIFS('Input-Events'!H$4:H$106, 'Input-Events'!E$4:E$106, $C46)</f>
        <v>0</v>
      </c>
      <c r="G46" s="4" t="str" cm="1">
        <f t="array" aca="1" ref="G46" ca="1">_xlfn.TEXTJOIN(", ", TRUE, IF('Input-Events'!E$4:E$106=$C46, 'Input-Events'!D$4:D$106, ""))</f>
        <v/>
      </c>
      <c r="H46" s="5">
        <f t="shared" ca="1" si="8"/>
        <v>452983.875</v>
      </c>
      <c r="I46" s="5">
        <f t="shared" ca="1" si="7"/>
        <v>335775164.125</v>
      </c>
      <c r="J46" s="5">
        <f t="shared" ca="1" si="9"/>
        <v>40293020</v>
      </c>
      <c r="K46" s="6">
        <f t="shared" ca="1" si="10"/>
        <v>376068184</v>
      </c>
    </row>
    <row r="47" spans="2:11" x14ac:dyDescent="0.25">
      <c r="B47" s="3">
        <f t="shared" ca="1" si="11"/>
        <v>2063</v>
      </c>
      <c r="C47" s="4">
        <f t="shared" ca="1" si="12"/>
        <v>72</v>
      </c>
      <c r="D47" s="5">
        <f t="shared" ca="1" si="13"/>
        <v>376068184</v>
      </c>
      <c r="E47" s="14">
        <f t="shared" ca="1" si="14"/>
        <v>-4998359</v>
      </c>
      <c r="F47" s="5">
        <f ca="1">-SUMIFS('Input-Events'!H$4:H$106, 'Input-Events'!E$4:E$106, $C47)</f>
        <v>0</v>
      </c>
      <c r="G47" s="4" t="str" cm="1">
        <f t="array" aca="1" ref="G47" ca="1">_xlfn.TEXTJOIN(", ", TRUE, IF('Input-Events'!E$4:E$106=$C47, 'Input-Events'!D$4:D$106, ""))</f>
        <v/>
      </c>
      <c r="H47" s="5">
        <f t="shared" ca="1" si="8"/>
        <v>459169.875</v>
      </c>
      <c r="I47" s="5">
        <f t="shared" ca="1" si="7"/>
        <v>370610655.125</v>
      </c>
      <c r="J47" s="5">
        <f t="shared" ca="1" si="9"/>
        <v>44473279</v>
      </c>
      <c r="K47" s="6">
        <f t="shared" ca="1" si="10"/>
        <v>415083934</v>
      </c>
    </row>
    <row r="48" spans="2:11" x14ac:dyDescent="0.25">
      <c r="B48" s="3">
        <f t="shared" ca="1" si="11"/>
        <v>2064</v>
      </c>
      <c r="C48" s="4">
        <f t="shared" ca="1" si="12"/>
        <v>73</v>
      </c>
      <c r="D48" s="5">
        <f t="shared" ca="1" si="13"/>
        <v>415083934</v>
      </c>
      <c r="E48" s="14">
        <f t="shared" ca="1" si="14"/>
        <v>-5048343</v>
      </c>
      <c r="F48" s="5">
        <f ca="1">-SUMIFS('Input-Events'!H$4:H$106, 'Input-Events'!E$4:E$106, $C48)</f>
        <v>0</v>
      </c>
      <c r="G48" s="4" t="str" cm="1">
        <f t="array" aca="1" ref="G48" ca="1">_xlfn.TEXTJOIN(", ", TRUE, IF('Input-Events'!E$4:E$106=$C48, 'Input-Events'!D$4:D$106, ""))</f>
        <v/>
      </c>
      <c r="H48" s="5">
        <f t="shared" ca="1" si="8"/>
        <v>465417.875</v>
      </c>
      <c r="I48" s="5">
        <f t="shared" ca="1" si="7"/>
        <v>409570173.125</v>
      </c>
      <c r="J48" s="5">
        <f t="shared" ca="1" si="9"/>
        <v>49148421</v>
      </c>
      <c r="K48" s="6">
        <f t="shared" ca="1" si="10"/>
        <v>458718594</v>
      </c>
    </row>
    <row r="49" spans="2:11" x14ac:dyDescent="0.25">
      <c r="B49" s="3">
        <f t="shared" ca="1" si="11"/>
        <v>2065</v>
      </c>
      <c r="C49" s="4">
        <f t="shared" ca="1" si="12"/>
        <v>74</v>
      </c>
      <c r="D49" s="5">
        <f t="shared" ca="1" si="13"/>
        <v>458718594</v>
      </c>
      <c r="E49" s="14">
        <f t="shared" ca="1" si="14"/>
        <v>-5098826</v>
      </c>
      <c r="F49" s="5">
        <f ca="1">-SUMIFS('Input-Events'!H$4:H$106, 'Input-Events'!E$4:E$106, $C49)</f>
        <v>0</v>
      </c>
      <c r="G49" s="4" t="str" cm="1">
        <f t="array" aca="1" ref="G49" ca="1">_xlfn.TEXTJOIN(", ", TRUE, IF('Input-Events'!E$4:E$106=$C49, 'Input-Events'!D$4:D$106, ""))</f>
        <v/>
      </c>
      <c r="H49" s="5">
        <f t="shared" ca="1" si="8"/>
        <v>471728.25</v>
      </c>
      <c r="I49" s="5">
        <f t="shared" ca="1" si="7"/>
        <v>453148039.75</v>
      </c>
      <c r="J49" s="5">
        <f t="shared" ca="1" si="9"/>
        <v>54377765</v>
      </c>
      <c r="K49" s="6">
        <f t="shared" ca="1" si="10"/>
        <v>507525805</v>
      </c>
    </row>
    <row r="50" spans="2:11" x14ac:dyDescent="0.25">
      <c r="B50" s="3">
        <f t="shared" ca="1" si="11"/>
        <v>2066</v>
      </c>
      <c r="C50" s="4">
        <f t="shared" ca="1" si="12"/>
        <v>75</v>
      </c>
      <c r="D50" s="5">
        <f t="shared" ca="1" si="13"/>
        <v>507525805</v>
      </c>
      <c r="E50" s="14">
        <f t="shared" ca="1" si="14"/>
        <v>-5149815</v>
      </c>
      <c r="F50" s="5">
        <f ca="1">-SUMIFS('Input-Events'!H$4:H$106, 'Input-Events'!E$4:E$106, $C50)</f>
        <v>0</v>
      </c>
      <c r="G50" s="4" t="str" cm="1">
        <f t="array" aca="1" ref="G50" ca="1">_xlfn.TEXTJOIN(", ", TRUE, IF('Input-Events'!E$4:E$106=$C50, 'Input-Events'!D$4:D$106, ""))</f>
        <v/>
      </c>
      <c r="H50" s="5">
        <f t="shared" ca="1" si="8"/>
        <v>478101.875</v>
      </c>
      <c r="I50" s="5">
        <f t="shared" ca="1" si="7"/>
        <v>501897888.125</v>
      </c>
      <c r="J50" s="5">
        <f t="shared" ca="1" si="9"/>
        <v>60227747</v>
      </c>
      <c r="K50" s="6">
        <f t="shared" ca="1" si="10"/>
        <v>562125635</v>
      </c>
    </row>
    <row r="51" spans="2:11" x14ac:dyDescent="0.25">
      <c r="B51" s="3">
        <f t="shared" ca="1" si="11"/>
        <v>2067</v>
      </c>
      <c r="C51" s="4">
        <f t="shared" ca="1" si="12"/>
        <v>76</v>
      </c>
      <c r="D51" s="5">
        <f t="shared" ca="1" si="13"/>
        <v>562125635</v>
      </c>
      <c r="E51" s="14">
        <f t="shared" ca="1" si="14"/>
        <v>-5201313</v>
      </c>
      <c r="F51" s="5">
        <f ca="1">-SUMIFS('Input-Events'!H$4:H$106, 'Input-Events'!E$4:E$106, $C51)</f>
        <v>0</v>
      </c>
      <c r="G51" s="4" t="str" cm="1">
        <f t="array" aca="1" ref="G51" ca="1">_xlfn.TEXTJOIN(", ", TRUE, IF('Input-Events'!E$4:E$106=$C51, 'Input-Events'!D$4:D$106, ""))</f>
        <v/>
      </c>
      <c r="H51" s="5">
        <f t="shared" ca="1" si="8"/>
        <v>484539.125</v>
      </c>
      <c r="I51" s="5">
        <f t="shared" ca="1" si="7"/>
        <v>556439782.875</v>
      </c>
      <c r="J51" s="5">
        <f t="shared" ca="1" si="9"/>
        <v>66772774</v>
      </c>
      <c r="K51" s="6">
        <f t="shared" ca="1" si="10"/>
        <v>623212557</v>
      </c>
    </row>
    <row r="52" spans="2:11" x14ac:dyDescent="0.25">
      <c r="B52" s="3">
        <f t="shared" ca="1" si="11"/>
        <v>2068</v>
      </c>
      <c r="C52" s="4">
        <f t="shared" ca="1" si="12"/>
        <v>77</v>
      </c>
      <c r="D52" s="5">
        <f t="shared" ca="1" si="13"/>
        <v>623212557</v>
      </c>
      <c r="E52" s="14">
        <f t="shared" ca="1" si="14"/>
        <v>-5253326</v>
      </c>
      <c r="F52" s="5">
        <f ca="1">-SUMIFS('Input-Events'!H$4:H$106, 'Input-Events'!E$4:E$106, $C52)</f>
        <v>0</v>
      </c>
      <c r="G52" s="4" t="str" cm="1">
        <f t="array" aca="1" ref="G52" ca="1">_xlfn.TEXTJOIN(", ", TRUE, IF('Input-Events'!E$4:E$106=$C52, 'Input-Events'!D$4:D$106, ""))</f>
        <v/>
      </c>
      <c r="H52" s="5">
        <f t="shared" ca="1" si="8"/>
        <v>491040.75</v>
      </c>
      <c r="I52" s="5">
        <f t="shared" ca="1" si="7"/>
        <v>617468190.25</v>
      </c>
      <c r="J52" s="5">
        <f t="shared" ca="1" si="9"/>
        <v>74096183</v>
      </c>
      <c r="K52" s="6">
        <f t="shared" ca="1" si="10"/>
        <v>691564373</v>
      </c>
    </row>
    <row r="53" spans="2:11" x14ac:dyDescent="0.25">
      <c r="B53" s="3">
        <f t="shared" ca="1" si="11"/>
        <v>2069</v>
      </c>
      <c r="C53" s="4">
        <f t="shared" ca="1" si="12"/>
        <v>78</v>
      </c>
      <c r="D53" s="5">
        <f t="shared" ca="1" si="13"/>
        <v>691564373</v>
      </c>
      <c r="E53" s="14">
        <f t="shared" ca="1" si="14"/>
        <v>-5305859</v>
      </c>
      <c r="F53" s="5">
        <f ca="1">-SUMIFS('Input-Events'!H$4:H$106, 'Input-Events'!E$4:E$106, $C53)</f>
        <v>0</v>
      </c>
      <c r="G53" s="4" t="str" cm="1">
        <f t="array" aca="1" ref="G53" ca="1">_xlfn.TEXTJOIN(", ", TRUE, IF('Input-Events'!E$4:E$106=$C53, 'Input-Events'!D$4:D$106, ""))</f>
        <v/>
      </c>
      <c r="H53" s="5">
        <f t="shared" ca="1" si="8"/>
        <v>497607.375</v>
      </c>
      <c r="I53" s="5">
        <f t="shared" ca="1" si="7"/>
        <v>685760906.625</v>
      </c>
      <c r="J53" s="5">
        <f t="shared" ca="1" si="9"/>
        <v>82291309</v>
      </c>
      <c r="K53" s="6">
        <f t="shared" ca="1" si="10"/>
        <v>768052216</v>
      </c>
    </row>
    <row r="54" spans="2:11" x14ac:dyDescent="0.25">
      <c r="B54" s="3">
        <f t="shared" ca="1" si="11"/>
        <v>2070</v>
      </c>
      <c r="C54" s="4">
        <f t="shared" ca="1" si="12"/>
        <v>79</v>
      </c>
      <c r="D54" s="5">
        <f t="shared" ca="1" si="13"/>
        <v>768052216</v>
      </c>
      <c r="E54" s="14">
        <f t="shared" ca="1" si="14"/>
        <v>-5358918</v>
      </c>
      <c r="F54" s="5">
        <f ca="1">-SUMIFS('Input-Events'!H$4:H$106, 'Input-Events'!E$4:E$106, $C54)</f>
        <v>0</v>
      </c>
      <c r="G54" s="4" t="str" cm="1">
        <f t="array" aca="1" ref="G54" ca="1">_xlfn.TEXTJOIN(", ", TRUE, IF('Input-Events'!E$4:E$106=$C54, 'Input-Events'!D$4:D$106, ""))</f>
        <v/>
      </c>
      <c r="H54" s="5">
        <f t="shared" ca="1" si="8"/>
        <v>504239.75</v>
      </c>
      <c r="I54" s="5">
        <f t="shared" ca="1" si="7"/>
        <v>762189058.25</v>
      </c>
      <c r="J54" s="5">
        <f t="shared" ca="1" si="9"/>
        <v>91462687</v>
      </c>
      <c r="K54" s="6">
        <f t="shared" ca="1" si="10"/>
        <v>853651745</v>
      </c>
    </row>
    <row r="55" spans="2:11" x14ac:dyDescent="0.25">
      <c r="B55" s="3">
        <f t="shared" ca="1" si="11"/>
        <v>2071</v>
      </c>
      <c r="C55" s="4">
        <f t="shared" ca="1" si="12"/>
        <v>80</v>
      </c>
      <c r="D55" s="5">
        <f t="shared" ca="1" si="13"/>
        <v>853651745</v>
      </c>
      <c r="E55" s="14">
        <f t="shared" ca="1" si="14"/>
        <v>-5412507</v>
      </c>
      <c r="F55" s="5">
        <f ca="1">-SUMIFS('Input-Events'!H$4:H$106, 'Input-Events'!E$4:E$106, $C55)</f>
        <v>10000000</v>
      </c>
      <c r="G55" s="4" t="str" cm="1">
        <f t="array" aca="1" ref="G55" ca="1">_xlfn.TEXTJOIN(", ", TRUE, IF('Input-Events'!E$4:E$106=$C55, 'Input-Events'!D$4:D$106, ""))</f>
        <v>Term Insurance, Life Expectancy</v>
      </c>
      <c r="H55" s="5">
        <f t="shared" ca="1" si="8"/>
        <v>510938.375</v>
      </c>
      <c r="I55" s="5">
        <f t="shared" ca="1" si="7"/>
        <v>857728299.625</v>
      </c>
      <c r="J55" s="5">
        <f t="shared" ca="1" si="9"/>
        <v>102927396</v>
      </c>
      <c r="K55" s="6">
        <f t="shared" ca="1" si="10"/>
        <v>960655696</v>
      </c>
    </row>
    <row r="56" spans="2:11" x14ac:dyDescent="0.25">
      <c r="B56" s="3">
        <f t="shared" ca="1" si="11"/>
        <v>2072</v>
      </c>
      <c r="C56" s="4">
        <f t="shared" ca="1" si="12"/>
        <v>81</v>
      </c>
      <c r="D56" s="5">
        <f t="shared" ca="1" si="13"/>
        <v>960655696</v>
      </c>
      <c r="E56" s="14">
        <f t="shared" ca="1" si="14"/>
        <v>-5466632</v>
      </c>
      <c r="F56" s="5">
        <f ca="1">-SUMIFS('Input-Events'!H$4:H$106, 'Input-Events'!E$4:E$106, $C56)</f>
        <v>0</v>
      </c>
      <c r="G56" s="4" t="str" cm="1">
        <f t="array" aca="1" ref="G56" ca="1">_xlfn.TEXTJOIN(", ", TRUE, IF('Input-Events'!E$4:E$106=$C56, 'Input-Events'!D$4:D$106, ""))</f>
        <v/>
      </c>
      <c r="H56" s="5">
        <f t="shared" ca="1" si="8"/>
        <v>517704</v>
      </c>
      <c r="I56" s="5">
        <f t="shared" ca="1" si="7"/>
        <v>954671360</v>
      </c>
      <c r="J56" s="5">
        <f t="shared" ca="1" si="9"/>
        <v>114560563</v>
      </c>
      <c r="K56" s="6">
        <f t="shared" ca="1" si="10"/>
        <v>1069231923</v>
      </c>
    </row>
    <row r="57" spans="2:11" x14ac:dyDescent="0.25">
      <c r="B57" s="3">
        <f t="shared" ca="1" si="11"/>
        <v>2073</v>
      </c>
      <c r="C57" s="4">
        <f t="shared" ca="1" si="12"/>
        <v>82</v>
      </c>
      <c r="D57" s="5">
        <f t="shared" ca="1" si="13"/>
        <v>1069231923</v>
      </c>
      <c r="E57" s="14">
        <f t="shared" ca="1" si="14"/>
        <v>-5521298</v>
      </c>
      <c r="F57" s="5">
        <f ca="1">-SUMIFS('Input-Events'!H$4:H$106, 'Input-Events'!E$4:E$106, $C57)</f>
        <v>0</v>
      </c>
      <c r="G57" s="4" t="str" cm="1">
        <f t="array" aca="1" ref="G57" ca="1">_xlfn.TEXTJOIN(", ", TRUE, IF('Input-Events'!E$4:E$106=$C57, 'Input-Events'!D$4:D$106, ""))</f>
        <v/>
      </c>
      <c r="H57" s="5">
        <f t="shared" ca="1" si="8"/>
        <v>524537.25</v>
      </c>
      <c r="I57" s="5">
        <f t="shared" ca="1" si="7"/>
        <v>1063186087.75</v>
      </c>
      <c r="J57" s="5">
        <f t="shared" ca="1" si="9"/>
        <v>127582331</v>
      </c>
      <c r="K57" s="6">
        <f t="shared" ca="1" si="10"/>
        <v>1190768419</v>
      </c>
    </row>
    <row r="58" spans="2:11" x14ac:dyDescent="0.25">
      <c r="B58" s="3">
        <f t="shared" ca="1" si="11"/>
        <v>2074</v>
      </c>
      <c r="C58" s="4">
        <f t="shared" ca="1" si="12"/>
        <v>83</v>
      </c>
      <c r="D58" s="5">
        <f t="shared" ca="1" si="13"/>
        <v>1190768419</v>
      </c>
      <c r="E58" s="14">
        <f t="shared" ca="1" si="14"/>
        <v>-5576511</v>
      </c>
      <c r="F58" s="5">
        <f ca="1">-SUMIFS('Input-Events'!H$4:H$106, 'Input-Events'!E$4:E$106, $C58)</f>
        <v>0</v>
      </c>
      <c r="G58" s="4" t="str" cm="1">
        <f t="array" aca="1" ref="G58" ca="1">_xlfn.TEXTJOIN(", ", TRUE, IF('Input-Events'!E$4:E$106=$C58, 'Input-Events'!D$4:D$106, ""))</f>
        <v/>
      </c>
      <c r="H58" s="5">
        <f t="shared" ca="1" si="8"/>
        <v>531438.875</v>
      </c>
      <c r="I58" s="5">
        <f t="shared" ca="1" si="7"/>
        <v>1184660469.125</v>
      </c>
      <c r="J58" s="5">
        <f t="shared" ca="1" si="9"/>
        <v>142159256</v>
      </c>
      <c r="K58" s="6">
        <f t="shared" ca="1" si="10"/>
        <v>1326819725</v>
      </c>
    </row>
    <row r="59" spans="2:11" x14ac:dyDescent="0.25">
      <c r="B59" s="3">
        <f t="shared" ca="1" si="11"/>
        <v>2075</v>
      </c>
      <c r="C59" s="4">
        <f t="shared" ca="1" si="12"/>
        <v>84</v>
      </c>
      <c r="D59" s="5">
        <f t="shared" ca="1" si="13"/>
        <v>1326819725</v>
      </c>
      <c r="E59" s="14">
        <f t="shared" ca="1" si="14"/>
        <v>-5632276</v>
      </c>
      <c r="F59" s="5">
        <f ca="1">-SUMIFS('Input-Events'!H$4:H$106, 'Input-Events'!E$4:E$106, $C59)</f>
        <v>0</v>
      </c>
      <c r="G59" s="4" t="str" cm="1">
        <f t="array" aca="1" ref="G59" ca="1">_xlfn.TEXTJOIN(", ", TRUE, IF('Input-Events'!E$4:E$106=$C59, 'Input-Events'!D$4:D$106, ""))</f>
        <v/>
      </c>
      <c r="H59" s="5">
        <f t="shared" ca="1" si="8"/>
        <v>538409.5</v>
      </c>
      <c r="I59" s="5">
        <f t="shared" ca="1" si="7"/>
        <v>1320649039.5</v>
      </c>
      <c r="J59" s="5">
        <f t="shared" ca="1" si="9"/>
        <v>158477885</v>
      </c>
      <c r="K59" s="6">
        <f t="shared" ca="1" si="10"/>
        <v>1479126925</v>
      </c>
    </row>
    <row r="60" spans="2:11" x14ac:dyDescent="0.25">
      <c r="B60" s="3">
        <f t="shared" ca="1" si="11"/>
        <v>2076</v>
      </c>
      <c r="C60" s="4">
        <f t="shared" ca="1" si="12"/>
        <v>85</v>
      </c>
      <c r="D60" s="5">
        <f t="shared" ca="1" si="13"/>
        <v>1479126925</v>
      </c>
      <c r="E60" s="14">
        <f t="shared" ca="1" si="14"/>
        <v>-5688599</v>
      </c>
      <c r="F60" s="5">
        <f ca="1">-SUMIFS('Input-Events'!H$4:H$106, 'Input-Events'!E$4:E$106, $C60)</f>
        <v>0</v>
      </c>
      <c r="G60" s="4" t="str" cm="1">
        <f t="array" aca="1" ref="G60" ca="1">_xlfn.TEXTJOIN(", ", TRUE, IF('Input-Events'!E$4:E$106=$C60, 'Input-Events'!D$4:D$106, ""))</f>
        <v/>
      </c>
      <c r="H60" s="5">
        <f t="shared" ca="1" si="8"/>
        <v>545449.875</v>
      </c>
      <c r="I60" s="5">
        <f t="shared" ca="1" si="7"/>
        <v>1472892876.125</v>
      </c>
      <c r="J60" s="5">
        <f t="shared" ca="1" si="9"/>
        <v>176747145</v>
      </c>
      <c r="K60" s="6">
        <f t="shared" ca="1" si="10"/>
        <v>1649640021</v>
      </c>
    </row>
    <row r="61" spans="2:11" x14ac:dyDescent="0.25">
      <c r="B61" s="3">
        <f t="shared" ca="1" si="11"/>
        <v>2077</v>
      </c>
      <c r="C61" s="4">
        <f t="shared" ca="1" si="12"/>
        <v>86</v>
      </c>
      <c r="D61" s="5">
        <f t="shared" ca="1" si="13"/>
        <v>1649640021</v>
      </c>
      <c r="E61" s="14">
        <f t="shared" ca="1" si="14"/>
        <v>-5745485</v>
      </c>
      <c r="F61" s="5">
        <f ca="1">-SUMIFS('Input-Events'!H$4:H$106, 'Input-Events'!E$4:E$106, $C61)</f>
        <v>0</v>
      </c>
      <c r="G61" s="4" t="str" cm="1">
        <f t="array" aca="1" ref="G61" ca="1">_xlfn.TEXTJOIN(", ", TRUE, IF('Input-Events'!E$4:E$106=$C61, 'Input-Events'!D$4:D$106, ""))</f>
        <v/>
      </c>
      <c r="H61" s="5">
        <f t="shared" ca="1" si="8"/>
        <v>552560.625</v>
      </c>
      <c r="I61" s="5">
        <f t="shared" ca="1" si="7"/>
        <v>1643341975.375</v>
      </c>
      <c r="J61" s="5">
        <f t="shared" ca="1" si="9"/>
        <v>197201037</v>
      </c>
      <c r="K61" s="6">
        <f t="shared" ca="1" si="10"/>
        <v>1840543012</v>
      </c>
    </row>
    <row r="62" spans="2:11" x14ac:dyDescent="0.25">
      <c r="B62" s="3">
        <f t="shared" ca="1" si="11"/>
        <v>2078</v>
      </c>
      <c r="C62" s="4">
        <f t="shared" ca="1" si="12"/>
        <v>87</v>
      </c>
      <c r="D62" s="5">
        <f t="shared" ca="1" si="13"/>
        <v>1840543012</v>
      </c>
      <c r="E62" s="14">
        <f t="shared" ca="1" si="14"/>
        <v>-5802940</v>
      </c>
      <c r="F62" s="5">
        <f ca="1">-SUMIFS('Input-Events'!H$4:H$106, 'Input-Events'!E$4:E$106, $C62)</f>
        <v>0</v>
      </c>
      <c r="G62" s="4" t="str" cm="1">
        <f t="array" aca="1" ref="G62" ca="1">_xlfn.TEXTJOIN(", ", TRUE, IF('Input-Events'!E$4:E$106=$C62, 'Input-Events'!D$4:D$106, ""))</f>
        <v/>
      </c>
      <c r="H62" s="5">
        <f t="shared" ca="1" si="8"/>
        <v>559742.5</v>
      </c>
      <c r="I62" s="5">
        <f t="shared" ca="1" si="7"/>
        <v>1834180329.5</v>
      </c>
      <c r="J62" s="5">
        <f t="shared" ca="1" si="9"/>
        <v>220101640</v>
      </c>
      <c r="K62" s="6">
        <f t="shared" ca="1" si="10"/>
        <v>2054281970</v>
      </c>
    </row>
    <row r="63" spans="2:11" x14ac:dyDescent="0.25">
      <c r="B63" s="3">
        <f t="shared" ca="1" si="11"/>
        <v>2079</v>
      </c>
      <c r="C63" s="4">
        <f t="shared" ca="1" si="12"/>
        <v>88</v>
      </c>
      <c r="D63" s="5">
        <f t="shared" ca="1" si="13"/>
        <v>2054281970</v>
      </c>
      <c r="E63" s="14">
        <f t="shared" ca="1" si="14"/>
        <v>-5860969</v>
      </c>
      <c r="F63" s="5">
        <f ca="1">-SUMIFS('Input-Events'!H$4:H$106, 'Input-Events'!E$4:E$106, $C63)</f>
        <v>0</v>
      </c>
      <c r="G63" s="4" t="str" cm="1">
        <f t="array" aca="1" ref="G63" ca="1">_xlfn.TEXTJOIN(", ", TRUE, IF('Input-Events'!E$4:E$106=$C63, 'Input-Events'!D$4:D$106, ""))</f>
        <v/>
      </c>
      <c r="H63" s="5">
        <f t="shared" ca="1" si="8"/>
        <v>566996.125</v>
      </c>
      <c r="I63" s="5">
        <f t="shared" ca="1" si="7"/>
        <v>2047854004.875</v>
      </c>
      <c r="J63" s="5">
        <f t="shared" ca="1" si="9"/>
        <v>245742481</v>
      </c>
      <c r="K63" s="6">
        <f t="shared" ca="1" si="10"/>
        <v>2293596486</v>
      </c>
    </row>
    <row r="64" spans="2:11" x14ac:dyDescent="0.25">
      <c r="B64" s="3">
        <f t="shared" ca="1" si="11"/>
        <v>2080</v>
      </c>
      <c r="C64" s="4">
        <f t="shared" ca="1" si="12"/>
        <v>89</v>
      </c>
      <c r="D64" s="5">
        <f t="shared" ca="1" si="13"/>
        <v>2293596486</v>
      </c>
      <c r="E64" s="14">
        <f t="shared" ca="1" si="14"/>
        <v>-5919579</v>
      </c>
      <c r="F64" s="5">
        <f ca="1">-SUMIFS('Input-Events'!H$4:H$106, 'Input-Events'!E$4:E$106, $C64)</f>
        <v>0</v>
      </c>
      <c r="G64" s="4" t="str" cm="1">
        <f t="array" aca="1" ref="G64" ca="1">_xlfn.TEXTJOIN(", ", TRUE, IF('Input-Events'!E$4:E$106=$C64, 'Input-Events'!D$4:D$106, ""))</f>
        <v/>
      </c>
      <c r="H64" s="5">
        <f t="shared" ca="1" si="8"/>
        <v>574322.375</v>
      </c>
      <c r="I64" s="5">
        <f t="shared" ca="1" si="7"/>
        <v>2287102584.625</v>
      </c>
      <c r="J64" s="5">
        <f t="shared" ca="1" si="9"/>
        <v>274452310</v>
      </c>
      <c r="K64" s="6">
        <f t="shared" ca="1" si="10"/>
        <v>2561554895</v>
      </c>
    </row>
    <row r="65" spans="2:11" x14ac:dyDescent="0.25">
      <c r="B65" s="3">
        <f t="shared" ca="1" si="11"/>
        <v>2081</v>
      </c>
      <c r="C65" s="4">
        <f t="shared" ca="1" si="12"/>
        <v>90</v>
      </c>
      <c r="D65" s="5">
        <f t="shared" ca="1" si="13"/>
        <v>2561554895</v>
      </c>
      <c r="E65" s="14">
        <f t="shared" ca="1" si="14"/>
        <v>-5978775</v>
      </c>
      <c r="F65" s="5">
        <f ca="1">-SUMIFS('Input-Events'!H$4:H$106, 'Input-Events'!E$4:E$106, $C65)</f>
        <v>0</v>
      </c>
      <c r="G65" s="4" t="str" cm="1">
        <f t="array" aca="1" ref="G65" ca="1">_xlfn.TEXTJOIN(", ", TRUE, IF('Input-Events'!E$4:E$106=$C65, 'Input-Events'!D$4:D$106, ""))</f>
        <v/>
      </c>
      <c r="H65" s="5">
        <f t="shared" ca="1" si="8"/>
        <v>581721.875</v>
      </c>
      <c r="I65" s="5">
        <f t="shared" ca="1" si="7"/>
        <v>2554994398.125</v>
      </c>
      <c r="J65" s="5">
        <f t="shared" ca="1" si="9"/>
        <v>306599328</v>
      </c>
      <c r="K65" s="6">
        <f t="shared" ca="1" si="10"/>
        <v>2861593726</v>
      </c>
    </row>
    <row r="66" spans="2:11" x14ac:dyDescent="0.25">
      <c r="B66" s="3">
        <f t="shared" ca="1" si="11"/>
        <v>2082</v>
      </c>
      <c r="C66" s="4">
        <f t="shared" ca="1" si="12"/>
        <v>91</v>
      </c>
      <c r="D66" s="5">
        <f t="shared" ca="1" si="13"/>
        <v>2861593726</v>
      </c>
      <c r="E66" s="14">
        <f t="shared" ca="1" si="14"/>
        <v>-6038563</v>
      </c>
      <c r="F66" s="5">
        <f ca="1">-SUMIFS('Input-Events'!H$4:H$106, 'Input-Events'!E$4:E$106, $C66)</f>
        <v>0</v>
      </c>
      <c r="G66" s="4" t="str" cm="1">
        <f t="array" aca="1" ref="G66" ca="1">_xlfn.TEXTJOIN(", ", TRUE, IF('Input-Events'!E$4:E$106=$C66, 'Input-Events'!D$4:D$106, ""))</f>
        <v/>
      </c>
      <c r="H66" s="5">
        <f t="shared" ca="1" si="8"/>
        <v>589195.375</v>
      </c>
      <c r="I66" s="5">
        <f t="shared" ca="1" si="7"/>
        <v>2854965967.625</v>
      </c>
      <c r="J66" s="5">
        <f t="shared" ca="1" si="9"/>
        <v>342595916</v>
      </c>
      <c r="K66" s="6">
        <f t="shared" ca="1" si="10"/>
        <v>3197561884</v>
      </c>
    </row>
    <row r="67" spans="2:11" x14ac:dyDescent="0.25">
      <c r="B67" s="3">
        <f t="shared" ca="1" si="11"/>
        <v>2083</v>
      </c>
      <c r="C67" s="4">
        <f t="shared" ca="1" si="12"/>
        <v>92</v>
      </c>
      <c r="D67" s="5">
        <f t="shared" ca="1" si="13"/>
        <v>3197561884</v>
      </c>
      <c r="E67" s="14">
        <f t="shared" ca="1" si="14"/>
        <v>-6098948</v>
      </c>
      <c r="F67" s="5">
        <f ca="1">-SUMIFS('Input-Events'!H$4:H$106, 'Input-Events'!E$4:E$106, $C67)</f>
        <v>0</v>
      </c>
      <c r="G67" s="4" t="str" cm="1">
        <f t="array" aca="1" ref="G67" ca="1">_xlfn.TEXTJOIN(", ", TRUE, IF('Input-Events'!E$4:E$106=$C67, 'Input-Events'!D$4:D$106, ""))</f>
        <v/>
      </c>
      <c r="H67" s="5">
        <f t="shared" ca="1" si="8"/>
        <v>596743.5</v>
      </c>
      <c r="I67" s="5">
        <f t="shared" ca="1" si="7"/>
        <v>3190866192.5</v>
      </c>
      <c r="J67" s="5">
        <f t="shared" ca="1" si="9"/>
        <v>382903943</v>
      </c>
      <c r="K67" s="6">
        <f t="shared" ca="1" si="10"/>
        <v>3573770136</v>
      </c>
    </row>
    <row r="68" spans="2:11" x14ac:dyDescent="0.25">
      <c r="B68" s="3">
        <f t="shared" ca="1" si="11"/>
        <v>2084</v>
      </c>
      <c r="C68" s="4">
        <f t="shared" ca="1" si="12"/>
        <v>93</v>
      </c>
      <c r="D68" s="5">
        <f t="shared" ca="1" si="13"/>
        <v>3573770136</v>
      </c>
      <c r="E68" s="14">
        <f t="shared" ca="1" si="14"/>
        <v>-6159938</v>
      </c>
      <c r="F68" s="5">
        <f ca="1">-SUMIFS('Input-Events'!H$4:H$106, 'Input-Events'!E$4:E$106, $C68)</f>
        <v>0</v>
      </c>
      <c r="G68" s="4" t="str" cm="1">
        <f t="array" aca="1" ref="G68" ca="1">_xlfn.TEXTJOIN(", ", TRUE, IF('Input-Events'!E$4:E$106=$C68, 'Input-Events'!D$4:D$106, ""))</f>
        <v/>
      </c>
      <c r="H68" s="5">
        <f t="shared" ca="1" si="8"/>
        <v>604367.25</v>
      </c>
      <c r="I68" s="5">
        <f t="shared" ca="1" si="7"/>
        <v>3567005830.75</v>
      </c>
      <c r="J68" s="5">
        <f t="shared" ca="1" si="9"/>
        <v>428040700</v>
      </c>
      <c r="K68" s="6">
        <f t="shared" ca="1" si="10"/>
        <v>3995046531</v>
      </c>
    </row>
    <row r="69" spans="2:11" x14ac:dyDescent="0.25">
      <c r="B69" s="3">
        <f t="shared" ca="1" si="11"/>
        <v>2085</v>
      </c>
      <c r="C69" s="4">
        <f t="shared" ca="1" si="12"/>
        <v>94</v>
      </c>
      <c r="D69" s="5">
        <f t="shared" ca="1" si="13"/>
        <v>3995046531</v>
      </c>
      <c r="E69" s="14">
        <f t="shared" ca="1" si="14"/>
        <v>-6221537</v>
      </c>
      <c r="F69" s="5">
        <f ca="1">-SUMIFS('Input-Events'!H$4:H$106, 'Input-Events'!E$4:E$106, $C69)</f>
        <v>0</v>
      </c>
      <c r="G69" s="4" t="str" cm="1">
        <f t="array" aca="1" ref="G69" ca="1">_xlfn.TEXTJOIN(", ", TRUE, IF('Input-Events'!E$4:E$106=$C69, 'Input-Events'!D$4:D$106, ""))</f>
        <v/>
      </c>
      <c r="H69" s="5">
        <f t="shared" ca="1" si="8"/>
        <v>612067.125</v>
      </c>
      <c r="I69" s="5">
        <f t="shared" ca="1" si="7"/>
        <v>3988212926.875</v>
      </c>
      <c r="J69" s="5">
        <f t="shared" ca="1" si="9"/>
        <v>478585551</v>
      </c>
      <c r="K69" s="6">
        <f t="shared" ca="1" si="10"/>
        <v>4466798478</v>
      </c>
    </row>
    <row r="70" spans="2:11" x14ac:dyDescent="0.25">
      <c r="B70" s="3">
        <f t="shared" ca="1" si="11"/>
        <v>2086</v>
      </c>
      <c r="C70" s="4">
        <f t="shared" ca="1" si="12"/>
        <v>95</v>
      </c>
      <c r="D70" s="5">
        <f t="shared" ca="1" si="13"/>
        <v>4466798478</v>
      </c>
      <c r="E70" s="14">
        <f t="shared" ca="1" si="14"/>
        <v>-6283752</v>
      </c>
      <c r="F70" s="5">
        <f ca="1">-SUMIFS('Input-Events'!H$4:H$106, 'Input-Events'!E$4:E$106, $C70)</f>
        <v>0</v>
      </c>
      <c r="G70" s="4" t="str" cm="1">
        <f t="array" aca="1" ref="G70" ca="1">_xlfn.TEXTJOIN(", ", TRUE, IF('Input-Events'!E$4:E$106=$C70, 'Input-Events'!D$4:D$106, ""))</f>
        <v/>
      </c>
      <c r="H70" s="5">
        <f t="shared" ca="1" si="8"/>
        <v>619844</v>
      </c>
      <c r="I70" s="5">
        <f t="shared" ca="1" si="7"/>
        <v>4459894882</v>
      </c>
      <c r="J70" s="5">
        <f t="shared" ca="1" si="9"/>
        <v>535187386</v>
      </c>
      <c r="K70" s="6">
        <f t="shared" ca="1" si="10"/>
        <v>4995082268</v>
      </c>
    </row>
    <row r="71" spans="2:11" x14ac:dyDescent="0.25">
      <c r="B71" s="3">
        <f t="shared" ca="1" si="11"/>
        <v>2087</v>
      </c>
      <c r="C71" s="4">
        <f t="shared" ca="1" si="12"/>
        <v>96</v>
      </c>
      <c r="D71" s="5">
        <f t="shared" ca="1" si="13"/>
        <v>4995082268</v>
      </c>
      <c r="E71" s="14">
        <f t="shared" ca="1" si="14"/>
        <v>-6346590</v>
      </c>
      <c r="F71" s="5">
        <f ca="1">-SUMIFS('Input-Events'!H$4:H$106, 'Input-Events'!E$4:E$106, $C71)</f>
        <v>0</v>
      </c>
      <c r="G71" s="4" t="str" cm="1">
        <f t="array" aca="1" ref="G71" ca="1">_xlfn.TEXTJOIN(", ", TRUE, IF('Input-Events'!E$4:E$106=$C71, 'Input-Events'!D$4:D$106, ""))</f>
        <v/>
      </c>
      <c r="H71" s="5">
        <f t="shared" ca="1" si="8"/>
        <v>627698.75</v>
      </c>
      <c r="I71" s="5">
        <f t="shared" ca="1" si="7"/>
        <v>4988107979.25</v>
      </c>
      <c r="J71" s="5">
        <f t="shared" ca="1" si="9"/>
        <v>598572958</v>
      </c>
      <c r="K71" s="6">
        <f t="shared" ca="1" si="10"/>
        <v>5586680937</v>
      </c>
    </row>
    <row r="72" spans="2:11" x14ac:dyDescent="0.25">
      <c r="B72" s="3">
        <f t="shared" ca="1" si="11"/>
        <v>2088</v>
      </c>
      <c r="C72" s="4">
        <f t="shared" ca="1" si="12"/>
        <v>97</v>
      </c>
      <c r="D72" s="5">
        <f t="shared" ca="1" si="13"/>
        <v>5586680937</v>
      </c>
      <c r="E72" s="14">
        <f t="shared" ca="1" si="14"/>
        <v>-6410056</v>
      </c>
      <c r="F72" s="5">
        <f ca="1">-SUMIFS('Input-Events'!H$4:H$106, 'Input-Events'!E$4:E$106, $C72)</f>
        <v>0</v>
      </c>
      <c r="G72" s="4" t="str" cm="1">
        <f t="array" aca="1" ref="G72" ca="1">_xlfn.TEXTJOIN(", ", TRUE, IF('Input-Events'!E$4:E$106=$C72, 'Input-Events'!D$4:D$106, ""))</f>
        <v/>
      </c>
      <c r="H72" s="5">
        <f t="shared" ca="1" si="8"/>
        <v>635632</v>
      </c>
      <c r="I72" s="5">
        <f t="shared" ca="1" si="7"/>
        <v>5579635249</v>
      </c>
      <c r="J72" s="5">
        <f t="shared" ca="1" si="9"/>
        <v>669556230</v>
      </c>
      <c r="K72" s="6">
        <f t="shared" ca="1" si="10"/>
        <v>6249191479</v>
      </c>
    </row>
    <row r="73" spans="2:11" x14ac:dyDescent="0.25">
      <c r="B73" s="3">
        <f t="shared" ca="1" si="11"/>
        <v>2089</v>
      </c>
      <c r="C73" s="4">
        <f t="shared" ca="1" si="12"/>
        <v>98</v>
      </c>
      <c r="D73" s="5">
        <f t="shared" ca="1" si="13"/>
        <v>6249191479</v>
      </c>
      <c r="E73" s="14">
        <f t="shared" ca="1" si="14"/>
        <v>-6474156</v>
      </c>
      <c r="F73" s="5">
        <f ca="1">-SUMIFS('Input-Events'!H$4:H$106, 'Input-Events'!E$4:E$106, $C73)</f>
        <v>0</v>
      </c>
      <c r="G73" s="4" t="str" cm="1">
        <f t="array" aca="1" ref="G73" ca="1">_xlfn.TEXTJOIN(", ", TRUE, IF('Input-Events'!E$4:E$106=$C73, 'Input-Events'!D$4:D$106, ""))</f>
        <v/>
      </c>
      <c r="H73" s="5">
        <f t="shared" ref="H73:H109" ca="1" si="15">IF(AND($C73&gt;userRetirementAge, SUM($E73, swpLTCGExemption, swpOtherTaxExemptions) &lt; 0), (-SUM($E73, swpLTCGExemption, swpOtherTaxExemptions))*swpLTCGTaxPercentage, 0)</f>
        <v>643644.5</v>
      </c>
      <c r="I73" s="5">
        <f t="shared" ca="1" si="7"/>
        <v>6242073678.5</v>
      </c>
      <c r="J73" s="5">
        <f t="shared" ref="J73:J109" ca="1" si="16">ROUND(IF($C73&gt;=userRetirementAge, IF($I73&gt;0, $I73*annualEffectivePostRetirementROI, 0), IF($I73&gt;0, $I73*annualEffectiveROI, 0)), 0)</f>
        <v>749048841</v>
      </c>
      <c r="K73" s="6">
        <f t="shared" ref="K73:K104" ca="1" si="17">ROUND(I73+J73, 0)</f>
        <v>6991122520</v>
      </c>
    </row>
    <row r="74" spans="2:11" x14ac:dyDescent="0.25">
      <c r="B74" s="3">
        <f t="shared" ref="B74:B109" ca="1" si="18">B73+1</f>
        <v>2090</v>
      </c>
      <c r="C74" s="4">
        <f t="shared" ref="C74:C109" ca="1" si="19">C73+1</f>
        <v>99</v>
      </c>
      <c r="D74" s="5">
        <f t="shared" ref="D74:D109" ca="1" si="20">ROUND(K73, 0)</f>
        <v>6991122520</v>
      </c>
      <c r="E74" s="14">
        <f t="shared" ref="E74:E109" ca="1" si="21">ROUND(IF($C74&gt;userRetirementAge, IF($D74&gt;0,-FV(annualChangeInSWP, $C74-userRetirementAge-1, 0, -annualWithdrawalSWP_FV, 1), 0), E73+E73*(annualIncreaseInSavings)), 0)</f>
        <v>-6538898</v>
      </c>
      <c r="F74" s="5">
        <f ca="1">-SUMIFS('Input-Events'!H$4:H$106, 'Input-Events'!E$4:E$106, $C74)</f>
        <v>0</v>
      </c>
      <c r="G74" s="4" t="str" cm="1">
        <f t="array" aca="1" ref="G74" ca="1">_xlfn.TEXTJOIN(", ", TRUE, IF('Input-Events'!E$4:E$106=$C74, 'Input-Events'!D$4:D$106, ""))</f>
        <v/>
      </c>
      <c r="H74" s="5">
        <f t="shared" ca="1" si="15"/>
        <v>651737.25</v>
      </c>
      <c r="I74" s="5">
        <f t="shared" ref="I74:I109" ca="1" si="22">$D74+$E74+$F74-$H74</f>
        <v>6983931884.75</v>
      </c>
      <c r="J74" s="5">
        <f t="shared" ca="1" si="16"/>
        <v>838071826</v>
      </c>
      <c r="K74" s="6">
        <f t="shared" ca="1" si="17"/>
        <v>7822003711</v>
      </c>
    </row>
    <row r="75" spans="2:11" x14ac:dyDescent="0.25">
      <c r="B75" s="3">
        <f t="shared" ca="1" si="18"/>
        <v>2091</v>
      </c>
      <c r="C75" s="4">
        <f t="shared" ca="1" si="19"/>
        <v>100</v>
      </c>
      <c r="D75" s="5">
        <f t="shared" ca="1" si="20"/>
        <v>7822003711</v>
      </c>
      <c r="E75" s="14">
        <f t="shared" ca="1" si="21"/>
        <v>-6604287</v>
      </c>
      <c r="F75" s="5">
        <f ca="1">-SUMIFS('Input-Events'!H$4:H$106, 'Input-Events'!E$4:E$106, $C75)</f>
        <v>0</v>
      </c>
      <c r="G75" s="4" t="str" cm="1">
        <f t="array" aca="1" ref="G75" ca="1">_xlfn.TEXTJOIN(", ", TRUE, IF('Input-Events'!E$4:E$106=$C75, 'Input-Events'!D$4:D$106, ""))</f>
        <v/>
      </c>
      <c r="H75" s="5">
        <f t="shared" ca="1" si="15"/>
        <v>659910.875</v>
      </c>
      <c r="I75" s="5">
        <f t="shared" ca="1" si="22"/>
        <v>7814739513.125</v>
      </c>
      <c r="J75" s="5">
        <f t="shared" ca="1" si="16"/>
        <v>937768742</v>
      </c>
      <c r="K75" s="6">
        <f t="shared" ca="1" si="17"/>
        <v>8752508255</v>
      </c>
    </row>
    <row r="76" spans="2:11" x14ac:dyDescent="0.25">
      <c r="B76" s="3">
        <f t="shared" ca="1" si="18"/>
        <v>2092</v>
      </c>
      <c r="C76" s="4">
        <f t="shared" ca="1" si="19"/>
        <v>101</v>
      </c>
      <c r="D76" s="5">
        <f t="shared" ca="1" si="20"/>
        <v>8752508255</v>
      </c>
      <c r="E76" s="14">
        <f t="shared" ca="1" si="21"/>
        <v>-6670330</v>
      </c>
      <c r="F76" s="5">
        <f ca="1">-SUMIFS('Input-Events'!H$4:H$106, 'Input-Events'!E$4:E$106, $C76)</f>
        <v>0</v>
      </c>
      <c r="G76" s="4" t="str" cm="1">
        <f t="array" aca="1" ref="G76" ca="1">_xlfn.TEXTJOIN(", ", TRUE, IF('Input-Events'!E$4:E$106=$C76, 'Input-Events'!D$4:D$106, ""))</f>
        <v/>
      </c>
      <c r="H76" s="5">
        <f t="shared" ca="1" si="15"/>
        <v>668166.25</v>
      </c>
      <c r="I76" s="5">
        <f t="shared" ca="1" si="22"/>
        <v>8745169758.75</v>
      </c>
      <c r="J76" s="5">
        <f t="shared" ca="1" si="16"/>
        <v>1049420371</v>
      </c>
      <c r="K76" s="6">
        <f t="shared" ca="1" si="17"/>
        <v>9794590130</v>
      </c>
    </row>
    <row r="77" spans="2:11" x14ac:dyDescent="0.25">
      <c r="B77" s="3">
        <f t="shared" ca="1" si="18"/>
        <v>2093</v>
      </c>
      <c r="C77" s="4">
        <f t="shared" ca="1" si="19"/>
        <v>102</v>
      </c>
      <c r="D77" s="5">
        <f t="shared" ca="1" si="20"/>
        <v>9794590130</v>
      </c>
      <c r="E77" s="14">
        <f t="shared" ca="1" si="21"/>
        <v>-6737033</v>
      </c>
      <c r="F77" s="5">
        <f ca="1">-SUMIFS('Input-Events'!H$4:H$106, 'Input-Events'!E$4:E$106, $C77)</f>
        <v>0</v>
      </c>
      <c r="G77" s="4" t="str" cm="1">
        <f t="array" aca="1" ref="G77" ca="1">_xlfn.TEXTJOIN(", ", TRUE, IF('Input-Events'!E$4:E$106=$C77, 'Input-Events'!D$4:D$106, ""))</f>
        <v/>
      </c>
      <c r="H77" s="5">
        <f t="shared" ca="1" si="15"/>
        <v>676504.125</v>
      </c>
      <c r="I77" s="5">
        <f t="shared" ca="1" si="22"/>
        <v>9787176592.875</v>
      </c>
      <c r="J77" s="5">
        <f t="shared" ca="1" si="16"/>
        <v>1174461191</v>
      </c>
      <c r="K77" s="6">
        <f t="shared" ca="1" si="17"/>
        <v>10961637784</v>
      </c>
    </row>
    <row r="78" spans="2:11" x14ac:dyDescent="0.25">
      <c r="B78" s="3">
        <f t="shared" ca="1" si="18"/>
        <v>2094</v>
      </c>
      <c r="C78" s="4">
        <f t="shared" ca="1" si="19"/>
        <v>103</v>
      </c>
      <c r="D78" s="5">
        <f t="shared" ca="1" si="20"/>
        <v>10961637784</v>
      </c>
      <c r="E78" s="14">
        <f t="shared" ca="1" si="21"/>
        <v>-6804404</v>
      </c>
      <c r="F78" s="5">
        <f ca="1">-SUMIFS('Input-Events'!H$4:H$106, 'Input-Events'!E$4:E$106, $C78)</f>
        <v>0</v>
      </c>
      <c r="G78" s="4" t="str" cm="1">
        <f t="array" aca="1" ref="G78" ca="1">_xlfn.TEXTJOIN(", ", TRUE, IF('Input-Events'!E$4:E$106=$C78, 'Input-Events'!D$4:D$106, ""))</f>
        <v/>
      </c>
      <c r="H78" s="5">
        <f t="shared" ca="1" si="15"/>
        <v>684925.5</v>
      </c>
      <c r="I78" s="5">
        <f t="shared" ca="1" si="22"/>
        <v>10954148454.5</v>
      </c>
      <c r="J78" s="5">
        <f t="shared" ca="1" si="16"/>
        <v>1314497815</v>
      </c>
      <c r="K78" s="6">
        <f t="shared" ca="1" si="17"/>
        <v>12268646270</v>
      </c>
    </row>
    <row r="79" spans="2:11" x14ac:dyDescent="0.25">
      <c r="B79" s="3">
        <f t="shared" ca="1" si="18"/>
        <v>2095</v>
      </c>
      <c r="C79" s="4">
        <f t="shared" ca="1" si="19"/>
        <v>104</v>
      </c>
      <c r="D79" s="5">
        <f t="shared" ca="1" si="20"/>
        <v>12268646270</v>
      </c>
      <c r="E79" s="14">
        <f t="shared" ca="1" si="21"/>
        <v>-6872448</v>
      </c>
      <c r="F79" s="5">
        <f ca="1">-SUMIFS('Input-Events'!H$4:H$106, 'Input-Events'!E$4:E$106, $C79)</f>
        <v>0</v>
      </c>
      <c r="G79" s="4" t="str" cm="1">
        <f t="array" aca="1" ref="G79" ca="1">_xlfn.TEXTJOIN(", ", TRUE, IF('Input-Events'!E$4:E$106=$C79, 'Input-Events'!D$4:D$106, ""))</f>
        <v/>
      </c>
      <c r="H79" s="5">
        <f t="shared" ca="1" si="15"/>
        <v>693431</v>
      </c>
      <c r="I79" s="5">
        <f t="shared" ca="1" si="22"/>
        <v>12261080391</v>
      </c>
      <c r="J79" s="5">
        <f t="shared" ca="1" si="16"/>
        <v>1471329647</v>
      </c>
      <c r="K79" s="6">
        <f t="shared" ca="1" si="17"/>
        <v>13732410038</v>
      </c>
    </row>
    <row r="80" spans="2:11" x14ac:dyDescent="0.25">
      <c r="B80" s="3">
        <f t="shared" ca="1" si="18"/>
        <v>2096</v>
      </c>
      <c r="C80" s="4">
        <f t="shared" ca="1" si="19"/>
        <v>105</v>
      </c>
      <c r="D80" s="5">
        <f t="shared" ca="1" si="20"/>
        <v>13732410038</v>
      </c>
      <c r="E80" s="14">
        <f t="shared" ca="1" si="21"/>
        <v>-6941172</v>
      </c>
      <c r="F80" s="5">
        <f ca="1">-SUMIFS('Input-Events'!H$4:H$106, 'Input-Events'!E$4:E$106, $C80)</f>
        <v>0</v>
      </c>
      <c r="G80" s="4" t="str" cm="1">
        <f t="array" aca="1" ref="G80" ca="1">_xlfn.TEXTJOIN(", ", TRUE, IF('Input-Events'!E$4:E$106=$C80, 'Input-Events'!D$4:D$106, ""))</f>
        <v/>
      </c>
      <c r="H80" s="5">
        <f t="shared" ca="1" si="15"/>
        <v>702021.5</v>
      </c>
      <c r="I80" s="5">
        <f t="shared" ca="1" si="22"/>
        <v>13724766844.5</v>
      </c>
      <c r="J80" s="5">
        <f t="shared" ca="1" si="16"/>
        <v>1646972021</v>
      </c>
      <c r="K80" s="6">
        <f t="shared" ca="1" si="17"/>
        <v>15371738866</v>
      </c>
    </row>
    <row r="81" spans="2:11" x14ac:dyDescent="0.25">
      <c r="B81" s="3">
        <f t="shared" ca="1" si="18"/>
        <v>2097</v>
      </c>
      <c r="C81" s="4">
        <f t="shared" ca="1" si="19"/>
        <v>106</v>
      </c>
      <c r="D81" s="5">
        <f t="shared" ca="1" si="20"/>
        <v>15371738866</v>
      </c>
      <c r="E81" s="14">
        <f t="shared" ca="1" si="21"/>
        <v>-7010584</v>
      </c>
      <c r="F81" s="5">
        <f ca="1">-SUMIFS('Input-Events'!H$4:H$106, 'Input-Events'!E$4:E$106, $C81)</f>
        <v>0</v>
      </c>
      <c r="G81" s="4" t="str" cm="1">
        <f t="array" aca="1" ref="G81" ca="1">_xlfn.TEXTJOIN(", ", TRUE, IF('Input-Events'!E$4:E$106=$C81, 'Input-Events'!D$4:D$106, ""))</f>
        <v/>
      </c>
      <c r="H81" s="5">
        <f t="shared" ca="1" si="15"/>
        <v>710698</v>
      </c>
      <c r="I81" s="5">
        <f t="shared" ca="1" si="22"/>
        <v>15364017584</v>
      </c>
      <c r="J81" s="5">
        <f t="shared" ca="1" si="16"/>
        <v>1843682110</v>
      </c>
      <c r="K81" s="6">
        <f t="shared" ca="1" si="17"/>
        <v>17207699694</v>
      </c>
    </row>
    <row r="82" spans="2:11" x14ac:dyDescent="0.25">
      <c r="B82" s="3">
        <f t="shared" ca="1" si="18"/>
        <v>2098</v>
      </c>
      <c r="C82" s="4">
        <f t="shared" ca="1" si="19"/>
        <v>107</v>
      </c>
      <c r="D82" s="5">
        <f t="shared" ca="1" si="20"/>
        <v>17207699694</v>
      </c>
      <c r="E82" s="14">
        <f t="shared" ca="1" si="21"/>
        <v>-7080690</v>
      </c>
      <c r="F82" s="5">
        <f ca="1">-SUMIFS('Input-Events'!H$4:H$106, 'Input-Events'!E$4:E$106, $C82)</f>
        <v>0</v>
      </c>
      <c r="G82" s="4" t="str" cm="1">
        <f t="array" aca="1" ref="G82" ca="1">_xlfn.TEXTJOIN(", ", TRUE, IF('Input-Events'!E$4:E$106=$C82, 'Input-Events'!D$4:D$106, ""))</f>
        <v/>
      </c>
      <c r="H82" s="5">
        <f t="shared" ca="1" si="15"/>
        <v>719461.25</v>
      </c>
      <c r="I82" s="5">
        <f t="shared" ca="1" si="22"/>
        <v>17199899542.75</v>
      </c>
      <c r="J82" s="5">
        <f t="shared" ca="1" si="16"/>
        <v>2063987945</v>
      </c>
      <c r="K82" s="6">
        <f t="shared" ca="1" si="17"/>
        <v>19263887488</v>
      </c>
    </row>
    <row r="83" spans="2:11" x14ac:dyDescent="0.25">
      <c r="B83" s="3">
        <f t="shared" ca="1" si="18"/>
        <v>2099</v>
      </c>
      <c r="C83" s="4">
        <f t="shared" ca="1" si="19"/>
        <v>108</v>
      </c>
      <c r="D83" s="5">
        <f t="shared" ca="1" si="20"/>
        <v>19263887488</v>
      </c>
      <c r="E83" s="14">
        <f t="shared" ca="1" si="21"/>
        <v>-7151496</v>
      </c>
      <c r="F83" s="5">
        <f ca="1">-SUMIFS('Input-Events'!H$4:H$106, 'Input-Events'!E$4:E$106, $C83)</f>
        <v>0</v>
      </c>
      <c r="G83" s="4" t="str" cm="1">
        <f t="array" aca="1" ref="G83" ca="1">_xlfn.TEXTJOIN(", ", TRUE, IF('Input-Events'!E$4:E$106=$C83, 'Input-Events'!D$4:D$106, ""))</f>
        <v/>
      </c>
      <c r="H83" s="5">
        <f t="shared" ca="1" si="15"/>
        <v>728312</v>
      </c>
      <c r="I83" s="5">
        <f t="shared" ca="1" si="22"/>
        <v>19256007680</v>
      </c>
      <c r="J83" s="5">
        <f t="shared" ca="1" si="16"/>
        <v>2310720922</v>
      </c>
      <c r="K83" s="6">
        <f t="shared" ca="1" si="17"/>
        <v>21566728602</v>
      </c>
    </row>
    <row r="84" spans="2:11" x14ac:dyDescent="0.25">
      <c r="B84" s="3">
        <f t="shared" ca="1" si="18"/>
        <v>2100</v>
      </c>
      <c r="C84" s="4">
        <f t="shared" ca="1" si="19"/>
        <v>109</v>
      </c>
      <c r="D84" s="5">
        <f t="shared" ca="1" si="20"/>
        <v>21566728602</v>
      </c>
      <c r="E84" s="14">
        <f t="shared" ca="1" si="21"/>
        <v>-7223011</v>
      </c>
      <c r="F84" s="5">
        <f ca="1">-SUMIFS('Input-Events'!H$4:H$106, 'Input-Events'!E$4:E$106, $C84)</f>
        <v>0</v>
      </c>
      <c r="G84" s="4" t="str" cm="1">
        <f t="array" aca="1" ref="G84" ca="1">_xlfn.TEXTJOIN(", ", TRUE, IF('Input-Events'!E$4:E$106=$C84, 'Input-Events'!D$4:D$106, ""))</f>
        <v/>
      </c>
      <c r="H84" s="5">
        <f t="shared" ca="1" si="15"/>
        <v>737251.375</v>
      </c>
      <c r="I84" s="5">
        <f t="shared" ca="1" si="22"/>
        <v>21558768339.625</v>
      </c>
      <c r="J84" s="5">
        <f t="shared" ca="1" si="16"/>
        <v>2587052201</v>
      </c>
      <c r="K84" s="6">
        <f t="shared" ca="1" si="17"/>
        <v>24145820541</v>
      </c>
    </row>
    <row r="85" spans="2:11" x14ac:dyDescent="0.25">
      <c r="B85" s="3">
        <f t="shared" ca="1" si="18"/>
        <v>2101</v>
      </c>
      <c r="C85" s="4">
        <f t="shared" ca="1" si="19"/>
        <v>110</v>
      </c>
      <c r="D85" s="5">
        <f t="shared" ca="1" si="20"/>
        <v>24145820541</v>
      </c>
      <c r="E85" s="14">
        <f t="shared" ca="1" si="21"/>
        <v>-7295242</v>
      </c>
      <c r="F85" s="5">
        <f ca="1">-SUMIFS('Input-Events'!H$4:H$106, 'Input-Events'!E$4:E$106, $C85)</f>
        <v>0</v>
      </c>
      <c r="G85" s="4" t="str" cm="1">
        <f t="array" aca="1" ref="G85" ca="1">_xlfn.TEXTJOIN(", ", TRUE, IF('Input-Events'!E$4:E$106=$C85, 'Input-Events'!D$4:D$106, ""))</f>
        <v/>
      </c>
      <c r="H85" s="5">
        <f t="shared" ca="1" si="15"/>
        <v>746280.25</v>
      </c>
      <c r="I85" s="5">
        <f t="shared" ca="1" si="22"/>
        <v>24137779018.75</v>
      </c>
      <c r="J85" s="5">
        <f t="shared" ca="1" si="16"/>
        <v>2896533482</v>
      </c>
      <c r="K85" s="6">
        <f t="shared" ca="1" si="17"/>
        <v>27034312501</v>
      </c>
    </row>
    <row r="86" spans="2:11" x14ac:dyDescent="0.25">
      <c r="B86" s="3">
        <f t="shared" ca="1" si="18"/>
        <v>2102</v>
      </c>
      <c r="C86" s="4">
        <f t="shared" ca="1" si="19"/>
        <v>111</v>
      </c>
      <c r="D86" s="5">
        <f t="shared" ca="1" si="20"/>
        <v>27034312501</v>
      </c>
      <c r="E86" s="14">
        <f t="shared" ca="1" si="21"/>
        <v>-7368194</v>
      </c>
      <c r="F86" s="5">
        <f ca="1">-SUMIFS('Input-Events'!H$4:H$106, 'Input-Events'!E$4:E$106, $C86)</f>
        <v>0</v>
      </c>
      <c r="G86" s="4" t="str" cm="1">
        <f t="array" aca="1" ref="G86" ca="1">_xlfn.TEXTJOIN(", ", TRUE, IF('Input-Events'!E$4:E$106=$C86, 'Input-Events'!D$4:D$106, ""))</f>
        <v/>
      </c>
      <c r="H86" s="5">
        <f t="shared" ca="1" si="15"/>
        <v>755399.25</v>
      </c>
      <c r="I86" s="5">
        <f t="shared" ca="1" si="22"/>
        <v>27026188907.75</v>
      </c>
      <c r="J86" s="5">
        <f t="shared" ca="1" si="16"/>
        <v>3243142669</v>
      </c>
      <c r="K86" s="6">
        <f t="shared" ca="1" si="17"/>
        <v>30269331577</v>
      </c>
    </row>
    <row r="87" spans="2:11" x14ac:dyDescent="0.25">
      <c r="B87" s="3">
        <f t="shared" ca="1" si="18"/>
        <v>2103</v>
      </c>
      <c r="C87" s="4">
        <f t="shared" ca="1" si="19"/>
        <v>112</v>
      </c>
      <c r="D87" s="5">
        <f t="shared" ca="1" si="20"/>
        <v>30269331577</v>
      </c>
      <c r="E87" s="14">
        <f t="shared" ca="1" si="21"/>
        <v>-7441876</v>
      </c>
      <c r="F87" s="5">
        <f ca="1">-SUMIFS('Input-Events'!H$4:H$106, 'Input-Events'!E$4:E$106, $C87)</f>
        <v>0</v>
      </c>
      <c r="G87" s="4" t="str" cm="1">
        <f t="array" aca="1" ref="G87" ca="1">_xlfn.TEXTJOIN(", ", TRUE, IF('Input-Events'!E$4:E$106=$C87, 'Input-Events'!D$4:D$106, ""))</f>
        <v/>
      </c>
      <c r="H87" s="5">
        <f t="shared" ca="1" si="15"/>
        <v>764609.5</v>
      </c>
      <c r="I87" s="5">
        <f t="shared" ca="1" si="22"/>
        <v>30261125091.5</v>
      </c>
      <c r="J87" s="5">
        <f t="shared" ca="1" si="16"/>
        <v>3631335011</v>
      </c>
      <c r="K87" s="6">
        <f t="shared" ca="1" si="17"/>
        <v>33892460103</v>
      </c>
    </row>
    <row r="88" spans="2:11" x14ac:dyDescent="0.25">
      <c r="B88" s="3">
        <f t="shared" ca="1" si="18"/>
        <v>2104</v>
      </c>
      <c r="C88" s="4">
        <f t="shared" ca="1" si="19"/>
        <v>113</v>
      </c>
      <c r="D88" s="5">
        <f t="shared" ca="1" si="20"/>
        <v>33892460103</v>
      </c>
      <c r="E88" s="14">
        <f t="shared" ca="1" si="21"/>
        <v>-7516295</v>
      </c>
      <c r="F88" s="5">
        <f ca="1">-SUMIFS('Input-Events'!H$4:H$106, 'Input-Events'!E$4:E$106, $C88)</f>
        <v>0</v>
      </c>
      <c r="G88" s="4" t="str" cm="1">
        <f t="array" aca="1" ref="G88" ca="1">_xlfn.TEXTJOIN(", ", TRUE, IF('Input-Events'!E$4:E$106=$C88, 'Input-Events'!D$4:D$106, ""))</f>
        <v/>
      </c>
      <c r="H88" s="5">
        <f t="shared" ca="1" si="15"/>
        <v>773911.875</v>
      </c>
      <c r="I88" s="5">
        <f t="shared" ca="1" si="22"/>
        <v>33884169896.125</v>
      </c>
      <c r="J88" s="5">
        <f t="shared" ca="1" si="16"/>
        <v>4066100388</v>
      </c>
      <c r="K88" s="6">
        <f t="shared" ca="1" si="17"/>
        <v>37950270284</v>
      </c>
    </row>
    <row r="89" spans="2:11" x14ac:dyDescent="0.25">
      <c r="B89" s="3">
        <f t="shared" ca="1" si="18"/>
        <v>2105</v>
      </c>
      <c r="C89" s="4">
        <f t="shared" ca="1" si="19"/>
        <v>114</v>
      </c>
      <c r="D89" s="5">
        <f t="shared" ca="1" si="20"/>
        <v>37950270284</v>
      </c>
      <c r="E89" s="14">
        <f t="shared" ca="1" si="21"/>
        <v>-7591458</v>
      </c>
      <c r="F89" s="5">
        <f ca="1">-SUMIFS('Input-Events'!H$4:H$106, 'Input-Events'!E$4:E$106, $C89)</f>
        <v>0</v>
      </c>
      <c r="G89" s="4" t="str" cm="1">
        <f t="array" aca="1" ref="G89" ca="1">_xlfn.TEXTJOIN(", ", TRUE, IF('Input-Events'!E$4:E$106=$C89, 'Input-Events'!D$4:D$106, ""))</f>
        <v/>
      </c>
      <c r="H89" s="5">
        <f t="shared" ca="1" si="15"/>
        <v>783307.25</v>
      </c>
      <c r="I89" s="5">
        <f t="shared" ca="1" si="22"/>
        <v>37941895518.75</v>
      </c>
      <c r="J89" s="5">
        <f t="shared" ca="1" si="16"/>
        <v>4553027462</v>
      </c>
      <c r="K89" s="6">
        <f t="shared" ca="1" si="17"/>
        <v>42494922981</v>
      </c>
    </row>
    <row r="90" spans="2:11" x14ac:dyDescent="0.25">
      <c r="B90" s="3">
        <f t="shared" ca="1" si="18"/>
        <v>2106</v>
      </c>
      <c r="C90" s="4">
        <f t="shared" ca="1" si="19"/>
        <v>115</v>
      </c>
      <c r="D90" s="5">
        <f t="shared" ca="1" si="20"/>
        <v>42494922981</v>
      </c>
      <c r="E90" s="14">
        <f t="shared" ca="1" si="21"/>
        <v>-7667372</v>
      </c>
      <c r="F90" s="5">
        <f ca="1">-SUMIFS('Input-Events'!H$4:H$106, 'Input-Events'!E$4:E$106, $C90)</f>
        <v>0</v>
      </c>
      <c r="G90" s="4" t="str" cm="1">
        <f t="array" aca="1" ref="G90" ca="1">_xlfn.TEXTJOIN(", ", TRUE, IF('Input-Events'!E$4:E$106=$C90, 'Input-Events'!D$4:D$106, ""))</f>
        <v/>
      </c>
      <c r="H90" s="5">
        <f t="shared" ca="1" si="15"/>
        <v>792796.5</v>
      </c>
      <c r="I90" s="5">
        <f t="shared" ca="1" si="22"/>
        <v>42486462812.5</v>
      </c>
      <c r="J90" s="5">
        <f t="shared" ca="1" si="16"/>
        <v>5098375538</v>
      </c>
      <c r="K90" s="6">
        <f t="shared" ca="1" si="17"/>
        <v>47584838351</v>
      </c>
    </row>
    <row r="91" spans="2:11" x14ac:dyDescent="0.25">
      <c r="B91" s="3">
        <f t="shared" ca="1" si="18"/>
        <v>2107</v>
      </c>
      <c r="C91" s="4">
        <f t="shared" ca="1" si="19"/>
        <v>116</v>
      </c>
      <c r="D91" s="5">
        <f t="shared" ca="1" si="20"/>
        <v>47584838351</v>
      </c>
      <c r="E91" s="14">
        <f t="shared" ca="1" si="21"/>
        <v>-7744046</v>
      </c>
      <c r="F91" s="5">
        <f ca="1">-SUMIFS('Input-Events'!H$4:H$106, 'Input-Events'!E$4:E$106, $C91)</f>
        <v>0</v>
      </c>
      <c r="G91" s="4" t="str" cm="1">
        <f t="array" aca="1" ref="G91" ca="1">_xlfn.TEXTJOIN(", ", TRUE, IF('Input-Events'!E$4:E$106=$C91, 'Input-Events'!D$4:D$106, ""))</f>
        <v/>
      </c>
      <c r="H91" s="5">
        <f t="shared" ca="1" si="15"/>
        <v>802380.75</v>
      </c>
      <c r="I91" s="5">
        <f t="shared" ca="1" si="22"/>
        <v>47576291924.25</v>
      </c>
      <c r="J91" s="5">
        <f t="shared" ca="1" si="16"/>
        <v>5709155031</v>
      </c>
      <c r="K91" s="6">
        <f t="shared" ca="1" si="17"/>
        <v>53285446955</v>
      </c>
    </row>
    <row r="92" spans="2:11" x14ac:dyDescent="0.25">
      <c r="B92" s="3">
        <f t="shared" ca="1" si="18"/>
        <v>2108</v>
      </c>
      <c r="C92" s="4">
        <f t="shared" ca="1" si="19"/>
        <v>117</v>
      </c>
      <c r="D92" s="5">
        <f t="shared" ca="1" si="20"/>
        <v>53285446955</v>
      </c>
      <c r="E92" s="14">
        <f t="shared" ca="1" si="21"/>
        <v>-7821486</v>
      </c>
      <c r="F92" s="5">
        <f ca="1">-SUMIFS('Input-Events'!H$4:H$106, 'Input-Events'!E$4:E$106, $C92)</f>
        <v>0</v>
      </c>
      <c r="G92" s="4" t="str" cm="1">
        <f t="array" aca="1" ref="G92" ca="1">_xlfn.TEXTJOIN(", ", TRUE, IF('Input-Events'!E$4:E$106=$C92, 'Input-Events'!D$4:D$106, ""))</f>
        <v/>
      </c>
      <c r="H92" s="5">
        <f t="shared" ca="1" si="15"/>
        <v>812060.75</v>
      </c>
      <c r="I92" s="5">
        <f t="shared" ca="1" si="22"/>
        <v>53276813408.25</v>
      </c>
      <c r="J92" s="5">
        <f t="shared" ca="1" si="16"/>
        <v>6393217609</v>
      </c>
      <c r="K92" s="6">
        <f t="shared" ca="1" si="17"/>
        <v>59670031017</v>
      </c>
    </row>
    <row r="93" spans="2:11" x14ac:dyDescent="0.25">
      <c r="B93" s="3">
        <f t="shared" ca="1" si="18"/>
        <v>2109</v>
      </c>
      <c r="C93" s="4">
        <f t="shared" ca="1" si="19"/>
        <v>118</v>
      </c>
      <c r="D93" s="5">
        <f t="shared" ca="1" si="20"/>
        <v>59670031017</v>
      </c>
      <c r="E93" s="14">
        <f t="shared" ca="1" si="21"/>
        <v>-7899701</v>
      </c>
      <c r="F93" s="5">
        <f ca="1">-SUMIFS('Input-Events'!H$4:H$106, 'Input-Events'!E$4:E$106, $C93)</f>
        <v>0</v>
      </c>
      <c r="G93" s="4" t="str" cm="1">
        <f t="array" aca="1" ref="G93" ca="1">_xlfn.TEXTJOIN(", ", TRUE, IF('Input-Events'!E$4:E$106=$C93, 'Input-Events'!D$4:D$106, ""))</f>
        <v/>
      </c>
      <c r="H93" s="5">
        <f t="shared" ca="1" si="15"/>
        <v>821837.625</v>
      </c>
      <c r="I93" s="5">
        <f t="shared" ca="1" si="22"/>
        <v>59661309478.375</v>
      </c>
      <c r="J93" s="5">
        <f t="shared" ca="1" si="16"/>
        <v>7159357137</v>
      </c>
      <c r="K93" s="6">
        <f t="shared" ca="1" si="17"/>
        <v>66820666615</v>
      </c>
    </row>
    <row r="94" spans="2:11" x14ac:dyDescent="0.25">
      <c r="B94" s="3">
        <f t="shared" ca="1" si="18"/>
        <v>2110</v>
      </c>
      <c r="C94" s="4">
        <f t="shared" ca="1" si="19"/>
        <v>119</v>
      </c>
      <c r="D94" s="5">
        <f t="shared" ca="1" si="20"/>
        <v>66820666615</v>
      </c>
      <c r="E94" s="14">
        <f t="shared" ca="1" si="21"/>
        <v>-7978698</v>
      </c>
      <c r="F94" s="5">
        <f ca="1">-SUMIFS('Input-Events'!H$4:H$106, 'Input-Events'!E$4:E$106, $C94)</f>
        <v>0</v>
      </c>
      <c r="G94" s="4" t="str" cm="1">
        <f t="array" aca="1" ref="G94" ca="1">_xlfn.TEXTJOIN(", ", TRUE, IF('Input-Events'!E$4:E$106=$C94, 'Input-Events'!D$4:D$106, ""))</f>
        <v/>
      </c>
      <c r="H94" s="5">
        <f t="shared" ca="1" si="15"/>
        <v>831712.25</v>
      </c>
      <c r="I94" s="5">
        <f t="shared" ca="1" si="22"/>
        <v>66811856204.75</v>
      </c>
      <c r="J94" s="5">
        <f t="shared" ca="1" si="16"/>
        <v>8017422745</v>
      </c>
      <c r="K94" s="6">
        <f t="shared" ca="1" si="17"/>
        <v>74829278950</v>
      </c>
    </row>
    <row r="95" spans="2:11" x14ac:dyDescent="0.25">
      <c r="B95" s="3">
        <f t="shared" ca="1" si="18"/>
        <v>2111</v>
      </c>
      <c r="C95" s="4">
        <f t="shared" ca="1" si="19"/>
        <v>120</v>
      </c>
      <c r="D95" s="5">
        <f t="shared" ca="1" si="20"/>
        <v>74829278950</v>
      </c>
      <c r="E95" s="14">
        <f t="shared" ca="1" si="21"/>
        <v>-8058485</v>
      </c>
      <c r="F95" s="5">
        <f ca="1">-SUMIFS('Input-Events'!H$4:H$106, 'Input-Events'!E$4:E$106, $C95)</f>
        <v>0</v>
      </c>
      <c r="G95" s="4" t="str" cm="1">
        <f t="array" aca="1" ref="G95" ca="1">_xlfn.TEXTJOIN(", ", TRUE, IF('Input-Events'!E$4:E$106=$C95, 'Input-Events'!D$4:D$106, ""))</f>
        <v/>
      </c>
      <c r="H95" s="5">
        <f t="shared" ca="1" si="15"/>
        <v>841685.625</v>
      </c>
      <c r="I95" s="5">
        <f t="shared" ca="1" si="22"/>
        <v>74820378779.375</v>
      </c>
      <c r="J95" s="5">
        <f t="shared" ca="1" si="16"/>
        <v>8978445454</v>
      </c>
      <c r="K95" s="6">
        <f t="shared" ca="1" si="17"/>
        <v>83798824233</v>
      </c>
    </row>
    <row r="96" spans="2:11" x14ac:dyDescent="0.25">
      <c r="B96" s="3">
        <f t="shared" ca="1" si="18"/>
        <v>2112</v>
      </c>
      <c r="C96" s="4">
        <f t="shared" ca="1" si="19"/>
        <v>121</v>
      </c>
      <c r="D96" s="5">
        <f t="shared" ca="1" si="20"/>
        <v>83798824233</v>
      </c>
      <c r="E96" s="14">
        <f t="shared" ca="1" si="21"/>
        <v>-8139070</v>
      </c>
      <c r="F96" s="5">
        <f ca="1">-SUMIFS('Input-Events'!H$4:H$106, 'Input-Events'!E$4:E$106, $C96)</f>
        <v>0</v>
      </c>
      <c r="G96" s="4" t="str" cm="1">
        <f t="array" aca="1" ref="G96" ca="1">_xlfn.TEXTJOIN(", ", TRUE, IF('Input-Events'!E$4:E$106=$C96, 'Input-Events'!D$4:D$106, ""))</f>
        <v/>
      </c>
      <c r="H96" s="5">
        <f t="shared" ca="1" si="15"/>
        <v>851758.75</v>
      </c>
      <c r="I96" s="5">
        <f t="shared" ca="1" si="22"/>
        <v>83789833404.25</v>
      </c>
      <c r="J96" s="5">
        <f t="shared" ca="1" si="16"/>
        <v>10054780009</v>
      </c>
      <c r="K96" s="6">
        <f t="shared" ca="1" si="17"/>
        <v>93844613413</v>
      </c>
    </row>
    <row r="97" spans="2:11" x14ac:dyDescent="0.25">
      <c r="B97" s="3">
        <f t="shared" ca="1" si="18"/>
        <v>2113</v>
      </c>
      <c r="C97" s="4">
        <f t="shared" ca="1" si="19"/>
        <v>122</v>
      </c>
      <c r="D97" s="5">
        <f t="shared" ca="1" si="20"/>
        <v>93844613413</v>
      </c>
      <c r="E97" s="14">
        <f t="shared" ca="1" si="21"/>
        <v>-8220461</v>
      </c>
      <c r="F97" s="5">
        <f ca="1">-SUMIFS('Input-Events'!H$4:H$106, 'Input-Events'!E$4:E$106, $C97)</f>
        <v>0</v>
      </c>
      <c r="G97" s="4" t="str" cm="1">
        <f t="array" aca="1" ref="G97" ca="1">_xlfn.TEXTJOIN(", ", TRUE, IF('Input-Events'!E$4:E$106=$C97, 'Input-Events'!D$4:D$106, ""))</f>
        <v/>
      </c>
      <c r="H97" s="5">
        <f t="shared" ca="1" si="15"/>
        <v>861932.625</v>
      </c>
      <c r="I97" s="5">
        <f t="shared" ca="1" si="22"/>
        <v>93835531019.375</v>
      </c>
      <c r="J97" s="5">
        <f t="shared" ca="1" si="16"/>
        <v>11260263722</v>
      </c>
      <c r="K97" s="6">
        <f t="shared" ca="1" si="17"/>
        <v>105095794741</v>
      </c>
    </row>
    <row r="98" spans="2:11" x14ac:dyDescent="0.25">
      <c r="B98" s="3">
        <f t="shared" ca="1" si="18"/>
        <v>2114</v>
      </c>
      <c r="C98" s="4">
        <f t="shared" ca="1" si="19"/>
        <v>123</v>
      </c>
      <c r="D98" s="5">
        <f t="shared" ca="1" si="20"/>
        <v>105095794741</v>
      </c>
      <c r="E98" s="14">
        <f t="shared" ca="1" si="21"/>
        <v>-8302665</v>
      </c>
      <c r="F98" s="5">
        <f ca="1">-SUMIFS('Input-Events'!H$4:H$106, 'Input-Events'!E$4:E$106, $C98)</f>
        <v>0</v>
      </c>
      <c r="G98" s="4" t="str" cm="1">
        <f t="array" aca="1" ref="G98" ca="1">_xlfn.TEXTJOIN(", ", TRUE, IF('Input-Events'!E$4:E$106=$C98, 'Input-Events'!D$4:D$106, ""))</f>
        <v/>
      </c>
      <c r="H98" s="5">
        <f t="shared" ca="1" si="15"/>
        <v>872208.125</v>
      </c>
      <c r="I98" s="5">
        <f t="shared" ca="1" si="22"/>
        <v>105086619867.875</v>
      </c>
      <c r="J98" s="5">
        <f t="shared" ca="1" si="16"/>
        <v>12610394384</v>
      </c>
      <c r="K98" s="6">
        <f t="shared" ca="1" si="17"/>
        <v>117697014252</v>
      </c>
    </row>
    <row r="99" spans="2:11" x14ac:dyDescent="0.25">
      <c r="B99" s="3">
        <f t="shared" ca="1" si="18"/>
        <v>2115</v>
      </c>
      <c r="C99" s="4">
        <f t="shared" ca="1" si="19"/>
        <v>124</v>
      </c>
      <c r="D99" s="5">
        <f t="shared" ca="1" si="20"/>
        <v>117697014252</v>
      </c>
      <c r="E99" s="14">
        <f t="shared" ca="1" si="21"/>
        <v>-8385692</v>
      </c>
      <c r="F99" s="5">
        <f ca="1">-SUMIFS('Input-Events'!H$4:H$106, 'Input-Events'!E$4:E$106, $C99)</f>
        <v>0</v>
      </c>
      <c r="G99" s="4" t="str" cm="1">
        <f t="array" aca="1" ref="G99" ca="1">_xlfn.TEXTJOIN(", ", TRUE, IF('Input-Events'!E$4:E$106=$C99, 'Input-Events'!D$4:D$106, ""))</f>
        <v/>
      </c>
      <c r="H99" s="5">
        <f t="shared" ca="1" si="15"/>
        <v>882586.5</v>
      </c>
      <c r="I99" s="5">
        <f t="shared" ca="1" si="22"/>
        <v>117687745973.5</v>
      </c>
      <c r="J99" s="5">
        <f t="shared" ca="1" si="16"/>
        <v>14122529517</v>
      </c>
      <c r="K99" s="6">
        <f t="shared" ca="1" si="17"/>
        <v>131810275491</v>
      </c>
    </row>
    <row r="100" spans="2:11" x14ac:dyDescent="0.25">
      <c r="B100" s="3">
        <f t="shared" ca="1" si="18"/>
        <v>2116</v>
      </c>
      <c r="C100" s="4">
        <f t="shared" ca="1" si="19"/>
        <v>125</v>
      </c>
      <c r="D100" s="5">
        <f t="shared" ca="1" si="20"/>
        <v>131810275491</v>
      </c>
      <c r="E100" s="14">
        <f t="shared" ca="1" si="21"/>
        <v>-8469549</v>
      </c>
      <c r="F100" s="5">
        <f ca="1">-SUMIFS('Input-Events'!H$4:H$106, 'Input-Events'!E$4:E$106, $C100)</f>
        <v>0</v>
      </c>
      <c r="G100" s="4" t="str" cm="1">
        <f t="array" aca="1" ref="G100" ca="1">_xlfn.TEXTJOIN(", ", TRUE, IF('Input-Events'!E$4:E$106=$C100, 'Input-Events'!D$4:D$106, ""))</f>
        <v/>
      </c>
      <c r="H100" s="5">
        <f t="shared" ca="1" si="15"/>
        <v>893068.625</v>
      </c>
      <c r="I100" s="5">
        <f t="shared" ca="1" si="22"/>
        <v>131800912873.375</v>
      </c>
      <c r="J100" s="5">
        <f t="shared" ca="1" si="16"/>
        <v>15816109545</v>
      </c>
      <c r="K100" s="6">
        <f t="shared" ca="1" si="17"/>
        <v>147617022418</v>
      </c>
    </row>
    <row r="101" spans="2:11" x14ac:dyDescent="0.25">
      <c r="B101" s="3">
        <f t="shared" ca="1" si="18"/>
        <v>2117</v>
      </c>
      <c r="C101" s="4">
        <f t="shared" ca="1" si="19"/>
        <v>126</v>
      </c>
      <c r="D101" s="5">
        <f t="shared" ca="1" si="20"/>
        <v>147617022418</v>
      </c>
      <c r="E101" s="14">
        <f t="shared" ca="1" si="21"/>
        <v>-8554244</v>
      </c>
      <c r="F101" s="5">
        <f ca="1">-SUMIFS('Input-Events'!H$4:H$106, 'Input-Events'!E$4:E$106, $C101)</f>
        <v>0</v>
      </c>
      <c r="G101" s="4" t="str" cm="1">
        <f t="array" aca="1" ref="G101" ca="1">_xlfn.TEXTJOIN(", ", TRUE, IF('Input-Events'!E$4:E$106=$C101, 'Input-Events'!D$4:D$106, ""))</f>
        <v/>
      </c>
      <c r="H101" s="5">
        <f t="shared" ca="1" si="15"/>
        <v>903655.5</v>
      </c>
      <c r="I101" s="5">
        <f t="shared" ca="1" si="22"/>
        <v>147607564518.5</v>
      </c>
      <c r="J101" s="5">
        <f t="shared" ca="1" si="16"/>
        <v>17712907742</v>
      </c>
      <c r="K101" s="6">
        <f t="shared" ca="1" si="17"/>
        <v>165320472261</v>
      </c>
    </row>
    <row r="102" spans="2:11" x14ac:dyDescent="0.25">
      <c r="B102" s="3">
        <f t="shared" ca="1" si="18"/>
        <v>2118</v>
      </c>
      <c r="C102" s="4">
        <f t="shared" ca="1" si="19"/>
        <v>127</v>
      </c>
      <c r="D102" s="5">
        <f t="shared" ca="1" si="20"/>
        <v>165320472261</v>
      </c>
      <c r="E102" s="14">
        <f t="shared" ca="1" si="21"/>
        <v>-8639787</v>
      </c>
      <c r="F102" s="5">
        <f ca="1">-SUMIFS('Input-Events'!H$4:H$106, 'Input-Events'!E$4:E$106, $C102)</f>
        <v>0</v>
      </c>
      <c r="G102" s="4" t="str" cm="1">
        <f t="array" aca="1" ref="G102" ca="1">_xlfn.TEXTJOIN(", ", TRUE, IF('Input-Events'!E$4:E$106=$C102, 'Input-Events'!D$4:D$106, ""))</f>
        <v/>
      </c>
      <c r="H102" s="5">
        <f t="shared" ca="1" si="15"/>
        <v>914348.375</v>
      </c>
      <c r="I102" s="5">
        <f t="shared" ca="1" si="22"/>
        <v>165310918125.625</v>
      </c>
      <c r="J102" s="5">
        <f t="shared" ca="1" si="16"/>
        <v>19837310175</v>
      </c>
      <c r="K102" s="6">
        <f t="shared" ca="1" si="17"/>
        <v>185148228301</v>
      </c>
    </row>
    <row r="103" spans="2:11" x14ac:dyDescent="0.25">
      <c r="B103" s="3">
        <f t="shared" ca="1" si="18"/>
        <v>2119</v>
      </c>
      <c r="C103" s="4">
        <f t="shared" ca="1" si="19"/>
        <v>128</v>
      </c>
      <c r="D103" s="5">
        <f t="shared" ca="1" si="20"/>
        <v>185148228301</v>
      </c>
      <c r="E103" s="14">
        <f t="shared" ca="1" si="21"/>
        <v>-8726185</v>
      </c>
      <c r="F103" s="5">
        <f ca="1">-SUMIFS('Input-Events'!H$4:H$106, 'Input-Events'!E$4:E$106, $C103)</f>
        <v>0</v>
      </c>
      <c r="G103" s="4" t="str" cm="1">
        <f t="array" aca="1" ref="G103" ca="1">_xlfn.TEXTJOIN(", ", TRUE, IF('Input-Events'!E$4:E$106=$C103, 'Input-Events'!D$4:D$106, ""))</f>
        <v/>
      </c>
      <c r="H103" s="5">
        <f t="shared" ca="1" si="15"/>
        <v>925148.125</v>
      </c>
      <c r="I103" s="5">
        <f t="shared" ca="1" si="22"/>
        <v>185138576967.875</v>
      </c>
      <c r="J103" s="5">
        <f t="shared" ca="1" si="16"/>
        <v>22216629236</v>
      </c>
      <c r="K103" s="6">
        <f t="shared" ca="1" si="17"/>
        <v>207355206204</v>
      </c>
    </row>
    <row r="104" spans="2:11" x14ac:dyDescent="0.25">
      <c r="B104" s="3">
        <f t="shared" ca="1" si="18"/>
        <v>2120</v>
      </c>
      <c r="C104" s="4">
        <f t="shared" ca="1" si="19"/>
        <v>129</v>
      </c>
      <c r="D104" s="5">
        <f t="shared" ca="1" si="20"/>
        <v>207355206204</v>
      </c>
      <c r="E104" s="14">
        <f t="shared" ca="1" si="21"/>
        <v>-8813447</v>
      </c>
      <c r="F104" s="5">
        <f ca="1">-SUMIFS('Input-Events'!H$4:H$106, 'Input-Events'!E$4:E$106, $C104)</f>
        <v>0</v>
      </c>
      <c r="G104" s="4" t="str" cm="1">
        <f t="array" aca="1" ref="G104" ca="1">_xlfn.TEXTJOIN(", ", TRUE, IF('Input-Events'!E$4:E$106=$C104, 'Input-Events'!D$4:D$106, ""))</f>
        <v/>
      </c>
      <c r="H104" s="5">
        <f t="shared" ca="1" si="15"/>
        <v>936055.875</v>
      </c>
      <c r="I104" s="5">
        <f t="shared" ca="1" si="22"/>
        <v>207345456701.125</v>
      </c>
      <c r="J104" s="5">
        <f t="shared" ca="1" si="16"/>
        <v>24881454804</v>
      </c>
      <c r="K104" s="6">
        <f t="shared" ca="1" si="17"/>
        <v>232226911505</v>
      </c>
    </row>
    <row r="105" spans="2:11" x14ac:dyDescent="0.25">
      <c r="B105" s="3">
        <f t="shared" ca="1" si="18"/>
        <v>2121</v>
      </c>
      <c r="C105" s="4">
        <f t="shared" ca="1" si="19"/>
        <v>130</v>
      </c>
      <c r="D105" s="5">
        <f t="shared" ca="1" si="20"/>
        <v>232226911505</v>
      </c>
      <c r="E105" s="14">
        <f t="shared" ca="1" si="21"/>
        <v>-8901581</v>
      </c>
      <c r="F105" s="5">
        <f ca="1">-SUMIFS('Input-Events'!H$4:H$106, 'Input-Events'!E$4:E$106, $C105)</f>
        <v>0</v>
      </c>
      <c r="G105" s="4" t="str" cm="1">
        <f t="array" aca="1" ref="G105" ca="1">_xlfn.TEXTJOIN(", ", TRUE, IF('Input-Events'!E$4:E$106=$C105, 'Input-Events'!D$4:D$106, ""))</f>
        <v/>
      </c>
      <c r="H105" s="5">
        <f t="shared" ca="1" si="15"/>
        <v>947072.625</v>
      </c>
      <c r="I105" s="5">
        <f t="shared" ca="1" si="22"/>
        <v>232217062851.375</v>
      </c>
      <c r="J105" s="5">
        <f t="shared" ca="1" si="16"/>
        <v>27866047542</v>
      </c>
      <c r="K105" s="6">
        <f t="shared" ref="K105:K136" ca="1" si="23">ROUND(I105+J105, 0)</f>
        <v>260083110393</v>
      </c>
    </row>
    <row r="106" spans="2:11" x14ac:dyDescent="0.25">
      <c r="B106" s="3">
        <f t="shared" ca="1" si="18"/>
        <v>2122</v>
      </c>
      <c r="C106" s="4">
        <f t="shared" ca="1" si="19"/>
        <v>131</v>
      </c>
      <c r="D106" s="5">
        <f t="shared" ca="1" si="20"/>
        <v>260083110393</v>
      </c>
      <c r="E106" s="14">
        <f t="shared" ca="1" si="21"/>
        <v>-8990597</v>
      </c>
      <c r="F106" s="5">
        <f ca="1">-SUMIFS('Input-Events'!H$4:H$106, 'Input-Events'!E$4:E$106, $C106)</f>
        <v>0</v>
      </c>
      <c r="G106" s="4" t="str" cm="1">
        <f t="array" aca="1" ref="G106" ca="1">_xlfn.TEXTJOIN(", ", TRUE, IF('Input-Events'!E$4:E$106=$C106, 'Input-Events'!D$4:D$106, ""))</f>
        <v/>
      </c>
      <c r="H106" s="5">
        <f t="shared" ca="1" si="15"/>
        <v>958199.625</v>
      </c>
      <c r="I106" s="5">
        <f t="shared" ca="1" si="22"/>
        <v>260073161596.375</v>
      </c>
      <c r="J106" s="5">
        <f t="shared" ca="1" si="16"/>
        <v>31208779392</v>
      </c>
      <c r="K106" s="6">
        <f t="shared" ca="1" si="23"/>
        <v>291281940988</v>
      </c>
    </row>
    <row r="107" spans="2:11" x14ac:dyDescent="0.25">
      <c r="B107" s="3">
        <f t="shared" ca="1" si="18"/>
        <v>2123</v>
      </c>
      <c r="C107" s="4">
        <f t="shared" ca="1" si="19"/>
        <v>132</v>
      </c>
      <c r="D107" s="5">
        <f t="shared" ca="1" si="20"/>
        <v>291281940988</v>
      </c>
      <c r="E107" s="14">
        <f t="shared" ca="1" si="21"/>
        <v>-9080503</v>
      </c>
      <c r="F107" s="5">
        <f ca="1">-SUMIFS('Input-Events'!H$4:H$106, 'Input-Events'!E$4:E$106, $C107)</f>
        <v>0</v>
      </c>
      <c r="G107" s="4" t="str" cm="1">
        <f t="array" aca="1" ref="G107" ca="1">_xlfn.TEXTJOIN(", ", TRUE, IF('Input-Events'!E$4:E$106=$C107, 'Input-Events'!D$4:D$106, ""))</f>
        <v/>
      </c>
      <c r="H107" s="5">
        <f t="shared" ca="1" si="15"/>
        <v>969437.875</v>
      </c>
      <c r="I107" s="5">
        <f t="shared" ca="1" si="22"/>
        <v>291271891047.125</v>
      </c>
      <c r="J107" s="5">
        <f t="shared" ca="1" si="16"/>
        <v>34952626926</v>
      </c>
      <c r="K107" s="6">
        <f t="shared" ca="1" si="23"/>
        <v>326224517973</v>
      </c>
    </row>
    <row r="108" spans="2:11" x14ac:dyDescent="0.25">
      <c r="B108" s="3">
        <f t="shared" ca="1" si="18"/>
        <v>2124</v>
      </c>
      <c r="C108" s="4">
        <f t="shared" ca="1" si="19"/>
        <v>133</v>
      </c>
      <c r="D108" s="5">
        <f t="shared" ca="1" si="20"/>
        <v>326224517973</v>
      </c>
      <c r="E108" s="14">
        <f t="shared" ca="1" si="21"/>
        <v>-9171308</v>
      </c>
      <c r="F108" s="5">
        <f ca="1">-SUMIFS('Input-Events'!H$4:H$106, 'Input-Events'!E$4:E$106, $C108)</f>
        <v>0</v>
      </c>
      <c r="G108" s="4" t="str" cm="1">
        <f t="array" aca="1" ref="G108" ca="1">_xlfn.TEXTJOIN(", ", TRUE, IF('Input-Events'!E$4:E$106=$C108, 'Input-Events'!D$4:D$106, ""))</f>
        <v/>
      </c>
      <c r="H108" s="5">
        <f t="shared" ca="1" si="15"/>
        <v>980788.5</v>
      </c>
      <c r="I108" s="5">
        <f t="shared" ca="1" si="22"/>
        <v>326214365876.5</v>
      </c>
      <c r="J108" s="5">
        <f t="shared" ca="1" si="16"/>
        <v>39145723905</v>
      </c>
      <c r="K108" s="6">
        <f t="shared" ca="1" si="23"/>
        <v>365360089782</v>
      </c>
    </row>
    <row r="109" spans="2:11" ht="15.75" thickBot="1" x14ac:dyDescent="0.3">
      <c r="B109" s="7">
        <f t="shared" ca="1" si="18"/>
        <v>2125</v>
      </c>
      <c r="C109" s="8">
        <f t="shared" ca="1" si="19"/>
        <v>134</v>
      </c>
      <c r="D109" s="9">
        <f t="shared" ca="1" si="20"/>
        <v>365360089782</v>
      </c>
      <c r="E109" s="37">
        <f t="shared" ca="1" si="21"/>
        <v>-9263021</v>
      </c>
      <c r="F109" s="9">
        <f ca="1">-SUMIFS('Input-Events'!H$4:H$106, 'Input-Events'!E$4:E$106, $C109)</f>
        <v>0</v>
      </c>
      <c r="G109" s="8" t="str" cm="1">
        <f t="array" aca="1" ref="G109" ca="1">_xlfn.TEXTJOIN(", ", TRUE, IF('Input-Events'!E$4:E$106=$C109, 'Input-Events'!D$4:D$106, ""))</f>
        <v/>
      </c>
      <c r="H109" s="9">
        <f t="shared" ca="1" si="15"/>
        <v>992252.625</v>
      </c>
      <c r="I109" s="9">
        <f t="shared" ca="1" si="22"/>
        <v>365349834508.375</v>
      </c>
      <c r="J109" s="9">
        <f t="shared" ca="1" si="16"/>
        <v>43841980141</v>
      </c>
      <c r="K109" s="10">
        <f t="shared" ca="1" si="23"/>
        <v>409191814649</v>
      </c>
    </row>
  </sheetData>
  <sheetProtection formatCells="0" formatColumns="0" formatRows="0"/>
  <conditionalFormatting sqref="B9:K109">
    <cfRule type="expression" dxfId="6" priority="1">
      <formula>$C9&gt;userLifeExpectancyAge</formula>
    </cfRule>
    <cfRule type="expression" dxfId="5" priority="2">
      <formula>$C9=userLifeExpectancyAge</formula>
    </cfRule>
    <cfRule type="expression" dxfId="4" priority="3">
      <formula>$C9=userRetirementAge</formula>
    </cfRule>
    <cfRule type="expression" dxfId="3" priority="4">
      <formula>IF($C9&gt;userRetirementAge, $C9&lt;userLifeExpectancyAge)</formula>
    </cfRule>
  </conditionalFormatting>
  <conditionalFormatting sqref="D9:F109">
    <cfRule type="cellIs" dxfId="2" priority="15" operator="lessThan">
      <formula>0</formula>
    </cfRule>
  </conditionalFormatting>
  <conditionalFormatting sqref="H9:I109">
    <cfRule type="cellIs" dxfId="1" priority="5" operator="lessThan">
      <formula>0</formula>
    </cfRule>
  </conditionalFormatting>
  <conditionalFormatting sqref="J9:K109">
    <cfRule type="cellIs" dxfId="0" priority="14" operator="lessThan">
      <formula>0</formula>
    </cfRule>
  </conditionalFormatting>
  <pageMargins left="0.7" right="0.7" top="0.75" bottom="0.75" header="0.3" footer="0.3"/>
  <pageSetup paperSize="9" scale="83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Sheet2.PrintPreviewDashboard">
                <anchor moveWithCells="1" sizeWithCells="1">
                  <from>
                    <xdr:col>0</xdr:col>
                    <xdr:colOff>3676650</xdr:colOff>
                    <xdr:row>110</xdr:row>
                    <xdr:rowOff>161925</xdr:rowOff>
                  </from>
                  <to>
                    <xdr:col>10</xdr:col>
                    <xdr:colOff>9525</xdr:colOff>
                    <xdr:row>114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A75B6-952D-4F5A-A6D3-C8680062EE1E}">
  <sheetPr codeName="Sheet1"/>
  <dimension ref="A1:N38"/>
  <sheetViews>
    <sheetView topLeftCell="A6" zoomScale="103" zoomScaleNormal="103" workbookViewId="0">
      <selection activeCell="C11" sqref="C11"/>
    </sheetView>
  </sheetViews>
  <sheetFormatPr defaultRowHeight="15" x14ac:dyDescent="0.25"/>
  <cols>
    <col min="1" max="1" width="8.5703125" customWidth="1"/>
    <col min="2" max="2" width="39.85546875" bestFit="1" customWidth="1"/>
    <col min="3" max="3" width="12.28515625" bestFit="1" customWidth="1"/>
    <col min="4" max="4" width="29.140625" customWidth="1"/>
    <col min="5" max="5" width="28.28515625" bestFit="1" customWidth="1"/>
    <col min="6" max="6" width="12.28515625" bestFit="1" customWidth="1"/>
    <col min="9" max="9" width="39.140625" bestFit="1" customWidth="1"/>
    <col min="12" max="13" width="34.5703125" bestFit="1" customWidth="1"/>
    <col min="14" max="14" width="10.7109375" bestFit="1" customWidth="1"/>
  </cols>
  <sheetData>
    <row r="1" spans="1:14" x14ac:dyDescent="0.25">
      <c r="A1" s="40"/>
      <c r="B1" t="s">
        <v>2</v>
      </c>
      <c r="I1" s="27" t="s">
        <v>53</v>
      </c>
    </row>
    <row r="2" spans="1:14" x14ac:dyDescent="0.25">
      <c r="A2" s="41"/>
      <c r="B2" t="s">
        <v>77</v>
      </c>
    </row>
    <row r="3" spans="1:14" x14ac:dyDescent="0.25">
      <c r="A3" s="42"/>
      <c r="B3" t="s">
        <v>12</v>
      </c>
    </row>
    <row r="4" spans="1:14" x14ac:dyDescent="0.25">
      <c r="J4" s="4"/>
      <c r="K4" s="43"/>
    </row>
    <row r="5" spans="1:14" x14ac:dyDescent="0.25">
      <c r="J5" s="4"/>
      <c r="K5" s="44"/>
    </row>
    <row r="6" spans="1:14" ht="15.75" thickBot="1" x14ac:dyDescent="0.3"/>
    <row r="7" spans="1:14" ht="15.75" thickBot="1" x14ac:dyDescent="0.3">
      <c r="B7" s="84" t="s">
        <v>36</v>
      </c>
      <c r="C7" s="85"/>
      <c r="E7" s="84" t="s">
        <v>52</v>
      </c>
      <c r="F7" s="85"/>
    </row>
    <row r="8" spans="1:14" x14ac:dyDescent="0.25">
      <c r="B8" s="38" t="s">
        <v>98</v>
      </c>
      <c r="C8" s="55"/>
      <c r="E8" s="1"/>
      <c r="F8" s="15"/>
      <c r="M8" s="45"/>
      <c r="N8" s="20"/>
    </row>
    <row r="9" spans="1:14" x14ac:dyDescent="0.25">
      <c r="B9" s="26" t="s">
        <v>0</v>
      </c>
      <c r="C9" s="52" t="s">
        <v>25</v>
      </c>
      <c r="E9" s="26" t="s">
        <v>1</v>
      </c>
      <c r="F9" s="46">
        <f ca="1">DATEDIF(C10, TODAY(), "y")</f>
        <v>33</v>
      </c>
      <c r="M9" s="45"/>
      <c r="N9" s="21"/>
    </row>
    <row r="10" spans="1:14" x14ac:dyDescent="0.25">
      <c r="B10" s="26" t="s">
        <v>3</v>
      </c>
      <c r="C10" s="53">
        <v>33604</v>
      </c>
      <c r="E10" s="26" t="s">
        <v>18</v>
      </c>
      <c r="F10" s="47">
        <f>userMonthlyExpenses</f>
        <v>50000</v>
      </c>
      <c r="M10" s="45"/>
      <c r="N10" s="22"/>
    </row>
    <row r="11" spans="1:14" x14ac:dyDescent="0.25">
      <c r="B11" s="26" t="s">
        <v>88</v>
      </c>
      <c r="C11" s="54">
        <v>100000</v>
      </c>
      <c r="E11" s="26"/>
      <c r="F11" s="32"/>
      <c r="M11" s="45"/>
      <c r="N11" s="22"/>
    </row>
    <row r="12" spans="1:14" x14ac:dyDescent="0.25">
      <c r="B12" s="26" t="s">
        <v>5</v>
      </c>
      <c r="C12" s="54">
        <v>1000000</v>
      </c>
      <c r="E12" s="26" t="s">
        <v>19</v>
      </c>
      <c r="F12" s="47">
        <f>ROUND(12*(userIncome-userMonthlyExpenses),0)</f>
        <v>600000</v>
      </c>
      <c r="M12" s="45"/>
      <c r="N12" s="20"/>
    </row>
    <row r="13" spans="1:14" x14ac:dyDescent="0.25">
      <c r="B13" s="26" t="s">
        <v>83</v>
      </c>
      <c r="C13" s="54">
        <v>0</v>
      </c>
      <c r="E13" s="26" t="s">
        <v>34</v>
      </c>
      <c r="F13" s="48">
        <f>$C$16-SUM($C$17:$C$19)</f>
        <v>0.12</v>
      </c>
    </row>
    <row r="14" spans="1:14" ht="15.75" thickBot="1" x14ac:dyDescent="0.3">
      <c r="B14" s="31"/>
      <c r="C14" s="83"/>
      <c r="E14" s="26" t="s">
        <v>73</v>
      </c>
      <c r="F14" s="48">
        <f>$C$24-SUM($C$25:$C$27)</f>
        <v>0.12000000000000001</v>
      </c>
      <c r="M14" s="45"/>
      <c r="N14" s="23"/>
    </row>
    <row r="15" spans="1:14" x14ac:dyDescent="0.25">
      <c r="B15" s="38" t="s">
        <v>80</v>
      </c>
      <c r="C15" s="55"/>
      <c r="E15" s="26"/>
      <c r="F15" s="32"/>
      <c r="M15" s="45"/>
      <c r="N15" s="23"/>
    </row>
    <row r="16" spans="1:14" x14ac:dyDescent="0.25">
      <c r="B16" s="26" t="s">
        <v>74</v>
      </c>
      <c r="C16" s="79">
        <v>0.12</v>
      </c>
      <c r="E16" s="26" t="s">
        <v>99</v>
      </c>
      <c r="F16" s="47">
        <f ca="1">ROUND(FV($C$25, userRetirementAge-userAge, 0, -annualAmountSWP, 1), 0)</f>
        <v>4480148</v>
      </c>
      <c r="M16" s="45"/>
      <c r="N16" s="23"/>
    </row>
    <row r="17" spans="1:14" x14ac:dyDescent="0.25">
      <c r="B17" s="26" t="s">
        <v>37</v>
      </c>
      <c r="C17" s="79">
        <v>0</v>
      </c>
      <c r="E17" s="26"/>
      <c r="F17" s="32"/>
      <c r="M17" s="45"/>
      <c r="N17" s="23"/>
    </row>
    <row r="18" spans="1:14" x14ac:dyDescent="0.25">
      <c r="B18" s="26" t="s">
        <v>38</v>
      </c>
      <c r="C18" s="79">
        <v>0</v>
      </c>
      <c r="E18" s="26"/>
      <c r="F18" s="32"/>
      <c r="M18" s="45"/>
      <c r="N18" s="23"/>
    </row>
    <row r="19" spans="1:14" x14ac:dyDescent="0.25">
      <c r="B19" s="26" t="s">
        <v>39</v>
      </c>
      <c r="C19" s="79">
        <v>0</v>
      </c>
      <c r="E19" s="26"/>
      <c r="F19" s="32"/>
    </row>
    <row r="20" spans="1:14" x14ac:dyDescent="0.25">
      <c r="B20" s="26"/>
      <c r="C20" s="55"/>
      <c r="E20" s="26"/>
      <c r="F20" s="32"/>
    </row>
    <row r="21" spans="1:14" x14ac:dyDescent="0.25">
      <c r="B21" s="26" t="s">
        <v>72</v>
      </c>
      <c r="C21" s="79">
        <v>0.05</v>
      </c>
      <c r="E21" s="26"/>
      <c r="F21" s="32"/>
    </row>
    <row r="22" spans="1:14" ht="15.75" thickBot="1" x14ac:dyDescent="0.3">
      <c r="B22" s="31"/>
      <c r="C22" s="83"/>
      <c r="E22" s="26"/>
      <c r="F22" s="32"/>
    </row>
    <row r="23" spans="1:14" x14ac:dyDescent="0.25">
      <c r="B23" s="38" t="s">
        <v>81</v>
      </c>
      <c r="C23" s="55"/>
      <c r="D23" s="4"/>
      <c r="E23" s="26"/>
      <c r="F23" s="32"/>
    </row>
    <row r="24" spans="1:14" ht="15.75" thickBot="1" x14ac:dyDescent="0.3">
      <c r="A24" s="4"/>
      <c r="B24" s="26" t="s">
        <v>71</v>
      </c>
      <c r="C24" s="79">
        <v>0.17</v>
      </c>
      <c r="E24" s="31"/>
      <c r="F24" s="49"/>
    </row>
    <row r="25" spans="1:14" x14ac:dyDescent="0.25">
      <c r="A25" s="4"/>
      <c r="B25" s="26" t="s">
        <v>75</v>
      </c>
      <c r="C25" s="79">
        <v>0.05</v>
      </c>
    </row>
    <row r="26" spans="1:14" x14ac:dyDescent="0.25">
      <c r="A26" s="4"/>
      <c r="B26" s="26" t="s">
        <v>76</v>
      </c>
      <c r="C26" s="79">
        <v>0</v>
      </c>
      <c r="M26" s="45"/>
      <c r="N26" s="50"/>
    </row>
    <row r="27" spans="1:14" x14ac:dyDescent="0.25">
      <c r="A27" s="4"/>
      <c r="B27" s="26" t="s">
        <v>39</v>
      </c>
      <c r="C27" s="79">
        <v>0</v>
      </c>
      <c r="M27" s="45"/>
      <c r="N27" s="51"/>
    </row>
    <row r="28" spans="1:14" x14ac:dyDescent="0.25">
      <c r="A28" s="4"/>
      <c r="B28" s="26"/>
      <c r="C28" s="55"/>
      <c r="M28" s="45"/>
      <c r="N28" s="23"/>
    </row>
    <row r="29" spans="1:14" x14ac:dyDescent="0.25">
      <c r="A29" s="4"/>
      <c r="B29" s="26" t="s">
        <v>78</v>
      </c>
      <c r="C29" s="54">
        <v>1200000</v>
      </c>
      <c r="M29" s="45"/>
      <c r="N29" s="24"/>
    </row>
    <row r="30" spans="1:14" x14ac:dyDescent="0.25">
      <c r="A30" s="4"/>
      <c r="B30" s="26" t="s">
        <v>79</v>
      </c>
      <c r="C30" s="79">
        <v>0.01</v>
      </c>
    </row>
    <row r="31" spans="1:14" ht="15.75" thickBot="1" x14ac:dyDescent="0.3">
      <c r="A31" s="4"/>
      <c r="B31" s="31"/>
      <c r="C31" s="83"/>
    </row>
    <row r="32" spans="1:14" x14ac:dyDescent="0.25">
      <c r="A32" s="4"/>
      <c r="B32" s="38" t="s">
        <v>82</v>
      </c>
      <c r="C32" s="55"/>
    </row>
    <row r="33" spans="2:3" x14ac:dyDescent="0.25">
      <c r="B33" s="26" t="s">
        <v>55</v>
      </c>
      <c r="C33" s="56">
        <v>60</v>
      </c>
    </row>
    <row r="34" spans="2:3" ht="15.75" thickBot="1" x14ac:dyDescent="0.3">
      <c r="B34" s="31" t="s">
        <v>48</v>
      </c>
      <c r="C34" s="57">
        <v>80</v>
      </c>
    </row>
    <row r="35" spans="2:3" x14ac:dyDescent="0.25">
      <c r="B35" s="80" t="s">
        <v>91</v>
      </c>
      <c r="C35" s="81"/>
    </row>
    <row r="36" spans="2:3" x14ac:dyDescent="0.25">
      <c r="B36" s="26" t="s">
        <v>92</v>
      </c>
      <c r="C36" s="54">
        <v>1200000</v>
      </c>
    </row>
    <row r="37" spans="2:3" x14ac:dyDescent="0.25">
      <c r="B37" s="26" t="s">
        <v>90</v>
      </c>
      <c r="C37" s="54">
        <v>125000</v>
      </c>
    </row>
    <row r="38" spans="2:3" ht="15.75" thickBot="1" x14ac:dyDescent="0.3">
      <c r="B38" s="31" t="s">
        <v>89</v>
      </c>
      <c r="C38" s="82">
        <v>0.125</v>
      </c>
    </row>
  </sheetData>
  <sheetProtection formatCells="0" formatColumns="0" formatRows="0"/>
  <mergeCells count="2">
    <mergeCell ref="B7:C7"/>
    <mergeCell ref="E7:F7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E4F3A-47F6-484C-B4AE-23BD1F0218A0}">
  <sheetPr codeName="Sheet5"/>
  <dimension ref="A1:N45"/>
  <sheetViews>
    <sheetView topLeftCell="A20" zoomScale="94" zoomScaleNormal="49" workbookViewId="0">
      <selection activeCell="A39" sqref="A39"/>
    </sheetView>
  </sheetViews>
  <sheetFormatPr defaultColWidth="10.7109375" defaultRowHeight="15" x14ac:dyDescent="0.25"/>
  <cols>
    <col min="1" max="1" width="23.140625" bestFit="1" customWidth="1"/>
    <col min="2" max="2" width="8.5703125" bestFit="1" customWidth="1"/>
    <col min="4" max="4" width="11.7109375" bestFit="1" customWidth="1"/>
    <col min="5" max="5" width="8.5703125" bestFit="1" customWidth="1"/>
    <col min="9" max="9" width="63" bestFit="1" customWidth="1"/>
    <col min="12" max="12" width="10.85546875" bestFit="1" customWidth="1"/>
    <col min="13" max="13" width="8.5703125" bestFit="1" customWidth="1"/>
    <col min="14" max="14" width="7.42578125" bestFit="1" customWidth="1"/>
  </cols>
  <sheetData>
    <row r="1" spans="1:14" x14ac:dyDescent="0.25">
      <c r="I1" s="58" t="str">
        <f>CONCATENATE("*Make sure total expense doesn't exceed monthly income of ", userMonthlyIncome )</f>
        <v>*Make sure total expense doesn't exceed monthly income of 100000</v>
      </c>
      <c r="L1" s="86" t="s">
        <v>62</v>
      </c>
      <c r="M1" s="86"/>
      <c r="N1" s="86"/>
    </row>
    <row r="2" spans="1:14" ht="15.75" thickBot="1" x14ac:dyDescent="0.3">
      <c r="L2" s="59"/>
      <c r="M2" s="59"/>
      <c r="N2" s="59"/>
    </row>
    <row r="3" spans="1:14" ht="15.75" thickBot="1" x14ac:dyDescent="0.3">
      <c r="A3" s="60" t="s">
        <v>46</v>
      </c>
      <c r="B3" s="61">
        <f>SUM(E4:E45)</f>
        <v>50000</v>
      </c>
      <c r="D3" s="39" t="s">
        <v>40</v>
      </c>
      <c r="E3" s="62" t="s">
        <v>14</v>
      </c>
      <c r="L3" s="59" t="s">
        <v>63</v>
      </c>
      <c r="M3" s="72">
        <v>12000</v>
      </c>
      <c r="N3" s="61">
        <f>ROUND(M3/12, 0)</f>
        <v>1000</v>
      </c>
    </row>
    <row r="4" spans="1:14" x14ac:dyDescent="0.25">
      <c r="D4" s="11" t="s">
        <v>41</v>
      </c>
      <c r="E4" s="13">
        <v>10000</v>
      </c>
      <c r="L4" s="59" t="s">
        <v>64</v>
      </c>
      <c r="M4" s="72">
        <v>6000</v>
      </c>
      <c r="N4" s="61">
        <f>ROUND(M4/6, 0)</f>
        <v>1000</v>
      </c>
    </row>
    <row r="5" spans="1:14" x14ac:dyDescent="0.25">
      <c r="D5" s="11" t="s">
        <v>42</v>
      </c>
      <c r="E5" s="13">
        <v>30000</v>
      </c>
      <c r="L5" s="59" t="s">
        <v>65</v>
      </c>
      <c r="M5" s="72">
        <v>3000</v>
      </c>
      <c r="N5" s="61">
        <f>ROUND(M5/3, 0)</f>
        <v>1000</v>
      </c>
    </row>
    <row r="6" spans="1:14" x14ac:dyDescent="0.25">
      <c r="D6" s="11" t="s">
        <v>43</v>
      </c>
      <c r="E6" s="13">
        <v>3000</v>
      </c>
      <c r="L6" s="59" t="s">
        <v>68</v>
      </c>
      <c r="M6" s="72">
        <v>2000</v>
      </c>
      <c r="N6" s="61">
        <f>ROUND(M6/2, 0)</f>
        <v>1000</v>
      </c>
    </row>
    <row r="7" spans="1:14" x14ac:dyDescent="0.25">
      <c r="D7" s="11" t="s">
        <v>44</v>
      </c>
      <c r="E7" s="13">
        <v>2000</v>
      </c>
      <c r="L7" s="59" t="s">
        <v>66</v>
      </c>
      <c r="M7" s="72">
        <v>250</v>
      </c>
      <c r="N7" s="61">
        <f>ROUND(M7*4, 0)</f>
        <v>1000</v>
      </c>
    </row>
    <row r="8" spans="1:14" x14ac:dyDescent="0.25">
      <c r="D8" s="11" t="s">
        <v>45</v>
      </c>
      <c r="E8" s="13">
        <v>1000</v>
      </c>
      <c r="L8" s="59" t="s">
        <v>67</v>
      </c>
      <c r="M8" s="72">
        <v>100</v>
      </c>
      <c r="N8" s="61">
        <f>ROUND(M8*30, 0)</f>
        <v>3000</v>
      </c>
    </row>
    <row r="9" spans="1:14" x14ac:dyDescent="0.25">
      <c r="D9" s="11" t="s">
        <v>47</v>
      </c>
      <c r="E9" s="13">
        <v>4000</v>
      </c>
    </row>
    <row r="10" spans="1:14" x14ac:dyDescent="0.25">
      <c r="D10" s="11"/>
      <c r="E10" s="13"/>
    </row>
    <row r="11" spans="1:14" x14ac:dyDescent="0.25">
      <c r="D11" s="11"/>
      <c r="E11" s="13"/>
    </row>
    <row r="12" spans="1:14" x14ac:dyDescent="0.25">
      <c r="D12" s="11"/>
      <c r="E12" s="13"/>
    </row>
    <row r="13" spans="1:14" x14ac:dyDescent="0.25">
      <c r="D13" s="11"/>
      <c r="E13" s="13"/>
    </row>
    <row r="14" spans="1:14" x14ac:dyDescent="0.25">
      <c r="D14" s="11"/>
      <c r="E14" s="13"/>
    </row>
    <row r="15" spans="1:14" x14ac:dyDescent="0.25">
      <c r="D15" s="11"/>
      <c r="E15" s="13"/>
    </row>
    <row r="16" spans="1:14" x14ac:dyDescent="0.25">
      <c r="D16" s="11"/>
      <c r="E16" s="13"/>
    </row>
    <row r="17" spans="4:5" x14ac:dyDescent="0.25">
      <c r="D17" s="11"/>
      <c r="E17" s="13"/>
    </row>
    <row r="18" spans="4:5" x14ac:dyDescent="0.25">
      <c r="D18" s="11"/>
      <c r="E18" s="13"/>
    </row>
    <row r="19" spans="4:5" x14ac:dyDescent="0.25">
      <c r="D19" s="11"/>
      <c r="E19" s="13"/>
    </row>
    <row r="20" spans="4:5" x14ac:dyDescent="0.25">
      <c r="D20" s="11"/>
      <c r="E20" s="13"/>
    </row>
    <row r="21" spans="4:5" x14ac:dyDescent="0.25">
      <c r="D21" s="11"/>
      <c r="E21" s="13"/>
    </row>
    <row r="22" spans="4:5" x14ac:dyDescent="0.25">
      <c r="D22" s="11"/>
      <c r="E22" s="13"/>
    </row>
    <row r="23" spans="4:5" x14ac:dyDescent="0.25">
      <c r="D23" s="11"/>
      <c r="E23" s="13"/>
    </row>
    <row r="24" spans="4:5" x14ac:dyDescent="0.25">
      <c r="D24" s="11"/>
      <c r="E24" s="13"/>
    </row>
    <row r="25" spans="4:5" x14ac:dyDescent="0.25">
      <c r="D25" s="11"/>
      <c r="E25" s="13"/>
    </row>
    <row r="26" spans="4:5" x14ac:dyDescent="0.25">
      <c r="D26" s="11"/>
      <c r="E26" s="13"/>
    </row>
    <row r="27" spans="4:5" x14ac:dyDescent="0.25">
      <c r="D27" s="11"/>
      <c r="E27" s="13"/>
    </row>
    <row r="28" spans="4:5" x14ac:dyDescent="0.25">
      <c r="D28" s="11"/>
      <c r="E28" s="13"/>
    </row>
    <row r="29" spans="4:5" x14ac:dyDescent="0.25">
      <c r="D29" s="11"/>
      <c r="E29" s="13"/>
    </row>
    <row r="30" spans="4:5" x14ac:dyDescent="0.25">
      <c r="D30" s="11"/>
      <c r="E30" s="13"/>
    </row>
    <row r="31" spans="4:5" x14ac:dyDescent="0.25">
      <c r="D31" s="11"/>
      <c r="E31" s="13"/>
    </row>
    <row r="32" spans="4:5" x14ac:dyDescent="0.25">
      <c r="D32" s="11"/>
      <c r="E32" s="13"/>
    </row>
    <row r="33" spans="4:5" x14ac:dyDescent="0.25">
      <c r="D33" s="11"/>
      <c r="E33" s="13"/>
    </row>
    <row r="34" spans="4:5" x14ac:dyDescent="0.25">
      <c r="D34" s="11"/>
      <c r="E34" s="13"/>
    </row>
    <row r="35" spans="4:5" x14ac:dyDescent="0.25">
      <c r="D35" s="11"/>
      <c r="E35" s="13"/>
    </row>
    <row r="36" spans="4:5" x14ac:dyDescent="0.25">
      <c r="D36" s="11"/>
      <c r="E36" s="13"/>
    </row>
    <row r="37" spans="4:5" x14ac:dyDescent="0.25">
      <c r="D37" s="11"/>
      <c r="E37" s="13"/>
    </row>
    <row r="38" spans="4:5" x14ac:dyDescent="0.25">
      <c r="D38" s="11"/>
      <c r="E38" s="13"/>
    </row>
    <row r="39" spans="4:5" x14ac:dyDescent="0.25">
      <c r="D39" s="11"/>
      <c r="E39" s="13"/>
    </row>
    <row r="40" spans="4:5" x14ac:dyDescent="0.25">
      <c r="D40" s="11"/>
      <c r="E40" s="13"/>
    </row>
    <row r="41" spans="4:5" x14ac:dyDescent="0.25">
      <c r="D41" s="11"/>
      <c r="E41" s="13"/>
    </row>
    <row r="42" spans="4:5" x14ac:dyDescent="0.25">
      <c r="D42" s="11"/>
      <c r="E42" s="13"/>
    </row>
    <row r="43" spans="4:5" x14ac:dyDescent="0.25">
      <c r="D43" s="11"/>
      <c r="E43" s="13"/>
    </row>
    <row r="44" spans="4:5" x14ac:dyDescent="0.25">
      <c r="D44" s="11"/>
      <c r="E44" s="13"/>
    </row>
    <row r="45" spans="4:5" ht="15.75" thickBot="1" x14ac:dyDescent="0.3">
      <c r="D45" s="66"/>
      <c r="E45" s="25"/>
    </row>
  </sheetData>
  <sheetProtection algorithmName="SHA-512" hashValue="Qf+7FVYqiwdM2l7fmiUsRjU3fKuU3lgfSrEW4QcMfr7PfZvqImK9aI62flSH1w/W+zDioQyK1/huD+6NYMUD6g==" saltValue="0y6OmB+b1+nwE7LvqpcxQQ==" spinCount="100000" sheet="1" formatCells="0" formatColumns="0" formatRows="0"/>
  <mergeCells count="1">
    <mergeCell ref="L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87F13-BEBA-471D-9757-82C79F542480}">
  <sheetPr codeName="Sheet3"/>
  <dimension ref="A1:I106"/>
  <sheetViews>
    <sheetView tabSelected="1" workbookViewId="0">
      <selection activeCell="E8" sqref="E8"/>
    </sheetView>
  </sheetViews>
  <sheetFormatPr defaultColWidth="25.7109375" defaultRowHeight="15" x14ac:dyDescent="0.25"/>
  <cols>
    <col min="1" max="1" width="19.85546875" bestFit="1" customWidth="1"/>
    <col min="2" max="2" width="14.7109375" customWidth="1"/>
    <col min="4" max="4" width="18" bestFit="1" customWidth="1"/>
    <col min="5" max="5" width="4.42578125" bestFit="1" customWidth="1"/>
    <col min="6" max="6" width="13.140625" bestFit="1" customWidth="1"/>
    <col min="7" max="7" width="15.42578125" bestFit="1" customWidth="1"/>
    <col min="8" max="8" width="22.28515625" bestFit="1" customWidth="1"/>
    <col min="9" max="9" width="66.28515625" bestFit="1" customWidth="1"/>
  </cols>
  <sheetData>
    <row r="1" spans="1:9" x14ac:dyDescent="0.25">
      <c r="I1" s="58" t="s">
        <v>49</v>
      </c>
    </row>
    <row r="2" spans="1:9" ht="15.75" thickBot="1" x14ac:dyDescent="0.3">
      <c r="I2" s="58" t="s">
        <v>97</v>
      </c>
    </row>
    <row r="3" spans="1:9" ht="15.75" thickBot="1" x14ac:dyDescent="0.3">
      <c r="A3" s="60" t="s">
        <v>50</v>
      </c>
      <c r="B3" s="61">
        <f>SUMIF($F$4:$F$106, "&gt;=0")</f>
        <v>7000000</v>
      </c>
      <c r="D3" s="39" t="s">
        <v>10</v>
      </c>
      <c r="E3" s="62" t="s">
        <v>1</v>
      </c>
      <c r="F3" s="62" t="s">
        <v>94</v>
      </c>
      <c r="G3" s="62" t="s">
        <v>95</v>
      </c>
      <c r="H3" s="62" t="s">
        <v>96</v>
      </c>
    </row>
    <row r="4" spans="1:9" x14ac:dyDescent="0.25">
      <c r="A4" s="60" t="s">
        <v>51</v>
      </c>
      <c r="B4" s="61">
        <f>-SUMIF($F$4:$F$106, "&lt;0")</f>
        <v>13000000</v>
      </c>
      <c r="D4" s="11" t="s">
        <v>7</v>
      </c>
      <c r="E4" s="12"/>
      <c r="F4" s="13"/>
      <c r="G4" s="73">
        <v>0</v>
      </c>
      <c r="H4" s="74">
        <f t="shared" ref="H4:H35" si="0">IF(AND($G4 &gt; 0, $E4 &gt; 0), CEILING(FV($G4, $E4-userAge, 0, -$F4, 1), 1000), $F4)</f>
        <v>0</v>
      </c>
    </row>
    <row r="5" spans="1:9" x14ac:dyDescent="0.25">
      <c r="D5" s="11" t="s">
        <v>26</v>
      </c>
      <c r="E5" s="12"/>
      <c r="F5" s="13"/>
      <c r="G5" s="73">
        <v>0.1</v>
      </c>
      <c r="H5" s="74">
        <f t="shared" si="0"/>
        <v>0</v>
      </c>
    </row>
    <row r="6" spans="1:9" x14ac:dyDescent="0.25">
      <c r="D6" s="11" t="s">
        <v>27</v>
      </c>
      <c r="E6" s="12"/>
      <c r="F6" s="13"/>
      <c r="G6" s="73">
        <v>0</v>
      </c>
      <c r="H6" s="74">
        <f t="shared" si="0"/>
        <v>0</v>
      </c>
    </row>
    <row r="7" spans="1:9" x14ac:dyDescent="0.25">
      <c r="D7" s="11" t="s">
        <v>8</v>
      </c>
      <c r="E7" s="12">
        <v>38</v>
      </c>
      <c r="F7" s="13">
        <v>1000000</v>
      </c>
      <c r="G7" s="73">
        <v>0.05</v>
      </c>
      <c r="H7" s="74">
        <f t="shared" ca="1" si="0"/>
        <v>1277000</v>
      </c>
    </row>
    <row r="8" spans="1:9" x14ac:dyDescent="0.25">
      <c r="D8" s="11" t="s">
        <v>28</v>
      </c>
      <c r="E8" s="12"/>
      <c r="F8" s="13"/>
      <c r="G8" s="73">
        <v>0</v>
      </c>
      <c r="H8" s="74">
        <f t="shared" si="0"/>
        <v>0</v>
      </c>
    </row>
    <row r="9" spans="1:9" x14ac:dyDescent="0.25">
      <c r="D9" s="11" t="s">
        <v>29</v>
      </c>
      <c r="E9" s="12">
        <v>35</v>
      </c>
      <c r="F9" s="13">
        <v>500000</v>
      </c>
      <c r="G9" s="73">
        <v>0.02</v>
      </c>
      <c r="H9" s="74">
        <f t="shared" ca="1" si="0"/>
        <v>521000</v>
      </c>
    </row>
    <row r="10" spans="1:9" x14ac:dyDescent="0.25">
      <c r="D10" s="11" t="s">
        <v>6</v>
      </c>
      <c r="E10" s="12"/>
      <c r="F10" s="13"/>
      <c r="G10" s="73">
        <v>0</v>
      </c>
      <c r="H10" s="74">
        <f t="shared" si="0"/>
        <v>0</v>
      </c>
    </row>
    <row r="11" spans="1:9" x14ac:dyDescent="0.25">
      <c r="D11" s="11" t="s">
        <v>9</v>
      </c>
      <c r="E11" s="12">
        <v>50</v>
      </c>
      <c r="F11" s="13">
        <v>5000000</v>
      </c>
      <c r="G11" s="73">
        <v>0.03</v>
      </c>
      <c r="H11" s="74">
        <f t="shared" ca="1" si="0"/>
        <v>8265000</v>
      </c>
    </row>
    <row r="12" spans="1:9" x14ac:dyDescent="0.25">
      <c r="D12" s="11" t="s">
        <v>24</v>
      </c>
      <c r="E12" s="12">
        <v>40</v>
      </c>
      <c r="F12" s="13">
        <v>500000</v>
      </c>
      <c r="G12" s="73">
        <v>0</v>
      </c>
      <c r="H12" s="74">
        <f t="shared" si="0"/>
        <v>500000</v>
      </c>
    </row>
    <row r="13" spans="1:9" x14ac:dyDescent="0.25">
      <c r="D13" s="11" t="s">
        <v>23</v>
      </c>
      <c r="E13" s="12"/>
      <c r="F13" s="13"/>
      <c r="G13" s="73">
        <v>0</v>
      </c>
      <c r="H13" s="74">
        <f t="shared" si="0"/>
        <v>0</v>
      </c>
    </row>
    <row r="14" spans="1:9" x14ac:dyDescent="0.25">
      <c r="D14" s="11" t="s">
        <v>30</v>
      </c>
      <c r="E14" s="12"/>
      <c r="F14" s="13"/>
      <c r="G14" s="73">
        <v>0</v>
      </c>
      <c r="H14" s="74">
        <f t="shared" si="0"/>
        <v>0</v>
      </c>
    </row>
    <row r="15" spans="1:9" x14ac:dyDescent="0.25">
      <c r="D15" s="11" t="s">
        <v>31</v>
      </c>
      <c r="E15" s="12"/>
      <c r="F15" s="13"/>
      <c r="G15" s="73">
        <v>0</v>
      </c>
      <c r="H15" s="74">
        <f t="shared" si="0"/>
        <v>0</v>
      </c>
    </row>
    <row r="16" spans="1:9" x14ac:dyDescent="0.25">
      <c r="D16" s="11" t="s">
        <v>32</v>
      </c>
      <c r="E16" s="12"/>
      <c r="F16" s="13"/>
      <c r="G16" s="73">
        <v>0</v>
      </c>
      <c r="H16" s="74">
        <f t="shared" si="0"/>
        <v>0</v>
      </c>
    </row>
    <row r="17" spans="4:8" x14ac:dyDescent="0.25">
      <c r="D17" s="11" t="s">
        <v>20</v>
      </c>
      <c r="E17" s="12"/>
      <c r="F17" s="13"/>
      <c r="G17" s="73">
        <v>0</v>
      </c>
      <c r="H17" s="74">
        <f t="shared" si="0"/>
        <v>0</v>
      </c>
    </row>
    <row r="18" spans="4:8" x14ac:dyDescent="0.25">
      <c r="D18" s="11" t="s">
        <v>21</v>
      </c>
      <c r="E18" s="12"/>
      <c r="F18" s="13"/>
      <c r="G18" s="73">
        <v>0</v>
      </c>
      <c r="H18" s="74">
        <f t="shared" si="0"/>
        <v>0</v>
      </c>
    </row>
    <row r="19" spans="4:8" x14ac:dyDescent="0.25">
      <c r="D19" s="11" t="s">
        <v>22</v>
      </c>
      <c r="E19" s="12"/>
      <c r="F19" s="13"/>
      <c r="G19" s="73">
        <v>0</v>
      </c>
      <c r="H19" s="74">
        <f t="shared" si="0"/>
        <v>0</v>
      </c>
    </row>
    <row r="20" spans="4:8" x14ac:dyDescent="0.25">
      <c r="D20" s="11"/>
      <c r="E20" s="12"/>
      <c r="F20" s="13"/>
      <c r="G20" s="73">
        <v>0</v>
      </c>
      <c r="H20" s="74">
        <f t="shared" si="0"/>
        <v>0</v>
      </c>
    </row>
    <row r="21" spans="4:8" x14ac:dyDescent="0.25">
      <c r="D21" s="11"/>
      <c r="E21" s="12"/>
      <c r="F21" s="13"/>
      <c r="G21" s="73">
        <v>0</v>
      </c>
      <c r="H21" s="74">
        <f t="shared" si="0"/>
        <v>0</v>
      </c>
    </row>
    <row r="22" spans="4:8" x14ac:dyDescent="0.25">
      <c r="D22" s="11"/>
      <c r="E22" s="12"/>
      <c r="F22" s="13"/>
      <c r="G22" s="73">
        <v>0</v>
      </c>
      <c r="H22" s="74">
        <f t="shared" si="0"/>
        <v>0</v>
      </c>
    </row>
    <row r="23" spans="4:8" x14ac:dyDescent="0.25">
      <c r="D23" s="11"/>
      <c r="E23" s="12"/>
      <c r="F23" s="13"/>
      <c r="G23" s="73">
        <v>0</v>
      </c>
      <c r="H23" s="74">
        <f t="shared" si="0"/>
        <v>0</v>
      </c>
    </row>
    <row r="24" spans="4:8" x14ac:dyDescent="0.25">
      <c r="D24" s="11"/>
      <c r="E24" s="12"/>
      <c r="F24" s="13"/>
      <c r="G24" s="73">
        <v>0</v>
      </c>
      <c r="H24" s="74">
        <f t="shared" si="0"/>
        <v>0</v>
      </c>
    </row>
    <row r="25" spans="4:8" x14ac:dyDescent="0.25">
      <c r="D25" s="11"/>
      <c r="E25" s="12"/>
      <c r="F25" s="13"/>
      <c r="G25" s="73">
        <v>0</v>
      </c>
      <c r="H25" s="74">
        <f t="shared" si="0"/>
        <v>0</v>
      </c>
    </row>
    <row r="26" spans="4:8" x14ac:dyDescent="0.25">
      <c r="D26" s="11"/>
      <c r="E26" s="12"/>
      <c r="F26" s="13"/>
      <c r="G26" s="73">
        <v>0</v>
      </c>
      <c r="H26" s="74">
        <f t="shared" si="0"/>
        <v>0</v>
      </c>
    </row>
    <row r="27" spans="4:8" x14ac:dyDescent="0.25">
      <c r="D27" s="11"/>
      <c r="E27" s="12"/>
      <c r="F27" s="13"/>
      <c r="G27" s="73">
        <v>0</v>
      </c>
      <c r="H27" s="74">
        <f t="shared" si="0"/>
        <v>0</v>
      </c>
    </row>
    <row r="28" spans="4:8" x14ac:dyDescent="0.25">
      <c r="D28" s="11"/>
      <c r="E28" s="12"/>
      <c r="F28" s="13"/>
      <c r="G28" s="73">
        <v>0</v>
      </c>
      <c r="H28" s="74">
        <f t="shared" si="0"/>
        <v>0</v>
      </c>
    </row>
    <row r="29" spans="4:8" x14ac:dyDescent="0.25">
      <c r="D29" s="11"/>
      <c r="E29" s="12"/>
      <c r="F29" s="13"/>
      <c r="G29" s="73">
        <v>0</v>
      </c>
      <c r="H29" s="74">
        <f t="shared" si="0"/>
        <v>0</v>
      </c>
    </row>
    <row r="30" spans="4:8" x14ac:dyDescent="0.25">
      <c r="D30" s="11"/>
      <c r="E30" s="12"/>
      <c r="F30" s="13"/>
      <c r="G30" s="73">
        <v>0</v>
      </c>
      <c r="H30" s="74">
        <f t="shared" si="0"/>
        <v>0</v>
      </c>
    </row>
    <row r="31" spans="4:8" x14ac:dyDescent="0.25">
      <c r="D31" s="11"/>
      <c r="E31" s="12"/>
      <c r="F31" s="13"/>
      <c r="G31" s="73">
        <v>0</v>
      </c>
      <c r="H31" s="74">
        <f t="shared" si="0"/>
        <v>0</v>
      </c>
    </row>
    <row r="32" spans="4:8" x14ac:dyDescent="0.25">
      <c r="D32" s="11"/>
      <c r="E32" s="12"/>
      <c r="F32" s="13"/>
      <c r="G32" s="73">
        <v>0</v>
      </c>
      <c r="H32" s="74">
        <f t="shared" si="0"/>
        <v>0</v>
      </c>
    </row>
    <row r="33" spans="4:8" x14ac:dyDescent="0.25">
      <c r="D33" s="11"/>
      <c r="E33" s="12"/>
      <c r="F33" s="13"/>
      <c r="G33" s="73">
        <v>0</v>
      </c>
      <c r="H33" s="74">
        <f t="shared" si="0"/>
        <v>0</v>
      </c>
    </row>
    <row r="34" spans="4:8" x14ac:dyDescent="0.25">
      <c r="D34" s="11"/>
      <c r="E34" s="12"/>
      <c r="F34" s="13"/>
      <c r="G34" s="73">
        <v>0</v>
      </c>
      <c r="H34" s="74">
        <f t="shared" si="0"/>
        <v>0</v>
      </c>
    </row>
    <row r="35" spans="4:8" x14ac:dyDescent="0.25">
      <c r="D35" s="11"/>
      <c r="E35" s="12"/>
      <c r="F35" s="13"/>
      <c r="G35" s="73">
        <v>0</v>
      </c>
      <c r="H35" s="74">
        <f t="shared" si="0"/>
        <v>0</v>
      </c>
    </row>
    <row r="36" spans="4:8" x14ac:dyDescent="0.25">
      <c r="D36" s="11"/>
      <c r="E36" s="12"/>
      <c r="F36" s="13"/>
      <c r="G36" s="73">
        <v>0</v>
      </c>
      <c r="H36" s="74">
        <f t="shared" ref="H36:H67" si="1">IF(AND($G36 &gt; 0, $E36 &gt; 0), CEILING(FV($G36, $E36-userAge, 0, -$F36, 1), 1000), $F36)</f>
        <v>0</v>
      </c>
    </row>
    <row r="37" spans="4:8" x14ac:dyDescent="0.25">
      <c r="D37" s="11"/>
      <c r="E37" s="12"/>
      <c r="F37" s="13"/>
      <c r="G37" s="73">
        <v>0</v>
      </c>
      <c r="H37" s="74">
        <f t="shared" si="1"/>
        <v>0</v>
      </c>
    </row>
    <row r="38" spans="4:8" x14ac:dyDescent="0.25">
      <c r="D38" s="11"/>
      <c r="E38" s="12"/>
      <c r="F38" s="13"/>
      <c r="G38" s="73">
        <v>0</v>
      </c>
      <c r="H38" s="74">
        <f t="shared" si="1"/>
        <v>0</v>
      </c>
    </row>
    <row r="39" spans="4:8" x14ac:dyDescent="0.25">
      <c r="D39" s="11"/>
      <c r="E39" s="12"/>
      <c r="F39" s="13"/>
      <c r="G39" s="73">
        <v>0</v>
      </c>
      <c r="H39" s="74">
        <f t="shared" si="1"/>
        <v>0</v>
      </c>
    </row>
    <row r="40" spans="4:8" x14ac:dyDescent="0.25">
      <c r="D40" s="11"/>
      <c r="E40" s="12"/>
      <c r="F40" s="13"/>
      <c r="G40" s="73">
        <v>0</v>
      </c>
      <c r="H40" s="74">
        <f t="shared" si="1"/>
        <v>0</v>
      </c>
    </row>
    <row r="41" spans="4:8" x14ac:dyDescent="0.25">
      <c r="D41" s="11"/>
      <c r="E41" s="12"/>
      <c r="F41" s="13"/>
      <c r="G41" s="73">
        <v>0</v>
      </c>
      <c r="H41" s="74">
        <f t="shared" si="1"/>
        <v>0</v>
      </c>
    </row>
    <row r="42" spans="4:8" x14ac:dyDescent="0.25">
      <c r="D42" s="11"/>
      <c r="E42" s="12"/>
      <c r="F42" s="13"/>
      <c r="G42" s="73">
        <v>0</v>
      </c>
      <c r="H42" s="74">
        <f t="shared" si="1"/>
        <v>0</v>
      </c>
    </row>
    <row r="43" spans="4:8" x14ac:dyDescent="0.25">
      <c r="D43" s="11"/>
      <c r="E43" s="12"/>
      <c r="F43" s="13"/>
      <c r="G43" s="73">
        <v>0</v>
      </c>
      <c r="H43" s="74">
        <f t="shared" si="1"/>
        <v>0</v>
      </c>
    </row>
    <row r="44" spans="4:8" x14ac:dyDescent="0.25">
      <c r="D44" s="11"/>
      <c r="E44" s="12"/>
      <c r="F44" s="13"/>
      <c r="G44" s="73">
        <v>0</v>
      </c>
      <c r="H44" s="74">
        <f t="shared" si="1"/>
        <v>0</v>
      </c>
    </row>
    <row r="45" spans="4:8" x14ac:dyDescent="0.25">
      <c r="D45" s="11"/>
      <c r="E45" s="12"/>
      <c r="F45" s="13"/>
      <c r="G45" s="73">
        <v>0</v>
      </c>
      <c r="H45" s="74">
        <f t="shared" si="1"/>
        <v>0</v>
      </c>
    </row>
    <row r="46" spans="4:8" x14ac:dyDescent="0.25">
      <c r="D46" s="11"/>
      <c r="E46" s="12"/>
      <c r="F46" s="13"/>
      <c r="G46" s="73">
        <v>0</v>
      </c>
      <c r="H46" s="74">
        <f t="shared" si="1"/>
        <v>0</v>
      </c>
    </row>
    <row r="47" spans="4:8" x14ac:dyDescent="0.25">
      <c r="D47" s="11"/>
      <c r="E47" s="12"/>
      <c r="F47" s="13"/>
      <c r="G47" s="73">
        <v>0</v>
      </c>
      <c r="H47" s="74">
        <f t="shared" si="1"/>
        <v>0</v>
      </c>
    </row>
    <row r="48" spans="4:8" x14ac:dyDescent="0.25">
      <c r="D48" s="11"/>
      <c r="E48" s="12"/>
      <c r="F48" s="13"/>
      <c r="G48" s="73">
        <v>0</v>
      </c>
      <c r="H48" s="74">
        <f t="shared" si="1"/>
        <v>0</v>
      </c>
    </row>
    <row r="49" spans="4:8" x14ac:dyDescent="0.25">
      <c r="D49" s="11"/>
      <c r="E49" s="12"/>
      <c r="F49" s="13"/>
      <c r="G49" s="73">
        <v>0</v>
      </c>
      <c r="H49" s="74">
        <f t="shared" si="1"/>
        <v>0</v>
      </c>
    </row>
    <row r="50" spans="4:8" x14ac:dyDescent="0.25">
      <c r="D50" s="11"/>
      <c r="E50" s="12"/>
      <c r="F50" s="13"/>
      <c r="G50" s="73">
        <v>0</v>
      </c>
      <c r="H50" s="74">
        <f t="shared" si="1"/>
        <v>0</v>
      </c>
    </row>
    <row r="51" spans="4:8" x14ac:dyDescent="0.25">
      <c r="D51" s="11"/>
      <c r="E51" s="12"/>
      <c r="F51" s="13"/>
      <c r="G51" s="73">
        <v>0</v>
      </c>
      <c r="H51" s="74">
        <f t="shared" si="1"/>
        <v>0</v>
      </c>
    </row>
    <row r="52" spans="4:8" x14ac:dyDescent="0.25">
      <c r="D52" s="11"/>
      <c r="E52" s="12"/>
      <c r="F52" s="13"/>
      <c r="G52" s="73">
        <v>0</v>
      </c>
      <c r="H52" s="74">
        <f t="shared" si="1"/>
        <v>0</v>
      </c>
    </row>
    <row r="53" spans="4:8" x14ac:dyDescent="0.25">
      <c r="D53" s="11"/>
      <c r="E53" s="12"/>
      <c r="F53" s="13"/>
      <c r="G53" s="73">
        <v>0</v>
      </c>
      <c r="H53" s="74">
        <f t="shared" si="1"/>
        <v>0</v>
      </c>
    </row>
    <row r="54" spans="4:8" x14ac:dyDescent="0.25">
      <c r="D54" s="11"/>
      <c r="E54" s="12"/>
      <c r="F54" s="13"/>
      <c r="G54" s="73">
        <v>0</v>
      </c>
      <c r="H54" s="74">
        <f t="shared" si="1"/>
        <v>0</v>
      </c>
    </row>
    <row r="55" spans="4:8" x14ac:dyDescent="0.25">
      <c r="D55" s="11"/>
      <c r="E55" s="12"/>
      <c r="F55" s="13"/>
      <c r="G55" s="73">
        <v>0</v>
      </c>
      <c r="H55" s="74">
        <f t="shared" si="1"/>
        <v>0</v>
      </c>
    </row>
    <row r="56" spans="4:8" x14ac:dyDescent="0.25">
      <c r="D56" s="11"/>
      <c r="E56" s="12"/>
      <c r="F56" s="13"/>
      <c r="G56" s="73">
        <v>0</v>
      </c>
      <c r="H56" s="74">
        <f t="shared" si="1"/>
        <v>0</v>
      </c>
    </row>
    <row r="57" spans="4:8" x14ac:dyDescent="0.25">
      <c r="D57" s="11"/>
      <c r="E57" s="12"/>
      <c r="F57" s="13"/>
      <c r="G57" s="73">
        <v>0</v>
      </c>
      <c r="H57" s="74">
        <f t="shared" si="1"/>
        <v>0</v>
      </c>
    </row>
    <row r="58" spans="4:8" x14ac:dyDescent="0.25">
      <c r="D58" s="11"/>
      <c r="E58" s="12"/>
      <c r="F58" s="13"/>
      <c r="G58" s="73">
        <v>0</v>
      </c>
      <c r="H58" s="74">
        <f t="shared" si="1"/>
        <v>0</v>
      </c>
    </row>
    <row r="59" spans="4:8" x14ac:dyDescent="0.25">
      <c r="D59" s="11"/>
      <c r="E59" s="12"/>
      <c r="F59" s="13"/>
      <c r="G59" s="73">
        <v>0</v>
      </c>
      <c r="H59" s="74">
        <f t="shared" si="1"/>
        <v>0</v>
      </c>
    </row>
    <row r="60" spans="4:8" x14ac:dyDescent="0.25">
      <c r="D60" s="11"/>
      <c r="E60" s="12"/>
      <c r="F60" s="13"/>
      <c r="G60" s="73">
        <v>0</v>
      </c>
      <c r="H60" s="74">
        <f t="shared" si="1"/>
        <v>0</v>
      </c>
    </row>
    <row r="61" spans="4:8" x14ac:dyDescent="0.25">
      <c r="D61" s="11"/>
      <c r="E61" s="12"/>
      <c r="F61" s="13"/>
      <c r="G61" s="73">
        <v>0</v>
      </c>
      <c r="H61" s="74">
        <f t="shared" si="1"/>
        <v>0</v>
      </c>
    </row>
    <row r="62" spans="4:8" x14ac:dyDescent="0.25">
      <c r="D62" s="11"/>
      <c r="E62" s="12"/>
      <c r="F62" s="13"/>
      <c r="G62" s="73">
        <v>0</v>
      </c>
      <c r="H62" s="74">
        <f t="shared" si="1"/>
        <v>0</v>
      </c>
    </row>
    <row r="63" spans="4:8" x14ac:dyDescent="0.25">
      <c r="D63" s="11"/>
      <c r="E63" s="12"/>
      <c r="F63" s="13"/>
      <c r="G63" s="73">
        <v>0</v>
      </c>
      <c r="H63" s="74">
        <f t="shared" si="1"/>
        <v>0</v>
      </c>
    </row>
    <row r="64" spans="4:8" x14ac:dyDescent="0.25">
      <c r="D64" s="11"/>
      <c r="E64" s="12"/>
      <c r="F64" s="13"/>
      <c r="G64" s="73">
        <v>0</v>
      </c>
      <c r="H64" s="74">
        <f t="shared" si="1"/>
        <v>0</v>
      </c>
    </row>
    <row r="65" spans="4:8" x14ac:dyDescent="0.25">
      <c r="D65" s="11"/>
      <c r="E65" s="12"/>
      <c r="F65" s="13"/>
      <c r="G65" s="73">
        <v>0</v>
      </c>
      <c r="H65" s="74">
        <f t="shared" si="1"/>
        <v>0</v>
      </c>
    </row>
    <row r="66" spans="4:8" x14ac:dyDescent="0.25">
      <c r="D66" s="11"/>
      <c r="E66" s="12"/>
      <c r="F66" s="13"/>
      <c r="G66" s="73">
        <v>0</v>
      </c>
      <c r="H66" s="74">
        <f t="shared" si="1"/>
        <v>0</v>
      </c>
    </row>
    <row r="67" spans="4:8" x14ac:dyDescent="0.25">
      <c r="D67" s="11"/>
      <c r="E67" s="12"/>
      <c r="F67" s="13"/>
      <c r="G67" s="73">
        <v>0</v>
      </c>
      <c r="H67" s="74">
        <f t="shared" si="1"/>
        <v>0</v>
      </c>
    </row>
    <row r="68" spans="4:8" x14ac:dyDescent="0.25">
      <c r="D68" s="11"/>
      <c r="E68" s="12"/>
      <c r="F68" s="13"/>
      <c r="G68" s="73">
        <v>0</v>
      </c>
      <c r="H68" s="74">
        <f t="shared" ref="H68:H99" si="2">IF(AND($G68 &gt; 0, $E68 &gt; 0), CEILING(FV($G68, $E68-userAge, 0, -$F68, 1), 1000), $F68)</f>
        <v>0</v>
      </c>
    </row>
    <row r="69" spans="4:8" x14ac:dyDescent="0.25">
      <c r="D69" s="11"/>
      <c r="E69" s="12"/>
      <c r="F69" s="13"/>
      <c r="G69" s="73">
        <v>0</v>
      </c>
      <c r="H69" s="74">
        <f t="shared" si="2"/>
        <v>0</v>
      </c>
    </row>
    <row r="70" spans="4:8" x14ac:dyDescent="0.25">
      <c r="D70" s="11"/>
      <c r="E70" s="12"/>
      <c r="F70" s="13"/>
      <c r="G70" s="73">
        <v>0</v>
      </c>
      <c r="H70" s="74">
        <f t="shared" si="2"/>
        <v>0</v>
      </c>
    </row>
    <row r="71" spans="4:8" x14ac:dyDescent="0.25">
      <c r="D71" s="11"/>
      <c r="E71" s="12"/>
      <c r="F71" s="13"/>
      <c r="G71" s="73">
        <v>0</v>
      </c>
      <c r="H71" s="74">
        <f t="shared" si="2"/>
        <v>0</v>
      </c>
    </row>
    <row r="72" spans="4:8" x14ac:dyDescent="0.25">
      <c r="D72" s="11"/>
      <c r="E72" s="12"/>
      <c r="F72" s="13"/>
      <c r="G72" s="73">
        <v>0</v>
      </c>
      <c r="H72" s="74">
        <f t="shared" si="2"/>
        <v>0</v>
      </c>
    </row>
    <row r="73" spans="4:8" x14ac:dyDescent="0.25">
      <c r="D73" s="11"/>
      <c r="E73" s="12"/>
      <c r="F73" s="13"/>
      <c r="G73" s="73">
        <v>0</v>
      </c>
      <c r="H73" s="74">
        <f t="shared" si="2"/>
        <v>0</v>
      </c>
    </row>
    <row r="74" spans="4:8" x14ac:dyDescent="0.25">
      <c r="D74" s="11"/>
      <c r="E74" s="12"/>
      <c r="F74" s="13"/>
      <c r="G74" s="73">
        <v>0</v>
      </c>
      <c r="H74" s="74">
        <f t="shared" si="2"/>
        <v>0</v>
      </c>
    </row>
    <row r="75" spans="4:8" x14ac:dyDescent="0.25">
      <c r="D75" s="11"/>
      <c r="E75" s="12"/>
      <c r="F75" s="13"/>
      <c r="G75" s="73">
        <v>0</v>
      </c>
      <c r="H75" s="74">
        <f t="shared" si="2"/>
        <v>0</v>
      </c>
    </row>
    <row r="76" spans="4:8" x14ac:dyDescent="0.25">
      <c r="D76" s="11"/>
      <c r="E76" s="12"/>
      <c r="F76" s="13"/>
      <c r="G76" s="73">
        <v>0</v>
      </c>
      <c r="H76" s="74">
        <f t="shared" si="2"/>
        <v>0</v>
      </c>
    </row>
    <row r="77" spans="4:8" x14ac:dyDescent="0.25">
      <c r="D77" s="11"/>
      <c r="E77" s="12"/>
      <c r="F77" s="13"/>
      <c r="G77" s="73">
        <v>0</v>
      </c>
      <c r="H77" s="74">
        <f t="shared" si="2"/>
        <v>0</v>
      </c>
    </row>
    <row r="78" spans="4:8" x14ac:dyDescent="0.25">
      <c r="D78" s="11"/>
      <c r="E78" s="12"/>
      <c r="F78" s="13"/>
      <c r="G78" s="73">
        <v>0</v>
      </c>
      <c r="H78" s="74">
        <f t="shared" si="2"/>
        <v>0</v>
      </c>
    </row>
    <row r="79" spans="4:8" x14ac:dyDescent="0.25">
      <c r="D79" s="11"/>
      <c r="E79" s="12"/>
      <c r="F79" s="13"/>
      <c r="G79" s="73">
        <v>0</v>
      </c>
      <c r="H79" s="74">
        <f t="shared" si="2"/>
        <v>0</v>
      </c>
    </row>
    <row r="80" spans="4:8" x14ac:dyDescent="0.25">
      <c r="D80" s="11"/>
      <c r="E80" s="12"/>
      <c r="F80" s="13"/>
      <c r="G80" s="73">
        <v>0</v>
      </c>
      <c r="H80" s="74">
        <f t="shared" si="2"/>
        <v>0</v>
      </c>
    </row>
    <row r="81" spans="4:8" x14ac:dyDescent="0.25">
      <c r="D81" s="11"/>
      <c r="E81" s="12"/>
      <c r="F81" s="13"/>
      <c r="G81" s="73">
        <v>0</v>
      </c>
      <c r="H81" s="74">
        <f t="shared" si="2"/>
        <v>0</v>
      </c>
    </row>
    <row r="82" spans="4:8" x14ac:dyDescent="0.25">
      <c r="D82" s="11"/>
      <c r="E82" s="12"/>
      <c r="F82" s="13"/>
      <c r="G82" s="73">
        <v>0</v>
      </c>
      <c r="H82" s="74">
        <f t="shared" si="2"/>
        <v>0</v>
      </c>
    </row>
    <row r="83" spans="4:8" x14ac:dyDescent="0.25">
      <c r="D83" s="11"/>
      <c r="E83" s="12"/>
      <c r="F83" s="13"/>
      <c r="G83" s="73">
        <v>0</v>
      </c>
      <c r="H83" s="74">
        <f t="shared" si="2"/>
        <v>0</v>
      </c>
    </row>
    <row r="84" spans="4:8" x14ac:dyDescent="0.25">
      <c r="D84" s="11"/>
      <c r="E84" s="12"/>
      <c r="F84" s="13"/>
      <c r="G84" s="73">
        <v>0</v>
      </c>
      <c r="H84" s="74">
        <f t="shared" si="2"/>
        <v>0</v>
      </c>
    </row>
    <row r="85" spans="4:8" x14ac:dyDescent="0.25">
      <c r="D85" s="11"/>
      <c r="E85" s="12"/>
      <c r="F85" s="13"/>
      <c r="G85" s="73">
        <v>0</v>
      </c>
      <c r="H85" s="74">
        <f t="shared" si="2"/>
        <v>0</v>
      </c>
    </row>
    <row r="86" spans="4:8" x14ac:dyDescent="0.25">
      <c r="D86" s="11"/>
      <c r="E86" s="12"/>
      <c r="F86" s="13"/>
      <c r="G86" s="73">
        <v>0</v>
      </c>
      <c r="H86" s="74">
        <f t="shared" si="2"/>
        <v>0</v>
      </c>
    </row>
    <row r="87" spans="4:8" x14ac:dyDescent="0.25">
      <c r="D87" s="11"/>
      <c r="E87" s="12"/>
      <c r="F87" s="13"/>
      <c r="G87" s="73">
        <v>0</v>
      </c>
      <c r="H87" s="74">
        <f t="shared" si="2"/>
        <v>0</v>
      </c>
    </row>
    <row r="88" spans="4:8" x14ac:dyDescent="0.25">
      <c r="D88" s="11"/>
      <c r="E88" s="12"/>
      <c r="F88" s="13"/>
      <c r="G88" s="73">
        <v>0</v>
      </c>
      <c r="H88" s="74">
        <f t="shared" si="2"/>
        <v>0</v>
      </c>
    </row>
    <row r="89" spans="4:8" x14ac:dyDescent="0.25">
      <c r="D89" s="11"/>
      <c r="E89" s="12"/>
      <c r="F89" s="13"/>
      <c r="G89" s="73">
        <v>0</v>
      </c>
      <c r="H89" s="74">
        <f t="shared" si="2"/>
        <v>0</v>
      </c>
    </row>
    <row r="90" spans="4:8" x14ac:dyDescent="0.25">
      <c r="D90" s="11"/>
      <c r="E90" s="12"/>
      <c r="F90" s="13"/>
      <c r="G90" s="73">
        <v>0</v>
      </c>
      <c r="H90" s="74">
        <f t="shared" si="2"/>
        <v>0</v>
      </c>
    </row>
    <row r="91" spans="4:8" x14ac:dyDescent="0.25">
      <c r="D91" s="11"/>
      <c r="E91" s="12"/>
      <c r="F91" s="13"/>
      <c r="G91" s="73">
        <v>0</v>
      </c>
      <c r="H91" s="74">
        <f t="shared" si="2"/>
        <v>0</v>
      </c>
    </row>
    <row r="92" spans="4:8" x14ac:dyDescent="0.25">
      <c r="D92" s="11"/>
      <c r="E92" s="12"/>
      <c r="F92" s="13"/>
      <c r="G92" s="73">
        <v>0</v>
      </c>
      <c r="H92" s="74">
        <f t="shared" si="2"/>
        <v>0</v>
      </c>
    </row>
    <row r="93" spans="4:8" x14ac:dyDescent="0.25">
      <c r="D93" s="11"/>
      <c r="E93" s="12"/>
      <c r="F93" s="13"/>
      <c r="G93" s="73">
        <v>0</v>
      </c>
      <c r="H93" s="74">
        <f t="shared" si="2"/>
        <v>0</v>
      </c>
    </row>
    <row r="94" spans="4:8" x14ac:dyDescent="0.25">
      <c r="D94" s="11"/>
      <c r="E94" s="12"/>
      <c r="F94" s="13"/>
      <c r="G94" s="73">
        <v>0</v>
      </c>
      <c r="H94" s="74">
        <f t="shared" si="2"/>
        <v>0</v>
      </c>
    </row>
    <row r="95" spans="4:8" x14ac:dyDescent="0.25">
      <c r="D95" s="11"/>
      <c r="E95" s="12"/>
      <c r="F95" s="13"/>
      <c r="G95" s="73">
        <v>0</v>
      </c>
      <c r="H95" s="74">
        <f t="shared" si="2"/>
        <v>0</v>
      </c>
    </row>
    <row r="96" spans="4:8" x14ac:dyDescent="0.25">
      <c r="D96" s="11"/>
      <c r="E96" s="12"/>
      <c r="F96" s="13"/>
      <c r="G96" s="73">
        <v>0</v>
      </c>
      <c r="H96" s="74">
        <f t="shared" si="2"/>
        <v>0</v>
      </c>
    </row>
    <row r="97" spans="4:8" x14ac:dyDescent="0.25">
      <c r="D97" s="11"/>
      <c r="E97" s="12"/>
      <c r="F97" s="13"/>
      <c r="G97" s="73">
        <v>0</v>
      </c>
      <c r="H97" s="74">
        <f t="shared" si="2"/>
        <v>0</v>
      </c>
    </row>
    <row r="98" spans="4:8" x14ac:dyDescent="0.25">
      <c r="D98" s="11"/>
      <c r="E98" s="12"/>
      <c r="F98" s="13"/>
      <c r="G98" s="73">
        <v>0</v>
      </c>
      <c r="H98" s="74">
        <f t="shared" si="2"/>
        <v>0</v>
      </c>
    </row>
    <row r="99" spans="4:8" x14ac:dyDescent="0.25">
      <c r="D99" s="11"/>
      <c r="E99" s="12"/>
      <c r="F99" s="13"/>
      <c r="G99" s="73">
        <v>0</v>
      </c>
      <c r="H99" s="74">
        <f t="shared" si="2"/>
        <v>0</v>
      </c>
    </row>
    <row r="100" spans="4:8" x14ac:dyDescent="0.25">
      <c r="D100" s="11"/>
      <c r="E100" s="12"/>
      <c r="F100" s="13"/>
      <c r="G100" s="73">
        <v>0</v>
      </c>
      <c r="H100" s="74">
        <f t="shared" ref="H100:H106" si="3">IF(AND($G100 &gt; 0, $E100 &gt; 0), CEILING(FV($G100, $E100-userAge, 0, -$F100, 1), 1000), $F100)</f>
        <v>0</v>
      </c>
    </row>
    <row r="101" spans="4:8" x14ac:dyDescent="0.25">
      <c r="D101" s="11" t="s">
        <v>54</v>
      </c>
      <c r="E101" s="12">
        <v>40</v>
      </c>
      <c r="F101" s="13">
        <v>-1000000</v>
      </c>
      <c r="G101" s="73">
        <v>0</v>
      </c>
      <c r="H101" s="74">
        <f t="shared" si="3"/>
        <v>-1000000</v>
      </c>
    </row>
    <row r="102" spans="4:8" x14ac:dyDescent="0.25">
      <c r="D102" s="11" t="s">
        <v>57</v>
      </c>
      <c r="E102" s="12">
        <v>40</v>
      </c>
      <c r="F102" s="13"/>
      <c r="G102" s="73">
        <v>0</v>
      </c>
      <c r="H102" s="74">
        <f t="shared" si="3"/>
        <v>0</v>
      </c>
    </row>
    <row r="103" spans="4:8" x14ac:dyDescent="0.25">
      <c r="D103" s="11" t="s">
        <v>87</v>
      </c>
      <c r="E103" s="71">
        <f>userRetirementAge</f>
        <v>60</v>
      </c>
      <c r="F103" s="13">
        <v>-2000000</v>
      </c>
      <c r="G103" s="73">
        <v>0</v>
      </c>
      <c r="H103" s="74">
        <f t="shared" si="3"/>
        <v>-2000000</v>
      </c>
    </row>
    <row r="104" spans="4:8" ht="15.75" thickBot="1" x14ac:dyDescent="0.3">
      <c r="D104" s="63" t="s">
        <v>61</v>
      </c>
      <c r="E104" s="68">
        <f>userLifeExpectancyAge</f>
        <v>80</v>
      </c>
      <c r="F104" s="25">
        <v>-10000000</v>
      </c>
      <c r="G104" s="75">
        <v>0</v>
      </c>
      <c r="H104" s="76">
        <f t="shared" si="3"/>
        <v>-10000000</v>
      </c>
    </row>
    <row r="105" spans="4:8" ht="15.75" thickBot="1" x14ac:dyDescent="0.3">
      <c r="D105" s="64" t="s">
        <v>11</v>
      </c>
      <c r="E105" s="67">
        <f>userRetirementAge</f>
        <v>60</v>
      </c>
      <c r="F105" s="13"/>
      <c r="G105" s="77">
        <v>0</v>
      </c>
      <c r="H105" s="78">
        <f t="shared" si="3"/>
        <v>0</v>
      </c>
    </row>
    <row r="106" spans="4:8" ht="15.75" thickBot="1" x14ac:dyDescent="0.3">
      <c r="D106" s="65" t="s">
        <v>16</v>
      </c>
      <c r="E106" s="69">
        <f>userLifeExpectancyAge</f>
        <v>80</v>
      </c>
      <c r="F106" s="70"/>
      <c r="G106" s="75">
        <v>0</v>
      </c>
      <c r="H106" s="76">
        <f t="shared" si="3"/>
        <v>0</v>
      </c>
    </row>
  </sheetData>
  <sheetProtection formatCells="0" formatColumns="0" formatRows="0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9B4A1-0342-4CF9-B7A3-0A8E7EC2A886}">
  <sheetPr codeName="Sheet7"/>
  <dimension ref="A1:E32"/>
  <sheetViews>
    <sheetView workbookViewId="0">
      <selection activeCell="E7" sqref="E7"/>
    </sheetView>
  </sheetViews>
  <sheetFormatPr defaultColWidth="26.140625" defaultRowHeight="15" x14ac:dyDescent="0.25"/>
  <cols>
    <col min="1" max="1" width="39.85546875" bestFit="1" customWidth="1"/>
    <col min="2" max="3" width="10.7109375" bestFit="1" customWidth="1"/>
    <col min="4" max="4" width="40.140625" bestFit="1" customWidth="1"/>
    <col min="5" max="6" width="10.7109375" bestFit="1" customWidth="1"/>
    <col min="7" max="7" width="12" customWidth="1"/>
    <col min="8" max="8" width="39.85546875" bestFit="1" customWidth="1"/>
    <col min="9" max="9" width="10.7109375" bestFit="1" customWidth="1"/>
    <col min="10" max="10" width="7.28515625" customWidth="1"/>
    <col min="11" max="11" width="39.85546875" bestFit="1" customWidth="1"/>
    <col min="12" max="12" width="10.7109375" bestFit="1" customWidth="1"/>
    <col min="13" max="13" width="39.85546875" bestFit="1" customWidth="1"/>
    <col min="14" max="14" width="10.7109375" bestFit="1" customWidth="1"/>
  </cols>
  <sheetData>
    <row r="1" spans="1:5" x14ac:dyDescent="0.25">
      <c r="A1" s="27" t="s">
        <v>56</v>
      </c>
    </row>
    <row r="4" spans="1:5" ht="15.75" thickBot="1" x14ac:dyDescent="0.3"/>
    <row r="5" spans="1:5" ht="15.75" thickBot="1" x14ac:dyDescent="0.3">
      <c r="A5" s="84" t="s">
        <v>36</v>
      </c>
      <c r="B5" s="85"/>
      <c r="D5" s="84" t="s">
        <v>36</v>
      </c>
      <c r="E5" s="85"/>
    </row>
    <row r="6" spans="1:5" x14ac:dyDescent="0.25">
      <c r="A6" s="1"/>
      <c r="B6" s="15"/>
      <c r="D6" s="1"/>
      <c r="E6" s="15"/>
    </row>
    <row r="7" spans="1:5" x14ac:dyDescent="0.25">
      <c r="A7" s="26" t="s">
        <v>0</v>
      </c>
      <c r="B7" s="16" t="s">
        <v>25</v>
      </c>
      <c r="D7" s="26" t="s">
        <v>0</v>
      </c>
      <c r="E7" s="16" t="s">
        <v>25</v>
      </c>
    </row>
    <row r="8" spans="1:5" x14ac:dyDescent="0.25">
      <c r="A8" s="26" t="s">
        <v>3</v>
      </c>
      <c r="B8" s="17">
        <v>36526</v>
      </c>
      <c r="D8" s="26" t="s">
        <v>3</v>
      </c>
      <c r="E8" s="17">
        <v>25569</v>
      </c>
    </row>
    <row r="9" spans="1:5" x14ac:dyDescent="0.25">
      <c r="A9" s="26" t="s">
        <v>17</v>
      </c>
      <c r="B9" s="18">
        <v>50000</v>
      </c>
      <c r="D9" s="26" t="s">
        <v>17</v>
      </c>
      <c r="E9" s="18">
        <v>150000</v>
      </c>
    </row>
    <row r="10" spans="1:5" x14ac:dyDescent="0.25">
      <c r="A10" s="26" t="s">
        <v>5</v>
      </c>
      <c r="B10" s="18">
        <v>100000</v>
      </c>
      <c r="D10" s="26" t="s">
        <v>5</v>
      </c>
      <c r="E10" s="18">
        <v>1000000</v>
      </c>
    </row>
    <row r="11" spans="1:5" x14ac:dyDescent="0.25">
      <c r="A11" s="26" t="s">
        <v>83</v>
      </c>
      <c r="B11" s="18">
        <v>50000</v>
      </c>
      <c r="D11" s="26" t="s">
        <v>83</v>
      </c>
      <c r="E11" s="18">
        <v>0</v>
      </c>
    </row>
    <row r="12" spans="1:5" x14ac:dyDescent="0.25">
      <c r="A12" s="26"/>
      <c r="B12" s="32"/>
      <c r="D12" s="26"/>
      <c r="E12" s="32"/>
    </row>
    <row r="13" spans="1:5" x14ac:dyDescent="0.25">
      <c r="A13" s="38" t="s">
        <v>80</v>
      </c>
      <c r="B13" s="32"/>
      <c r="D13" s="38" t="s">
        <v>80</v>
      </c>
      <c r="E13" s="32"/>
    </row>
    <row r="14" spans="1:5" x14ac:dyDescent="0.25">
      <c r="A14" s="26" t="s">
        <v>74</v>
      </c>
      <c r="B14" s="19">
        <v>0.15</v>
      </c>
      <c r="D14" s="26" t="s">
        <v>74</v>
      </c>
      <c r="E14" s="19">
        <v>0.12</v>
      </c>
    </row>
    <row r="15" spans="1:5" x14ac:dyDescent="0.25">
      <c r="A15" s="26" t="s">
        <v>37</v>
      </c>
      <c r="B15" s="28">
        <v>7.0000000000000007E-2</v>
      </c>
      <c r="D15" s="26" t="s">
        <v>37</v>
      </c>
      <c r="E15" s="28">
        <v>7.0000000000000007E-2</v>
      </c>
    </row>
    <row r="16" spans="1:5" x14ac:dyDescent="0.25">
      <c r="A16" s="26" t="s">
        <v>38</v>
      </c>
      <c r="B16" s="28">
        <v>0.03</v>
      </c>
      <c r="D16" s="26" t="s">
        <v>38</v>
      </c>
      <c r="E16" s="28">
        <v>0.03</v>
      </c>
    </row>
    <row r="17" spans="1:5" x14ac:dyDescent="0.25">
      <c r="A17" s="26" t="s">
        <v>39</v>
      </c>
      <c r="B17" s="28">
        <v>0.01</v>
      </c>
      <c r="D17" s="26" t="s">
        <v>39</v>
      </c>
      <c r="E17" s="28">
        <v>0.01</v>
      </c>
    </row>
    <row r="18" spans="1:5" x14ac:dyDescent="0.25">
      <c r="A18" s="26"/>
      <c r="B18" s="32"/>
      <c r="D18" s="26"/>
      <c r="E18" s="32"/>
    </row>
    <row r="19" spans="1:5" x14ac:dyDescent="0.25">
      <c r="A19" s="26" t="s">
        <v>72</v>
      </c>
      <c r="B19" s="19">
        <v>0.05</v>
      </c>
      <c r="D19" s="26" t="s">
        <v>72</v>
      </c>
      <c r="E19" s="19">
        <v>0.05</v>
      </c>
    </row>
    <row r="20" spans="1:5" x14ac:dyDescent="0.25">
      <c r="A20" s="26"/>
      <c r="B20" s="32"/>
      <c r="D20" s="26"/>
      <c r="E20" s="32"/>
    </row>
    <row r="21" spans="1:5" x14ac:dyDescent="0.25">
      <c r="A21" s="38" t="s">
        <v>81</v>
      </c>
      <c r="B21" s="32"/>
      <c r="D21" s="38" t="s">
        <v>81</v>
      </c>
      <c r="E21" s="32"/>
    </row>
    <row r="22" spans="1:5" x14ac:dyDescent="0.25">
      <c r="A22" s="26" t="s">
        <v>71</v>
      </c>
      <c r="B22" s="19">
        <v>0.1</v>
      </c>
      <c r="D22" s="26" t="s">
        <v>71</v>
      </c>
      <c r="E22" s="19">
        <v>0.1</v>
      </c>
    </row>
    <row r="23" spans="1:5" x14ac:dyDescent="0.25">
      <c r="A23" s="26" t="s">
        <v>75</v>
      </c>
      <c r="B23" s="28">
        <v>7.0000000000000007E-2</v>
      </c>
      <c r="D23" s="26" t="s">
        <v>75</v>
      </c>
      <c r="E23" s="28">
        <v>7.0000000000000007E-2</v>
      </c>
    </row>
    <row r="24" spans="1:5" x14ac:dyDescent="0.25">
      <c r="A24" s="26" t="s">
        <v>76</v>
      </c>
      <c r="B24" s="28">
        <v>0.01</v>
      </c>
      <c r="D24" s="26" t="s">
        <v>76</v>
      </c>
      <c r="E24" s="28">
        <v>0.01</v>
      </c>
    </row>
    <row r="25" spans="1:5" x14ac:dyDescent="0.25">
      <c r="A25" s="26" t="s">
        <v>39</v>
      </c>
      <c r="B25" s="28">
        <v>0.01</v>
      </c>
      <c r="D25" s="26" t="s">
        <v>39</v>
      </c>
      <c r="E25" s="28">
        <v>0</v>
      </c>
    </row>
    <row r="26" spans="1:5" x14ac:dyDescent="0.25">
      <c r="A26" s="26"/>
      <c r="B26" s="32"/>
      <c r="D26" s="26"/>
      <c r="E26" s="32"/>
    </row>
    <row r="27" spans="1:5" x14ac:dyDescent="0.25">
      <c r="A27" s="26" t="s">
        <v>78</v>
      </c>
      <c r="B27" s="18">
        <v>1200000</v>
      </c>
      <c r="D27" s="26" t="s">
        <v>78</v>
      </c>
      <c r="E27" s="18">
        <v>1200000</v>
      </c>
    </row>
    <row r="28" spans="1:5" x14ac:dyDescent="0.25">
      <c r="A28" s="26" t="s">
        <v>79</v>
      </c>
      <c r="B28" s="19">
        <v>0.05</v>
      </c>
      <c r="D28" s="26" t="s">
        <v>79</v>
      </c>
      <c r="E28" s="19">
        <v>0.05</v>
      </c>
    </row>
    <row r="29" spans="1:5" x14ac:dyDescent="0.25">
      <c r="A29" s="26"/>
      <c r="B29" s="32"/>
      <c r="D29" s="26"/>
      <c r="E29" s="32"/>
    </row>
    <row r="30" spans="1:5" x14ac:dyDescent="0.25">
      <c r="A30" s="38" t="s">
        <v>82</v>
      </c>
      <c r="B30" s="32"/>
      <c r="D30" s="38" t="s">
        <v>82</v>
      </c>
      <c r="E30" s="32"/>
    </row>
    <row r="31" spans="1:5" x14ac:dyDescent="0.25">
      <c r="A31" s="26" t="s">
        <v>55</v>
      </c>
      <c r="B31" s="29">
        <v>60</v>
      </c>
      <c r="D31" s="26" t="s">
        <v>55</v>
      </c>
      <c r="E31" s="29">
        <v>60</v>
      </c>
    </row>
    <row r="32" spans="1:5" ht="15.75" thickBot="1" x14ac:dyDescent="0.3">
      <c r="A32" s="31" t="s">
        <v>48</v>
      </c>
      <c r="B32" s="30">
        <v>80</v>
      </c>
      <c r="D32" s="31" t="s">
        <v>48</v>
      </c>
      <c r="E32" s="30">
        <v>80</v>
      </c>
    </row>
  </sheetData>
  <mergeCells count="2">
    <mergeCell ref="A5:B5"/>
    <mergeCell ref="D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29</vt:i4>
      </vt:variant>
    </vt:vector>
  </HeadingPairs>
  <TitlesOfParts>
    <vt:vector size="34" baseType="lpstr">
      <vt:lpstr>Dashboard</vt:lpstr>
      <vt:lpstr>Input-Basic</vt:lpstr>
      <vt:lpstr>Input-MonthlyExpenses</vt:lpstr>
      <vt:lpstr>Input-Events</vt:lpstr>
      <vt:lpstr>TestCases</vt:lpstr>
      <vt:lpstr>AnnaulROI</vt:lpstr>
      <vt:lpstr>annualAmountSWP</vt:lpstr>
      <vt:lpstr>annualChangeInSWP</vt:lpstr>
      <vt:lpstr>annualEffectivePostRetirementROI</vt:lpstr>
      <vt:lpstr>annualEffectiveROI</vt:lpstr>
      <vt:lpstr>annualIncreaseInSavings</vt:lpstr>
      <vt:lpstr>annualInflation</vt:lpstr>
      <vt:lpstr>annualInflationLifeStyle</vt:lpstr>
      <vt:lpstr>annualInflationOthers</vt:lpstr>
      <vt:lpstr>annualPostRetirementROI</vt:lpstr>
      <vt:lpstr>annualROI</vt:lpstr>
      <vt:lpstr>annualWithdrawalSWP_FV</vt:lpstr>
      <vt:lpstr>InflationCPI</vt:lpstr>
      <vt:lpstr>Dashboard!Print_Area</vt:lpstr>
      <vt:lpstr>swpLTCGExemption</vt:lpstr>
      <vt:lpstr>swpLTCGTaxPercentage</vt:lpstr>
      <vt:lpstr>swpOtherTaxExemptions</vt:lpstr>
      <vt:lpstr>TEsting</vt:lpstr>
      <vt:lpstr>userAge</vt:lpstr>
      <vt:lpstr>userAnnualSavings</vt:lpstr>
      <vt:lpstr>userCurrentLiabilities</vt:lpstr>
      <vt:lpstr>userCurrentSavings</vt:lpstr>
      <vt:lpstr>userDOB</vt:lpstr>
      <vt:lpstr>userIncome</vt:lpstr>
      <vt:lpstr>userLifeExpectancyAge</vt:lpstr>
      <vt:lpstr>userMonthlyExpenses</vt:lpstr>
      <vt:lpstr>userMonthlyIncome</vt:lpstr>
      <vt:lpstr>userName</vt:lpstr>
      <vt:lpstr>userRetirementAge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naveenkumar</dc:creator>
  <cp:lastModifiedBy>Naveenkumar</cp:lastModifiedBy>
  <cp:lastPrinted>2024-08-30T13:50:32Z</cp:lastPrinted>
  <dcterms:created xsi:type="dcterms:W3CDTF">2015-06-05T18:17:20Z</dcterms:created>
  <dcterms:modified xsi:type="dcterms:W3CDTF">2025-08-10T17:52:31Z</dcterms:modified>
</cp:coreProperties>
</file>