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template.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drawings/drawing3.xml" ContentType="application/vnd.openxmlformats-officedocument.drawing+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036b0e3522f44fa6" Type="http://schemas.microsoft.com/office/2006/relationships/ui/extensibility" Target="customUI/customUI.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303" codeName="{6A26FB3C-EA34-E94E-B44F-155022A03E17}"/>
  <workbookPr codeName="ThisWorkbook" autoCompressPictures="0"/>
  <mc:AlternateContent xmlns:mc="http://schemas.openxmlformats.org/markup-compatibility/2006">
    <mc:Choice Requires="x15">
      <x15ac:absPath xmlns:x15ac="http://schemas.microsoft.com/office/spreadsheetml/2010/11/ac" url="/Users/nick/Library/CloudStorage/Dropbox/Development/VFR Flight Planner v3.53/"/>
    </mc:Choice>
  </mc:AlternateContent>
  <xr:revisionPtr revIDLastSave="0" documentId="13_ncr:1_{A46D840F-0CC2-044D-973A-CE43A18D9B39}" xr6:coauthVersionLast="47" xr6:coauthVersionMax="47" xr10:uidLastSave="{00000000-0000-0000-0000-000000000000}"/>
  <bookViews>
    <workbookView xWindow="540" yWindow="720" windowWidth="31020" windowHeight="27140" tabRatio="775" xr2:uid="{00000000-000D-0000-FFFF-FFFF00000000}"/>
  </bookViews>
  <sheets>
    <sheet name="Macros" sheetId="13" r:id="rId1"/>
    <sheet name="Installation" sheetId="10" state="hidden" r:id="rId2"/>
    <sheet name="Instructions" sheetId="7" state="hidden" r:id="rId3"/>
    <sheet name="Check Lists" sheetId="4" state="hidden" r:id="rId4"/>
    <sheet name="Weather-FP" sheetId="3" state="hidden" r:id="rId5"/>
    <sheet name="Navigation Log" sheetId="1" state="hidden" r:id="rId6"/>
    <sheet name="Navigation Log 2" sheetId="11" state="hidden" r:id="rId7"/>
    <sheet name="Notes" sheetId="6" state="hidden" r:id="rId8"/>
    <sheet name="Airport Database" sheetId="5" state="hidden" r:id="rId9"/>
    <sheet name="Aircraft Database" sheetId="8" state="hidden" r:id="rId10"/>
    <sheet name="Definitions" sheetId="12" state="hidden" r:id="rId11"/>
  </sheets>
  <functionGroups builtInGroupCount="19"/>
  <definedNames>
    <definedName name="AFDData">'Airport Database'!$A$4:$AA$59</definedName>
    <definedName name="AFDDataStart">'Airport Database'!$A$4</definedName>
    <definedName name="Aircraft_Data_Table">'Check Lists'!$A$52</definedName>
    <definedName name="AircraftColor">'Check Lists'!$E$66</definedName>
    <definedName name="AircraftComment">'Check Lists'!$E$65</definedName>
    <definedName name="AircraftData">'Aircraft Database'!$A$4:$AE$92</definedName>
    <definedName name="AircraftDataStart">'Aircraft Database'!$A$4</definedName>
    <definedName name="AircraftNumber">'Check Lists'!$E$19</definedName>
    <definedName name="AircraftNumbers">'Aircraft Database'!$A$4:$A$54</definedName>
    <definedName name="AircraftType">'Check Lists'!$E$64</definedName>
    <definedName name="AirportIdentifiers">'Airport Database'!$A$4:$A$32</definedName>
    <definedName name="AirportNames">'Airport Database'!$B$4:$B$32</definedName>
    <definedName name="ArmAirplane">'Check Lists'!$E$56</definedName>
    <definedName name="ArmBaggageArea1">'Check Lists'!$E$59</definedName>
    <definedName name="ArmBaggageArea2">'Check Lists'!$E$60</definedName>
    <definedName name="ArmFuel">'Check Lists'!$E$61</definedName>
    <definedName name="ArmPassengers">'Check Lists'!$E$58</definedName>
    <definedName name="ArmPilot">'Check Lists'!$E$57</definedName>
    <definedName name="BasicEmptyWeight">'Check Lists'!$E$54</definedName>
    <definedName name="BlankCell">'Check Lists'!$H$50</definedName>
    <definedName name="ClimbAirspeed">'Navigation Log'!$I$19</definedName>
    <definedName name="ClimbDistance">'Navigation Log'!$O$19</definedName>
    <definedName name="ClimbFuel">'Navigation Log'!$T$19</definedName>
    <definedName name="CopyrightIDString">Definitions!$C$6</definedName>
    <definedName name="CruiseAirspeed">'Navigation Log'!$I$21</definedName>
    <definedName name="CruiseAltitude">'Navigation Log'!$F$21</definedName>
    <definedName name="CruiseEnduranceMinutes">'Check Lists'!$K$53</definedName>
    <definedName name="CruiseFuelGPH">'Navigation Log'!$T$16</definedName>
    <definedName name="DatabasePath">Definitions!$C$7</definedName>
    <definedName name="DepartureAirportFSSFreq">'Navigation Log'!$X$35</definedName>
    <definedName name="DepartureAirportFSSName">'Navigation Log'!$X$34</definedName>
    <definedName name="DepartureAirportID">'Navigation Log'!$X$4</definedName>
    <definedName name="DepartureAirportName">'Navigation Log'!$X$6</definedName>
    <definedName name="DestinationAirportFSSFreq">'Navigation Log'!$Z$35</definedName>
    <definedName name="DestinationAirportFSSName">'Navigation Log'!$Z$34</definedName>
    <definedName name="DestinationAirportID">'Navigation Log'!$Z$4</definedName>
    <definedName name="DestinationAirportName">'Navigation Log'!$Z$6</definedName>
    <definedName name="DisclaimerText">Instructions!$B$3</definedName>
    <definedName name="EnrouteAirportFSSFreq">'Navigation Log'!$Y$35</definedName>
    <definedName name="EnrouteAirportFSSName">'Navigation Log'!$Y$34</definedName>
    <definedName name="EnrouteAirportID">'Navigation Log'!$Y$4</definedName>
    <definedName name="EnrouteAirportName">'Navigation Log'!$Y$6</definedName>
    <definedName name="FPEstTimeEnroute">'Check Lists'!$K$54</definedName>
    <definedName name="HomeCell" localSheetId="1">Installation!$B$1</definedName>
    <definedName name="HomeCell">Instructions!$A$1</definedName>
    <definedName name="IsDatabaseLoaded">'Check Lists'!#REF!</definedName>
    <definedName name="IsMacrosEnabled">Definitions!$C$10</definedName>
    <definedName name="IsNavLogFilled">Definitions!$C$8</definedName>
    <definedName name="IsPromptOnDBMerge">Definitions!$C$9</definedName>
    <definedName name="IsTemplateInstalled">Definitions!$C$3</definedName>
    <definedName name="LocatedAircraft">'Check Lists'!$E$53</definedName>
    <definedName name="MaxFuelCapacity">'Check Lists'!$E$62</definedName>
    <definedName name="MaxTakeOffWeight">'Check Lists'!$E$55</definedName>
    <definedName name="Note1Cell">Notes!$B$2</definedName>
    <definedName name="_xlnm.Print_Area" localSheetId="9">'Aircraft Database'!$A$1:$AE$92</definedName>
    <definedName name="_xlnm.Print_Area" localSheetId="8">'Airport Database'!$A$1:$AA$59</definedName>
    <definedName name="_xlnm.Print_Area" localSheetId="3">'Check Lists'!$A$1:$P$50</definedName>
    <definedName name="_xlnm.Print_Area" localSheetId="1">Installation!$B$1:$C$12</definedName>
    <definedName name="_xlnm.Print_Area" localSheetId="2">Instructions!$A$1:$B$20</definedName>
    <definedName name="_xlnm.Print_Area" localSheetId="5">'Navigation Log'!$B$2:$Z$41</definedName>
    <definedName name="_xlnm.Print_Area" localSheetId="6">'Navigation Log 2'!$B$2:$Z$41</definedName>
    <definedName name="_xlnm.Print_Area" localSheetId="7">Notes!$A$1:$F$27</definedName>
    <definedName name="_xlnm.Print_Area" localSheetId="4">'Weather-FP'!$A$1:$P$38</definedName>
    <definedName name="_xlnm.Print_Titles" localSheetId="9">'Aircraft Database'!$A:$B,'Aircraft Database'!$1:$4</definedName>
    <definedName name="_xlnm.Print_Titles" localSheetId="8">'Airport Database'!$A:$B,'Airport Database'!$1:$4</definedName>
    <definedName name="RefInstallationErrorRows">Installation!#REF!</definedName>
    <definedName name="RefInstallationNormalRows">Installation!$2:$1048576</definedName>
    <definedName name="RefInstructionsErrorRows">Instructions!#REF!</definedName>
    <definedName name="RefInstructionsNormalRows">Instructions!$2:$21</definedName>
    <definedName name="RefNavigationLog2CP1">'Navigation Log 2'!$B$18</definedName>
    <definedName name="RefNewDocumentSequence">Definitions!$C$4</definedName>
    <definedName name="RemainingFuel1">'Navigation Log'!$T$40</definedName>
    <definedName name="RemainingFuel2">'Navigation Log 2'!$T$40</definedName>
    <definedName name="TableAirportSelections">'Navigation Log'!$V$2</definedName>
    <definedName name="TableCGLimits">'Check Lists'!$B$46:$D$48</definedName>
    <definedName name="TableCheckPoints">'Navigation Log'!$B$18:$B$39</definedName>
    <definedName name="TableFuelUsed">'Navigation Log'!$T$19:$T$39</definedName>
    <definedName name="TableGroundSpeed">'Navigation Log'!$P$19:$P$38</definedName>
    <definedName name="TableNavLogNotes">'Navigation Log'!$B$7</definedName>
    <definedName name="TableVORData">'Navigation Log'!$C$18:$C$39</definedName>
    <definedName name="TableWeightAndBalance">'Check Lists'!$A$18</definedName>
    <definedName name="TakeOffUsableFuelWeight">'Check Lists'!$E$40</definedName>
    <definedName name="TimeOff">'Navigation Log'!$R$16</definedName>
    <definedName name="TotalDistance">'Navigation Log'!$O$18</definedName>
    <definedName name="TotalETE">'Navigation Log 2'!$R$39</definedName>
    <definedName name="TotalFuelConsumed">'Navigation Log'!$T$39</definedName>
    <definedName name="TripDescription">'Navigation Log'!$I$4</definedName>
    <definedName name="UnusableFuelGallons">'Check Lists'!$E$63</definedName>
    <definedName name="UsableFuelGallons">'Check Lists'!$D$40</definedName>
    <definedName name="VersionIDString">Definitions!$C$5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B20" i="7" l="1"/>
  <c r="C13" i="10"/>
  <c r="D47" i="4"/>
  <c r="C47" i="4"/>
  <c r="T38" i="11"/>
  <c r="T38" i="1"/>
  <c r="T34" i="1"/>
  <c r="C4" i="12" a="1"/>
  <c r="C10" i="12" a="1"/>
  <c r="C10" i="12" l="1"/>
  <c r="C4" i="12"/>
  <c r="C7" i="10" s="1"/>
  <c r="A50" i="4" l="1"/>
  <c r="I21" i="11"/>
  <c r="R19" i="11"/>
  <c r="L20" i="11"/>
  <c r="L22" i="11"/>
  <c r="AF21" i="11"/>
  <c r="AG21" i="11" s="1"/>
  <c r="K21" i="11"/>
  <c r="G21" i="11"/>
  <c r="AB21" i="11" s="1"/>
  <c r="H21" i="11"/>
  <c r="K22" i="11"/>
  <c r="P21" i="11"/>
  <c r="R21" i="11"/>
  <c r="R23" i="11"/>
  <c r="R25" i="11"/>
  <c r="R27" i="11"/>
  <c r="R29" i="11"/>
  <c r="R31" i="11"/>
  <c r="R33" i="11"/>
  <c r="R35" i="11"/>
  <c r="R37" i="11"/>
  <c r="R19" i="1"/>
  <c r="R21" i="1"/>
  <c r="R23" i="1"/>
  <c r="R25" i="1"/>
  <c r="R27" i="1"/>
  <c r="R29" i="1"/>
  <c r="R31" i="1"/>
  <c r="R33" i="1"/>
  <c r="R35" i="1"/>
  <c r="R37" i="1"/>
  <c r="K20" i="1"/>
  <c r="AF19" i="1"/>
  <c r="AG19" i="1" s="1"/>
  <c r="L20" i="1"/>
  <c r="K19" i="1"/>
  <c r="AC19" i="1" s="1"/>
  <c r="AE19" i="1" s="1"/>
  <c r="AB19" i="1"/>
  <c r="P19" i="1"/>
  <c r="T19" i="1"/>
  <c r="K53" i="4" s="1"/>
  <c r="E53" i="4"/>
  <c r="E62" i="4" s="1"/>
  <c r="E36" i="4"/>
  <c r="T20" i="1"/>
  <c r="AF21" i="1"/>
  <c r="AG21" i="1"/>
  <c r="K21" i="1"/>
  <c r="G21" i="1"/>
  <c r="AB21" i="1" s="1"/>
  <c r="H21" i="1"/>
  <c r="K22" i="1"/>
  <c r="P21" i="1"/>
  <c r="T21" i="1"/>
  <c r="T22" i="1"/>
  <c r="AF23" i="1"/>
  <c r="AG23" i="1" s="1"/>
  <c r="K23" i="1"/>
  <c r="G23" i="1"/>
  <c r="AB23" i="1" s="1"/>
  <c r="H23" i="1"/>
  <c r="K24" i="1"/>
  <c r="P23" i="1"/>
  <c r="T23" i="1"/>
  <c r="T24" i="1"/>
  <c r="AF25" i="1"/>
  <c r="AG25" i="1" s="1"/>
  <c r="K25" i="1"/>
  <c r="G25" i="1"/>
  <c r="AB25" i="1" s="1"/>
  <c r="H25" i="1"/>
  <c r="K26" i="1"/>
  <c r="P25" i="1"/>
  <c r="T25" i="1"/>
  <c r="T26" i="1"/>
  <c r="AF27" i="1"/>
  <c r="AG27" i="1" s="1"/>
  <c r="K27" i="1"/>
  <c r="G27" i="1"/>
  <c r="AB27" i="1" s="1"/>
  <c r="H27" i="1"/>
  <c r="K28" i="1"/>
  <c r="P27" i="1"/>
  <c r="T27" i="1"/>
  <c r="T28" i="1"/>
  <c r="AF29" i="1"/>
  <c r="AG29" i="1"/>
  <c r="K29" i="1"/>
  <c r="G29" i="1"/>
  <c r="AB29" i="1" s="1"/>
  <c r="H29" i="1"/>
  <c r="K30" i="1"/>
  <c r="P29" i="1"/>
  <c r="T29" i="1"/>
  <c r="T30" i="1"/>
  <c r="AF31" i="1"/>
  <c r="AG31" i="1" s="1"/>
  <c r="K31" i="1"/>
  <c r="G31" i="1"/>
  <c r="AB31" i="1" s="1"/>
  <c r="H31" i="1"/>
  <c r="K32" i="1"/>
  <c r="P31" i="1"/>
  <c r="T31" i="1"/>
  <c r="T32" i="1"/>
  <c r="AF33" i="1"/>
  <c r="AG33" i="1" s="1"/>
  <c r="K33" i="1"/>
  <c r="G33" i="1"/>
  <c r="AB33" i="1" s="1"/>
  <c r="H33" i="1"/>
  <c r="K34" i="1"/>
  <c r="P33" i="1"/>
  <c r="T33" i="1"/>
  <c r="AF35" i="1"/>
  <c r="AG35" i="1"/>
  <c r="K35" i="1"/>
  <c r="G35" i="1"/>
  <c r="AB35" i="1" s="1"/>
  <c r="H35" i="1"/>
  <c r="K36" i="1"/>
  <c r="P35" i="1"/>
  <c r="T35" i="1"/>
  <c r="T36" i="1"/>
  <c r="AF37" i="1"/>
  <c r="AG37" i="1" s="1"/>
  <c r="K37" i="1"/>
  <c r="G37" i="1"/>
  <c r="AB37" i="1" s="1"/>
  <c r="H37" i="1"/>
  <c r="K38" i="1"/>
  <c r="P37" i="1"/>
  <c r="T37" i="1"/>
  <c r="T37" i="11"/>
  <c r="S19" i="1"/>
  <c r="S21" i="1"/>
  <c r="I23" i="1"/>
  <c r="S23" i="1"/>
  <c r="I25" i="1"/>
  <c r="S25" i="1"/>
  <c r="I27" i="1"/>
  <c r="N28" i="1" s="1"/>
  <c r="S27" i="1"/>
  <c r="I29" i="1"/>
  <c r="S29" i="1"/>
  <c r="I31" i="1"/>
  <c r="N32" i="1" s="1"/>
  <c r="S31" i="1"/>
  <c r="I33" i="1"/>
  <c r="N34" i="1" s="1"/>
  <c r="S33" i="1"/>
  <c r="I35" i="1"/>
  <c r="N36" i="1" s="1"/>
  <c r="S35" i="1"/>
  <c r="I37" i="1"/>
  <c r="S37" i="1"/>
  <c r="O18" i="1"/>
  <c r="O20" i="1" s="1"/>
  <c r="O38" i="11"/>
  <c r="O24" i="1"/>
  <c r="O26" i="1"/>
  <c r="O34" i="1"/>
  <c r="O20" i="11"/>
  <c r="O39" i="1"/>
  <c r="O36" i="11"/>
  <c r="O34" i="11"/>
  <c r="O28" i="11"/>
  <c r="O22" i="11"/>
  <c r="AF19" i="11"/>
  <c r="AG19" i="11"/>
  <c r="K19" i="11"/>
  <c r="AB19" i="11"/>
  <c r="K20" i="11"/>
  <c r="P19" i="11"/>
  <c r="T19" i="11"/>
  <c r="T20" i="11"/>
  <c r="T16" i="11"/>
  <c r="Z40" i="11"/>
  <c r="Y40" i="11"/>
  <c r="X40" i="11"/>
  <c r="Z39" i="11"/>
  <c r="Y39" i="11"/>
  <c r="X39" i="11"/>
  <c r="Z16" i="11"/>
  <c r="Y16" i="11"/>
  <c r="X16" i="11"/>
  <c r="Z15" i="11"/>
  <c r="Y15" i="11"/>
  <c r="X15" i="11"/>
  <c r="Z13" i="11"/>
  <c r="Y13" i="11"/>
  <c r="X13" i="11"/>
  <c r="Z11" i="11"/>
  <c r="Y11" i="11"/>
  <c r="X11" i="11"/>
  <c r="Z9" i="11"/>
  <c r="Y9" i="11"/>
  <c r="X9" i="11"/>
  <c r="Z4" i="11"/>
  <c r="Y4" i="11"/>
  <c r="X4" i="11"/>
  <c r="C3" i="1"/>
  <c r="C3" i="11" s="1"/>
  <c r="T21" i="11"/>
  <c r="T22" i="11"/>
  <c r="I23" i="11"/>
  <c r="N24" i="11" s="1"/>
  <c r="H23" i="11"/>
  <c r="AF23" i="11"/>
  <c r="AG23" i="11" s="1"/>
  <c r="K23" i="11"/>
  <c r="G23" i="11"/>
  <c r="AB23" i="11" s="1"/>
  <c r="K24" i="11"/>
  <c r="P23" i="11"/>
  <c r="T23" i="11"/>
  <c r="T24" i="11"/>
  <c r="I25" i="11"/>
  <c r="H25" i="11"/>
  <c r="AF25" i="11"/>
  <c r="AG25" i="11" s="1"/>
  <c r="K25" i="11"/>
  <c r="AC25" i="11" s="1"/>
  <c r="G25" i="11"/>
  <c r="AB25" i="11" s="1"/>
  <c r="K26" i="11"/>
  <c r="P25" i="11"/>
  <c r="T25" i="11"/>
  <c r="T26" i="11"/>
  <c r="T28" i="11"/>
  <c r="T30" i="11"/>
  <c r="T32" i="11"/>
  <c r="T34" i="11"/>
  <c r="T36" i="11"/>
  <c r="T27" i="11"/>
  <c r="T29" i="11"/>
  <c r="T31" i="11"/>
  <c r="T33" i="11"/>
  <c r="T35" i="11"/>
  <c r="C20" i="11"/>
  <c r="Z38" i="11"/>
  <c r="Y38" i="11"/>
  <c r="I37" i="11"/>
  <c r="N38" i="11" s="1"/>
  <c r="M38" i="11"/>
  <c r="N37" i="11" s="1"/>
  <c r="L38" i="11"/>
  <c r="K38" i="11"/>
  <c r="G38" i="11"/>
  <c r="M37" i="11"/>
  <c r="AH37" i="11" s="1"/>
  <c r="AI37" i="11" s="1"/>
  <c r="AF37" i="11"/>
  <c r="AG37" i="11" s="1"/>
  <c r="H37" i="11"/>
  <c r="K37" i="11"/>
  <c r="G37" i="11"/>
  <c r="AB37" i="11" s="1"/>
  <c r="Z37" i="11"/>
  <c r="Y37" i="11"/>
  <c r="P37" i="11"/>
  <c r="L37" i="11"/>
  <c r="F37" i="11"/>
  <c r="I35" i="11"/>
  <c r="N36" i="11" s="1"/>
  <c r="M36" i="11"/>
  <c r="N35" i="11" s="1"/>
  <c r="L36" i="11"/>
  <c r="K36" i="11"/>
  <c r="G36" i="11"/>
  <c r="M35" i="11"/>
  <c r="AH35" i="11" s="1"/>
  <c r="AI35" i="11" s="1"/>
  <c r="AF35" i="11"/>
  <c r="AG35" i="11" s="1"/>
  <c r="H35" i="11"/>
  <c r="K35" i="11"/>
  <c r="G35" i="11"/>
  <c r="AB35" i="11" s="1"/>
  <c r="Z35" i="11"/>
  <c r="Y35" i="11"/>
  <c r="P35" i="11"/>
  <c r="L35" i="11"/>
  <c r="F35" i="11"/>
  <c r="Z34" i="11"/>
  <c r="Y34" i="11"/>
  <c r="I33" i="11"/>
  <c r="N34" i="11" s="1"/>
  <c r="M34" i="11"/>
  <c r="N33" i="11" s="1"/>
  <c r="L34" i="11"/>
  <c r="K34" i="11"/>
  <c r="G34" i="11"/>
  <c r="M33" i="11"/>
  <c r="AH33" i="11" s="1"/>
  <c r="AI33" i="11" s="1"/>
  <c r="AF33" i="11"/>
  <c r="AG33" i="11" s="1"/>
  <c r="H33" i="11"/>
  <c r="K33" i="11"/>
  <c r="G33" i="11"/>
  <c r="AB33" i="11" s="1"/>
  <c r="Z33" i="11"/>
  <c r="Y33" i="11"/>
  <c r="P33" i="11"/>
  <c r="L33" i="11"/>
  <c r="F33" i="11"/>
  <c r="Z32" i="11"/>
  <c r="Y32" i="11"/>
  <c r="I31" i="11"/>
  <c r="N32" i="11" s="1"/>
  <c r="M32" i="11"/>
  <c r="N31" i="11" s="1"/>
  <c r="L32" i="11"/>
  <c r="K32" i="11"/>
  <c r="G32" i="11"/>
  <c r="M31" i="11"/>
  <c r="AH31" i="11" s="1"/>
  <c r="AI31" i="11" s="1"/>
  <c r="AF31" i="11"/>
  <c r="AG31" i="11" s="1"/>
  <c r="H31" i="11"/>
  <c r="K31" i="11"/>
  <c r="G31" i="11"/>
  <c r="AB31" i="11" s="1"/>
  <c r="Z31" i="11"/>
  <c r="Y31" i="11"/>
  <c r="P31" i="11"/>
  <c r="L31" i="11"/>
  <c r="F31" i="11"/>
  <c r="Z30" i="11"/>
  <c r="Y30" i="11"/>
  <c r="I29" i="11"/>
  <c r="N30" i="11" s="1"/>
  <c r="M30" i="11"/>
  <c r="N29" i="11" s="1"/>
  <c r="L30" i="11"/>
  <c r="K30" i="11"/>
  <c r="G30" i="11"/>
  <c r="M29" i="11"/>
  <c r="AH29" i="11" s="1"/>
  <c r="AI29" i="11" s="1"/>
  <c r="AF29" i="11"/>
  <c r="AG29" i="11" s="1"/>
  <c r="H29" i="11"/>
  <c r="K29" i="11"/>
  <c r="G29" i="11"/>
  <c r="AB29" i="11" s="1"/>
  <c r="Z29" i="11"/>
  <c r="Y29" i="11"/>
  <c r="P29" i="11"/>
  <c r="L29" i="11"/>
  <c r="F29" i="11"/>
  <c r="Z28" i="11"/>
  <c r="Y28" i="11"/>
  <c r="I27" i="11"/>
  <c r="N28" i="11" s="1"/>
  <c r="M28" i="11"/>
  <c r="N27" i="11" s="1"/>
  <c r="L28" i="11"/>
  <c r="K28" i="11"/>
  <c r="G28" i="11"/>
  <c r="M27" i="11"/>
  <c r="AH27" i="11" s="1"/>
  <c r="AI27" i="11" s="1"/>
  <c r="AF27" i="11"/>
  <c r="AG27" i="11" s="1"/>
  <c r="H27" i="11"/>
  <c r="K27" i="11"/>
  <c r="G27" i="11"/>
  <c r="AB27" i="11" s="1"/>
  <c r="Z27" i="11"/>
  <c r="Y27" i="11"/>
  <c r="P27" i="11"/>
  <c r="L27" i="11"/>
  <c r="F27" i="11"/>
  <c r="Z26" i="11"/>
  <c r="Y26" i="11"/>
  <c r="N26" i="11"/>
  <c r="L25" i="11"/>
  <c r="L24" i="11"/>
  <c r="L26" i="11"/>
  <c r="M25" i="11"/>
  <c r="AH25" i="11" s="1"/>
  <c r="AI25" i="11" s="1"/>
  <c r="M26" i="11"/>
  <c r="N25" i="11" s="1"/>
  <c r="G20" i="11"/>
  <c r="G22" i="11"/>
  <c r="G24" i="11"/>
  <c r="G26" i="11"/>
  <c r="Z25" i="11"/>
  <c r="Y25" i="11"/>
  <c r="F21" i="11"/>
  <c r="F23" i="11"/>
  <c r="F25" i="11"/>
  <c r="Z24" i="11"/>
  <c r="Y24" i="11"/>
  <c r="L23" i="11"/>
  <c r="M23" i="11"/>
  <c r="AH23" i="11" s="1"/>
  <c r="AI23" i="11" s="1"/>
  <c r="M24" i="11"/>
  <c r="N23" i="11" s="1"/>
  <c r="Z23" i="11"/>
  <c r="Y23" i="11"/>
  <c r="Z22" i="11"/>
  <c r="Y22" i="11"/>
  <c r="N22" i="11"/>
  <c r="L21" i="11"/>
  <c r="M21" i="11"/>
  <c r="AH21" i="11" s="1"/>
  <c r="AI21" i="11" s="1"/>
  <c r="M22" i="11"/>
  <c r="N21" i="11" s="1"/>
  <c r="Z21" i="11"/>
  <c r="Y21" i="11"/>
  <c r="C21" i="11"/>
  <c r="Z20" i="11"/>
  <c r="Y20" i="11"/>
  <c r="N20" i="11"/>
  <c r="L19" i="11"/>
  <c r="M19" i="11"/>
  <c r="AH19" i="11" s="1"/>
  <c r="AI19" i="11" s="1"/>
  <c r="M20" i="11"/>
  <c r="N19" i="11" s="1"/>
  <c r="Z19" i="11"/>
  <c r="Y19" i="11"/>
  <c r="Z18" i="11"/>
  <c r="Y18" i="11"/>
  <c r="Z6" i="11"/>
  <c r="Y6" i="11"/>
  <c r="L22" i="1"/>
  <c r="L19" i="1"/>
  <c r="M19" i="1"/>
  <c r="AH19" i="1"/>
  <c r="AI19" i="1" s="1"/>
  <c r="AJ19" i="1"/>
  <c r="AK19" i="1" s="1"/>
  <c r="M20" i="1"/>
  <c r="N19" i="1" s="1"/>
  <c r="F23" i="1"/>
  <c r="L24" i="1"/>
  <c r="L23" i="1"/>
  <c r="M23" i="1"/>
  <c r="AH23" i="1" s="1"/>
  <c r="AI23" i="1" s="1"/>
  <c r="M24" i="1"/>
  <c r="N23" i="1" s="1"/>
  <c r="G20" i="1"/>
  <c r="G22" i="1"/>
  <c r="G24" i="1"/>
  <c r="N24" i="1"/>
  <c r="F25" i="1"/>
  <c r="L26" i="1"/>
  <c r="L25" i="1"/>
  <c r="M25" i="1"/>
  <c r="AH25" i="1" s="1"/>
  <c r="AI25" i="1" s="1"/>
  <c r="M26" i="1"/>
  <c r="N25" i="1" s="1"/>
  <c r="G26" i="1"/>
  <c r="N26" i="1"/>
  <c r="F27" i="1"/>
  <c r="G28" i="1"/>
  <c r="F29" i="1"/>
  <c r="G30" i="1"/>
  <c r="F31" i="1"/>
  <c r="G32" i="1"/>
  <c r="F33" i="1"/>
  <c r="G34" i="1"/>
  <c r="F35" i="1"/>
  <c r="G36" i="1"/>
  <c r="F37" i="1"/>
  <c r="G38" i="1"/>
  <c r="A1" i="4"/>
  <c r="A44" i="4"/>
  <c r="C48" i="4"/>
  <c r="C3" i="10"/>
  <c r="X6" i="1"/>
  <c r="B18" i="1" s="1"/>
  <c r="Y6" i="1"/>
  <c r="Z6" i="1"/>
  <c r="X18" i="1"/>
  <c r="Y18" i="1"/>
  <c r="Z18" i="1"/>
  <c r="X19" i="1"/>
  <c r="Y19" i="1"/>
  <c r="Z19" i="1"/>
  <c r="C20" i="1"/>
  <c r="C22" i="1" s="1"/>
  <c r="C25" i="1" s="1"/>
  <c r="N20" i="1"/>
  <c r="X20" i="1"/>
  <c r="Y20" i="1"/>
  <c r="Z20" i="1"/>
  <c r="C21" i="1"/>
  <c r="F21" i="1"/>
  <c r="I15" i="3" s="1"/>
  <c r="N22" i="1"/>
  <c r="L21" i="1"/>
  <c r="M21" i="1"/>
  <c r="AH21" i="1" s="1"/>
  <c r="AI21" i="1" s="1"/>
  <c r="X21" i="1"/>
  <c r="Y21" i="1"/>
  <c r="Z21" i="1"/>
  <c r="M22" i="1"/>
  <c r="N21" i="1" s="1"/>
  <c r="L28" i="1"/>
  <c r="L30" i="1"/>
  <c r="L32" i="1"/>
  <c r="L38" i="1"/>
  <c r="X22" i="1"/>
  <c r="Y22" i="1"/>
  <c r="Z22" i="1"/>
  <c r="X23" i="1"/>
  <c r="Y23" i="1"/>
  <c r="Z23" i="1"/>
  <c r="X24" i="1"/>
  <c r="Y24" i="1"/>
  <c r="Z24" i="1"/>
  <c r="X25" i="1"/>
  <c r="Y25" i="1"/>
  <c r="Z25" i="1"/>
  <c r="X26" i="1"/>
  <c r="Y26" i="1"/>
  <c r="Z26" i="1"/>
  <c r="L27" i="1"/>
  <c r="M27" i="1"/>
  <c r="AH27" i="1" s="1"/>
  <c r="AI27" i="1" s="1"/>
  <c r="X27" i="1"/>
  <c r="Y27" i="1"/>
  <c r="Z27" i="1"/>
  <c r="M28" i="1"/>
  <c r="N27" i="1" s="1"/>
  <c r="X28" i="1"/>
  <c r="Y28" i="1"/>
  <c r="Z28" i="1"/>
  <c r="N30" i="1"/>
  <c r="L29" i="1"/>
  <c r="M29" i="1"/>
  <c r="AH29" i="1" s="1"/>
  <c r="AI29" i="1" s="1"/>
  <c r="X29" i="1"/>
  <c r="Y29" i="1"/>
  <c r="Z29" i="1"/>
  <c r="M30" i="1"/>
  <c r="N29" i="1" s="1"/>
  <c r="X30" i="1"/>
  <c r="Y30" i="1"/>
  <c r="Z30" i="1"/>
  <c r="L31" i="1"/>
  <c r="M31" i="1"/>
  <c r="AH31" i="1" s="1"/>
  <c r="AI31" i="1" s="1"/>
  <c r="X31" i="1"/>
  <c r="Y31" i="1"/>
  <c r="Z31" i="1"/>
  <c r="M32" i="1"/>
  <c r="N31" i="1" s="1"/>
  <c r="X32" i="1"/>
  <c r="Y32" i="1"/>
  <c r="Z32" i="1"/>
  <c r="L34" i="1"/>
  <c r="L33" i="1"/>
  <c r="M33" i="1"/>
  <c r="AH33" i="1" s="1"/>
  <c r="AI33" i="1" s="1"/>
  <c r="X33" i="1"/>
  <c r="Y33" i="1"/>
  <c r="Z33" i="1"/>
  <c r="M34" i="1"/>
  <c r="N33" i="1" s="1"/>
  <c r="X34" i="1"/>
  <c r="Y34" i="1"/>
  <c r="Z34" i="1"/>
  <c r="G32" i="3" s="1"/>
  <c r="Z35" i="1"/>
  <c r="L36" i="1"/>
  <c r="L35" i="1"/>
  <c r="M35" i="1"/>
  <c r="AH35" i="1" s="1"/>
  <c r="AI35" i="1" s="1"/>
  <c r="X35" i="1"/>
  <c r="Y35" i="1"/>
  <c r="M36" i="1"/>
  <c r="N35" i="1" s="1"/>
  <c r="N38" i="1"/>
  <c r="L37" i="1"/>
  <c r="M37" i="1"/>
  <c r="AH37" i="1" s="1"/>
  <c r="AI37" i="1" s="1"/>
  <c r="X37" i="1"/>
  <c r="Y37" i="1"/>
  <c r="Z37" i="1"/>
  <c r="M38" i="1"/>
  <c r="N37" i="1" s="1"/>
  <c r="X38" i="1"/>
  <c r="Y38" i="1"/>
  <c r="Z38" i="1"/>
  <c r="A1" i="6"/>
  <c r="A3" i="6"/>
  <c r="A4" i="6" s="1"/>
  <c r="A5" i="6" s="1"/>
  <c r="A6" i="6" s="1"/>
  <c r="A7" i="6" s="1"/>
  <c r="A8" i="6" s="1"/>
  <c r="A9" i="6" s="1"/>
  <c r="A10" i="6" s="1"/>
  <c r="A11" i="6" s="1"/>
  <c r="A12" i="6" s="1"/>
  <c r="A13" i="6" s="1"/>
  <c r="A14" i="6" s="1"/>
  <c r="A15" i="6" s="1"/>
  <c r="A16" i="6" s="1"/>
  <c r="A17" i="6" s="1"/>
  <c r="A18" i="6" s="1"/>
  <c r="A19" i="6" s="1"/>
  <c r="A20" i="6" s="1"/>
  <c r="A21" i="6" s="1"/>
  <c r="A22" i="6" s="1"/>
  <c r="A23" i="6" s="1"/>
  <c r="A24" i="6" s="1"/>
  <c r="A25" i="6" s="1"/>
  <c r="A26" i="6" s="1"/>
  <c r="D2" i="6" s="1"/>
  <c r="D3" i="6" s="1"/>
  <c r="D4" i="6" s="1"/>
  <c r="D5" i="6" s="1"/>
  <c r="D6" i="6" s="1"/>
  <c r="D7" i="6" s="1"/>
  <c r="D8" i="6" s="1"/>
  <c r="D9" i="6" s="1"/>
  <c r="D10" i="6" s="1"/>
  <c r="D11" i="6" s="1"/>
  <c r="D12" i="6" s="1"/>
  <c r="D13" i="6" s="1"/>
  <c r="D14" i="6" s="1"/>
  <c r="D15" i="6" s="1"/>
  <c r="D16" i="6" s="1"/>
  <c r="D17" i="6" s="1"/>
  <c r="D18" i="6" s="1"/>
  <c r="D19" i="6" s="1"/>
  <c r="D20" i="6" s="1"/>
  <c r="D21" i="6" s="1"/>
  <c r="D22" i="6" s="1"/>
  <c r="D23" i="6" s="1"/>
  <c r="D24" i="6" s="1"/>
  <c r="D25" i="6" s="1"/>
  <c r="D26" i="6" s="1"/>
  <c r="A1" i="3"/>
  <c r="K5" i="3"/>
  <c r="K6" i="3"/>
  <c r="A12" i="3"/>
  <c r="C15" i="3"/>
  <c r="F15" i="3"/>
  <c r="A18" i="3"/>
  <c r="A22" i="3"/>
  <c r="D48" i="4"/>
  <c r="D46" i="4"/>
  <c r="C46" i="4"/>
  <c r="E15" i="3"/>
  <c r="X6" i="11"/>
  <c r="X18" i="11"/>
  <c r="X19" i="11"/>
  <c r="X20" i="11"/>
  <c r="X21" i="11"/>
  <c r="X22" i="11"/>
  <c r="X23" i="11"/>
  <c r="X24" i="11"/>
  <c r="X25" i="11"/>
  <c r="X26" i="11"/>
  <c r="X27" i="11"/>
  <c r="X28" i="11"/>
  <c r="X29" i="11"/>
  <c r="X30" i="11"/>
  <c r="X31" i="11"/>
  <c r="X32" i="11"/>
  <c r="X33" i="11"/>
  <c r="X34" i="11"/>
  <c r="X35" i="11"/>
  <c r="X37" i="11"/>
  <c r="X38" i="11"/>
  <c r="AJ29" i="1" l="1"/>
  <c r="AK29" i="1" s="1"/>
  <c r="O32" i="1"/>
  <c r="AJ37" i="1"/>
  <c r="AK37" i="1" s="1"/>
  <c r="E66" i="4"/>
  <c r="A30" i="3" s="1"/>
  <c r="AJ35" i="1"/>
  <c r="AK35" i="1" s="1"/>
  <c r="B5" i="11"/>
  <c r="D32" i="3"/>
  <c r="B6" i="11"/>
  <c r="B6" i="1"/>
  <c r="B5" i="1"/>
  <c r="AJ37" i="11"/>
  <c r="AK37" i="11" s="1"/>
  <c r="AC19" i="11"/>
  <c r="AE19" i="11" s="1"/>
  <c r="R39" i="1"/>
  <c r="R39" i="11" s="1"/>
  <c r="K54" i="4" s="1"/>
  <c r="F23" i="3" s="1"/>
  <c r="AC21" i="11"/>
  <c r="AE21" i="11" s="1"/>
  <c r="O26" i="11"/>
  <c r="O30" i="11"/>
  <c r="O18" i="11"/>
  <c r="O38" i="1"/>
  <c r="O30" i="1"/>
  <c r="O22" i="1"/>
  <c r="O24" i="11"/>
  <c r="O32" i="11"/>
  <c r="O39" i="11"/>
  <c r="O36" i="1"/>
  <c r="O28" i="1"/>
  <c r="C23" i="1"/>
  <c r="T40" i="1"/>
  <c r="R16" i="11"/>
  <c r="S37" i="11" s="1"/>
  <c r="T39" i="1"/>
  <c r="AC29" i="1"/>
  <c r="AD29" i="1" s="1"/>
  <c r="C27" i="3"/>
  <c r="A27" i="3"/>
  <c r="C24" i="1"/>
  <c r="C26" i="1" s="1"/>
  <c r="C28" i="1" s="1"/>
  <c r="C31" i="1" s="1"/>
  <c r="AC35" i="11"/>
  <c r="AE35" i="11" s="1"/>
  <c r="T39" i="11"/>
  <c r="AC31" i="1"/>
  <c r="AD31" i="1" s="1"/>
  <c r="E64" i="4"/>
  <c r="D15" i="3" s="1"/>
  <c r="AJ21" i="1"/>
  <c r="AK21" i="1" s="1"/>
  <c r="AC29" i="11"/>
  <c r="AD29" i="11" s="1"/>
  <c r="AC23" i="11"/>
  <c r="AD23" i="11" s="1"/>
  <c r="AC35" i="1"/>
  <c r="AE35" i="1" s="1"/>
  <c r="AC33" i="1"/>
  <c r="AD33" i="1" s="1"/>
  <c r="AC27" i="11"/>
  <c r="AE27" i="11" s="1"/>
  <c r="AC31" i="11"/>
  <c r="AE31" i="11" s="1"/>
  <c r="S33" i="11"/>
  <c r="AC37" i="1"/>
  <c r="AD37" i="1" s="1"/>
  <c r="AC23" i="1"/>
  <c r="AD23" i="1" s="1"/>
  <c r="AC21" i="1"/>
  <c r="AD21" i="1" s="1"/>
  <c r="AC33" i="11"/>
  <c r="AD33" i="11" s="1"/>
  <c r="AC37" i="11"/>
  <c r="AD37" i="11" s="1"/>
  <c r="AC27" i="1"/>
  <c r="AD27" i="1" s="1"/>
  <c r="AC25" i="1"/>
  <c r="AD25" i="1" s="1"/>
  <c r="T40" i="11"/>
  <c r="AE31" i="1"/>
  <c r="C22" i="11"/>
  <c r="C23" i="11"/>
  <c r="AD21" i="11"/>
  <c r="C29" i="1"/>
  <c r="AD25" i="11"/>
  <c r="AE25" i="11"/>
  <c r="E63" i="4"/>
  <c r="E61" i="4"/>
  <c r="F36" i="4" s="1"/>
  <c r="E60" i="4"/>
  <c r="F30" i="4" s="1"/>
  <c r="E58" i="4"/>
  <c r="F26" i="4" s="1"/>
  <c r="E56" i="4"/>
  <c r="AJ27" i="1"/>
  <c r="AK27" i="1" s="1"/>
  <c r="AJ23" i="1"/>
  <c r="AK23" i="1" s="1"/>
  <c r="AJ21" i="11"/>
  <c r="AK21" i="11" s="1"/>
  <c r="AJ29" i="11"/>
  <c r="AK29" i="11" s="1"/>
  <c r="AJ33" i="11"/>
  <c r="AK33" i="11" s="1"/>
  <c r="E55" i="4"/>
  <c r="E34" i="4" s="1"/>
  <c r="E54" i="4"/>
  <c r="E22" i="4" s="1"/>
  <c r="E59" i="4"/>
  <c r="F28" i="4" s="1"/>
  <c r="E57" i="4"/>
  <c r="F24" i="4" s="1"/>
  <c r="AJ33" i="1"/>
  <c r="AK33" i="1" s="1"/>
  <c r="AJ31" i="1"/>
  <c r="AK31" i="1" s="1"/>
  <c r="E65" i="4"/>
  <c r="AJ25" i="1"/>
  <c r="AK25" i="1" s="1"/>
  <c r="AD19" i="1"/>
  <c r="AJ19" i="11"/>
  <c r="AK19" i="11" s="1"/>
  <c r="AJ23" i="11"/>
  <c r="AK23" i="11" s="1"/>
  <c r="AJ25" i="11"/>
  <c r="AK25" i="11" s="1"/>
  <c r="AJ27" i="11"/>
  <c r="AK27" i="11" s="1"/>
  <c r="AJ31" i="11"/>
  <c r="AK31" i="11" s="1"/>
  <c r="AJ35" i="11"/>
  <c r="AK35" i="11" s="1"/>
  <c r="A38" i="3"/>
  <c r="B41" i="1"/>
  <c r="B41" i="11"/>
  <c r="S19" i="11" l="1"/>
  <c r="E23" i="3"/>
  <c r="AE23" i="1"/>
  <c r="AE37" i="1"/>
  <c r="AD19" i="11"/>
  <c r="S27" i="11"/>
  <c r="S25" i="11"/>
  <c r="S29" i="11"/>
  <c r="S35" i="11"/>
  <c r="S23" i="11"/>
  <c r="S31" i="11"/>
  <c r="S21" i="11"/>
  <c r="AE29" i="1"/>
  <c r="AD27" i="11"/>
  <c r="AD35" i="1"/>
  <c r="C27" i="1"/>
  <c r="AE27" i="1"/>
  <c r="AE33" i="11"/>
  <c r="C30" i="1"/>
  <c r="C32" i="1" s="1"/>
  <c r="AE29" i="11"/>
  <c r="AE23" i="11"/>
  <c r="AE25" i="1"/>
  <c r="AE21" i="1"/>
  <c r="AE33" i="1"/>
  <c r="AD31" i="11"/>
  <c r="AE37" i="11"/>
  <c r="AD35" i="11"/>
  <c r="E32" i="4"/>
  <c r="E38" i="4" s="1"/>
  <c r="D38" i="4" s="1"/>
  <c r="D40" i="4" s="1"/>
  <c r="F22" i="4"/>
  <c r="F32" i="4" s="1"/>
  <c r="C25" i="11"/>
  <c r="C24" i="11"/>
  <c r="D39" i="11" l="1"/>
  <c r="D39" i="1"/>
  <c r="C33" i="1"/>
  <c r="E40" i="4"/>
  <c r="F40" i="4" s="1"/>
  <c r="F42" i="4" s="1"/>
  <c r="E47" i="4"/>
  <c r="C34" i="1"/>
  <c r="C35" i="1"/>
  <c r="C26" i="11"/>
  <c r="C27" i="11"/>
  <c r="E42" i="4" l="1"/>
  <c r="A42" i="4" s="1"/>
  <c r="C29" i="11"/>
  <c r="C28" i="11"/>
  <c r="C37" i="1"/>
  <c r="C36" i="1"/>
  <c r="C30" i="11" l="1"/>
  <c r="C31" i="11"/>
  <c r="C39" i="1"/>
  <c r="C38" i="1"/>
  <c r="C33" i="11" l="1"/>
  <c r="C32" i="11"/>
  <c r="C34" i="11" l="1"/>
  <c r="C35" i="11"/>
  <c r="C37" i="11" l="1"/>
  <c r="C36" i="11"/>
  <c r="C39" i="11" l="1"/>
  <c r="C38" i="1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<sst xmlns="http://schemas.openxmlformats.org/spreadsheetml/2006/main" count="495" uniqueCount="341">
  <si>
    <t>Navigation Log</t>
  </si>
  <si>
    <t>Notes</t>
  </si>
  <si>
    <t>VOR</t>
  </si>
  <si>
    <t>Ident</t>
  </si>
  <si>
    <t>Freq</t>
  </si>
  <si>
    <t>Altitude</t>
  </si>
  <si>
    <t>Wind</t>
  </si>
  <si>
    <t>Dir.</t>
  </si>
  <si>
    <t>Vel</t>
  </si>
  <si>
    <t>Temp</t>
  </si>
  <si>
    <t>TAS</t>
  </si>
  <si>
    <t>TC</t>
  </si>
  <si>
    <t>-L
+R
WCA</t>
  </si>
  <si>
    <t>TH</t>
  </si>
  <si>
    <t>MH</t>
  </si>
  <si>
    <t>CH</t>
  </si>
  <si>
    <t>Dist</t>
  </si>
  <si>
    <t>GS</t>
  </si>
  <si>
    <t>Time Off</t>
  </si>
  <si>
    <t>ETE</t>
  </si>
  <si>
    <t>ETA</t>
  </si>
  <si>
    <t>GPH</t>
  </si>
  <si>
    <t>Flight Plan and Weather Log on Reverse Side</t>
  </si>
  <si>
    <t>Course
(route)</t>
  </si>
  <si>
    <t>-E
+W
Var</t>
  </si>
  <si>
    <t>+ / --
Dev</t>
  </si>
  <si>
    <t>Leg</t>
  </si>
  <si>
    <t>Rem.</t>
  </si>
  <si>
    <t>Est.</t>
  </si>
  <si>
    <t>Act.</t>
  </si>
  <si>
    <t>ATE</t>
  </si>
  <si>
    <t>ATA</t>
  </si>
  <si>
    <t>Fuel</t>
  </si>
  <si>
    <t>Departure</t>
  </si>
  <si>
    <t>Destination</t>
  </si>
  <si>
    <t>ATIS Code</t>
  </si>
  <si>
    <t>Ceiling &amp; Visibility</t>
  </si>
  <si>
    <t>Altimeter</t>
  </si>
  <si>
    <t>Ground</t>
  </si>
  <si>
    <t>Tower</t>
  </si>
  <si>
    <t>CTAF</t>
  </si>
  <si>
    <t>UNICOM</t>
  </si>
  <si>
    <t>Check Points
(fixes)</t>
  </si>
  <si>
    <t>VFR</t>
  </si>
  <si>
    <t>IFR</t>
  </si>
  <si>
    <t>DVFR</t>
  </si>
  <si>
    <t>Position Report</t>
  </si>
  <si>
    <t>Position</t>
  </si>
  <si>
    <t>Time</t>
  </si>
  <si>
    <t>Alt.</t>
  </si>
  <si>
    <t>2. Aircraft Identification</t>
  </si>
  <si>
    <t>3. Aircraft Type / Special Equipment</t>
  </si>
  <si>
    <t>4. True Airspeed</t>
  </si>
  <si>
    <t>5. Departure Point</t>
  </si>
  <si>
    <t>6. Departure Time</t>
  </si>
  <si>
    <t>Proposed (Z)</t>
  </si>
  <si>
    <t>Actual (Z)</t>
  </si>
  <si>
    <t>7. Crusing Altitude</t>
  </si>
  <si>
    <t>Knots</t>
  </si>
  <si>
    <t>8. Route of flight</t>
  </si>
  <si>
    <t>9. Destination (Name or airport and city)</t>
  </si>
  <si>
    <t>10. Est. Time Enroute</t>
  </si>
  <si>
    <t>Hours</t>
  </si>
  <si>
    <t>Minutes</t>
  </si>
  <si>
    <t>11. Remarks</t>
  </si>
  <si>
    <t>13. Alternate Airports</t>
  </si>
  <si>
    <t>14. Pilots name, address, tel no &amp; aircraft home base</t>
  </si>
  <si>
    <t>15. Number aboard</t>
  </si>
  <si>
    <t>16. Color of aircraft</t>
  </si>
  <si>
    <t>17. Destination contact / telephone (optional)</t>
  </si>
  <si>
    <t>Report Conditions Aloft - Cloud Tops, Bases, Layers, Visibility, Turbulance, Haze, Ice, Thunderstorms</t>
  </si>
  <si>
    <t>Acft. Ident</t>
  </si>
  <si>
    <t>Est. Next Fix</t>
  </si>
  <si>
    <t>Name Following Fix</t>
  </si>
  <si>
    <t>Documents (AROW)</t>
  </si>
  <si>
    <t>MAPS</t>
  </si>
  <si>
    <t>Flashlights</t>
  </si>
  <si>
    <t>Flight Plan</t>
  </si>
  <si>
    <t>Notepad &amp; Pencil</t>
  </si>
  <si>
    <t>E6B</t>
  </si>
  <si>
    <t>Plotter</t>
  </si>
  <si>
    <t>Sunglasses</t>
  </si>
  <si>
    <t>Knee-board</t>
  </si>
  <si>
    <t>Oxygen</t>
  </si>
  <si>
    <t>A/FD</t>
  </si>
  <si>
    <t>Controlled airspace? Note freq &amp; W/P</t>
  </si>
  <si>
    <t>Hazards enroute &amp; highest points</t>
  </si>
  <si>
    <t>Note emergency landing areas</t>
  </si>
  <si>
    <t>Select radio navigation W/P (with freq)</t>
  </si>
  <si>
    <t>Weight and Balance</t>
  </si>
  <si>
    <t>Weight</t>
  </si>
  <si>
    <t>Baggage Area 2</t>
  </si>
  <si>
    <t>Baggage Area 1</t>
  </si>
  <si>
    <t>Pilot &amp; Passenger</t>
  </si>
  <si>
    <t>Basic Empty Weight</t>
  </si>
  <si>
    <t>Maximum Takeoff Weight</t>
  </si>
  <si>
    <t>Select RPM, KTAS &amp; GPH from Cruise Performance Chart</t>
  </si>
  <si>
    <t>Enter TAS in NavLog legs</t>
  </si>
  <si>
    <t>Get a weather brief (1-800-WX-BRIEF or DUATS)</t>
  </si>
  <si>
    <t>File Flight Plan</t>
  </si>
  <si>
    <t>Nav &amp; WX Logs</t>
  </si>
  <si>
    <t>Rear Passengers</t>
  </si>
  <si>
    <t>Totals ►</t>
  </si>
  <si>
    <t>Arm - Pilot &amp; Passenger</t>
  </si>
  <si>
    <t>Arm - Basic Airplane</t>
  </si>
  <si>
    <t>Arm - Rear Passengers</t>
  </si>
  <si>
    <t>Arm - Baggage Area 1</t>
  </si>
  <si>
    <t>Arm - Baggage Area 2</t>
  </si>
  <si>
    <t>Arm - Fuel</t>
  </si>
  <si>
    <t>Fuel endurance after climb</t>
  </si>
  <si>
    <t>Minutes (inc. reserve, but excl. climb fuel)</t>
  </si>
  <si>
    <t>Unusable Fuel</t>
  </si>
  <si>
    <t>Name</t>
  </si>
  <si>
    <t>Trip Description:</t>
  </si>
  <si>
    <t>Open VFR Flight Plan with</t>
  </si>
  <si>
    <t>Close with</t>
  </si>
  <si>
    <t>12. Fuel on board</t>
  </si>
  <si>
    <t>Maximum takeoff weight</t>
  </si>
  <si>
    <t>lbs</t>
  </si>
  <si>
    <t>Make sure items 1-10 completed on Flight Plan</t>
  </si>
  <si>
    <t xml:space="preserve">Calculate top of climb: </t>
  </si>
  <si>
    <t xml:space="preserve">   &gt;Determine average ground speed, time to top of climb, distance &amp; fuel</t>
  </si>
  <si>
    <t xml:space="preserve">   &gt;Enter into NavLog</t>
  </si>
  <si>
    <t>Calculate takeoff &amp; landing performance (ground roll &amp; obs clearance)</t>
  </si>
  <si>
    <t>Any airports or runways unusable (inc. alternates)</t>
  </si>
  <si>
    <t>Select waypoints (15-25 miles apart on left side), inc top of climb</t>
  </si>
  <si>
    <t>Determine top of descent:</t>
  </si>
  <si>
    <t xml:space="preserve">   &gt;Altitude difference between last enroute W/P and TPA</t>
  </si>
  <si>
    <t>Ensure starting &amp; ending CG within limits</t>
  </si>
  <si>
    <t>Runway lengths, traffic patterns -&gt; NavLog</t>
  </si>
  <si>
    <t xml:space="preserve">   &gt;Airspace, obstructions, emerg. Landing</t>
  </si>
  <si>
    <t>Select best route -&gt; F/P</t>
  </si>
  <si>
    <t xml:space="preserve">Select altitude (high for glide, low for oxygen). </t>
  </si>
  <si>
    <t xml:space="preserve">   &gt;Use east/west altitude rule -&gt; F/P</t>
  </si>
  <si>
    <t>Remaining Fuel (g)►</t>
  </si>
  <si>
    <t>Review A/FD -&gt; NavLog</t>
  </si>
  <si>
    <t>Update weather log (cruise alt, freezing problems) and NavLog with applic NOTAMS</t>
  </si>
  <si>
    <t xml:space="preserve">   &gt;Average TAS at bottom &amp; top of climb</t>
  </si>
  <si>
    <t xml:space="preserve">   &gt;Average surface winds &amp; winds aloft. Average surface temp &amp; temp aloft.</t>
  </si>
  <si>
    <t xml:space="preserve">   &gt;Start with 500 FPM and calc distance to TOD</t>
  </si>
  <si>
    <t xml:space="preserve">   &gt;Pick a visable W/P near this TOD point</t>
  </si>
  <si>
    <t xml:space="preserve">   &gt;Assume cruise airspeed. Use power to select FPM rate.</t>
  </si>
  <si>
    <t xml:space="preserve">   &gt;Calculate distance to this W/P and then actual FPM descent rate</t>
  </si>
  <si>
    <t>Food &amp; water</t>
  </si>
  <si>
    <t>Warm clothes</t>
  </si>
  <si>
    <t>IFR / VFR</t>
  </si>
  <si>
    <t>Disclaimer</t>
  </si>
  <si>
    <t>Instructions for Use</t>
  </si>
  <si>
    <t>Feedback</t>
  </si>
  <si>
    <t>License Terms</t>
  </si>
  <si>
    <t>FP estimated time enroute</t>
  </si>
  <si>
    <t>Aircraft Number:</t>
  </si>
  <si>
    <t>Aircraft Data Lookup</t>
  </si>
  <si>
    <t>Found Aircraft in 'Aircraft Database'?</t>
  </si>
  <si>
    <t>Select airports &amp; alternates -&gt; NavLog &amp; F/P</t>
  </si>
  <si>
    <t xml:space="preserve">Calculate weight, balance &amp; fuel load </t>
  </si>
  <si>
    <t>Pick an aircraft from the database, or manually edit data</t>
  </si>
  <si>
    <t>Many cells are calculated automatically and you will not be allowed to modify them. However, some cells will contain a formula to calculate a default value, but you may overtype that with a value that you prefer (for example, the estimated time en-route on the flight plan). A help message will point out these cases out to you.</t>
  </si>
  <si>
    <t>The VFR Flight Planning Tool: Instructions</t>
  </si>
  <si>
    <t>The VFR Flight Planning Tool: Installation</t>
  </si>
  <si>
    <t>Installation Instructions</t>
  </si>
  <si>
    <t>Basic Empty Weight (inc. unusable fuel)</t>
  </si>
  <si>
    <t>Maximum Possible Usable Fuel</t>
  </si>
  <si>
    <t>Fuel capacity (excluding unusable fuel)</t>
  </si>
  <si>
    <t>Enter or Select Aircraft Number:</t>
  </si>
  <si>
    <t>WTC</t>
  </si>
  <si>
    <t>CW</t>
  </si>
  <si>
    <t>TW</t>
  </si>
  <si>
    <t>Radial?</t>
  </si>
  <si>
    <t xml:space="preserve"> </t>
  </si>
  <si>
    <t>F Ang</t>
  </si>
  <si>
    <t>Dev Seg</t>
  </si>
  <si>
    <t>Dev Col</t>
  </si>
  <si>
    <t>Seg CH</t>
  </si>
  <si>
    <t>Dev</t>
  </si>
  <si>
    <t>Actual Usable Fuel</t>
  </si>
  <si>
    <t>Index</t>
  </si>
  <si>
    <t>Aircraft type</t>
  </si>
  <si>
    <t>Aircraft comment</t>
  </si>
  <si>
    <t>Aircraft color</t>
  </si>
  <si>
    <t>"</t>
  </si>
  <si>
    <t>gal.</t>
  </si>
  <si>
    <t>Review GS in NavLog</t>
  </si>
  <si>
    <t>Review fuel used per leg plus 30 min (day) / 45 min night reserve</t>
  </si>
  <si>
    <t>If you are in doubt as to what you should enter in a specific field, simply click in that field and a help message will be displayed. Where possible, values will be validated (e.g. headings must be in the range 0 to 359). You only need to enter data in cells that are blank, or have blue text.</t>
  </si>
  <si>
    <t>Cruise
RPM</t>
  </si>
  <si>
    <t>Synopsis</t>
  </si>
  <si>
    <t>Forecast Conditions (TAF)</t>
  </si>
  <si>
    <t>Current &amp; Forecast Surface Conditions (winds / visibility / clouds &amp; rain / temperature / altimeter / density alt.)</t>
  </si>
  <si>
    <t>Enroute &amp; Alternates</t>
  </si>
  <si>
    <t>Winds &amp; Temperature Aloft</t>
  </si>
  <si>
    <t>ATC Delays, NOTAMs and Notes</t>
  </si>
  <si>
    <t>www.elseyworld.com/flying</t>
  </si>
  <si>
    <t>Station</t>
  </si>
  <si>
    <t>Airport Information</t>
  </si>
  <si>
    <t>Enroute</t>
  </si>
  <si>
    <t>ATIS / ASOS</t>
  </si>
  <si>
    <t>FSS</t>
  </si>
  <si>
    <t>Communications and Services</t>
  </si>
  <si>
    <t>ATC Name</t>
  </si>
  <si>
    <t>Location Identifier</t>
  </si>
  <si>
    <t>App/Dep (Normal)</t>
  </si>
  <si>
    <t>Clearance Delivery</t>
  </si>
  <si>
    <t>Runway and Pattern Information</t>
  </si>
  <si>
    <t>Field / Pattern Alt.</t>
  </si>
  <si>
    <t>Runways</t>
  </si>
  <si>
    <t>Enroute Transcribed ATIS / ASOS Information</t>
  </si>
  <si>
    <t>Freq. &amp; Applic.</t>
  </si>
  <si>
    <t>Takeoff Performance</t>
  </si>
  <si>
    <t>Landing Performance</t>
  </si>
  <si>
    <t>App Freq &amp; Runway</t>
  </si>
  <si>
    <t>Freq.</t>
  </si>
  <si>
    <t>Opertng Times</t>
  </si>
  <si>
    <t>App/Dep(Other)</t>
  </si>
  <si>
    <t>Airport / Facility Directory Database</t>
  </si>
  <si>
    <t>Tower Information</t>
  </si>
  <si>
    <t>Approach / Departure (Normal Times)</t>
  </si>
  <si>
    <t>Approach / Departure (Other Times)</t>
  </si>
  <si>
    <t>Flight Service Station (FSS)</t>
  </si>
  <si>
    <t>Reserved -----&gt;</t>
  </si>
  <si>
    <t>Frequency</t>
  </si>
  <si>
    <t>Operating Times</t>
  </si>
  <si>
    <t>Frequency &amp; Applicability</t>
  </si>
  <si>
    <t>Freq &amp; Applicability</t>
  </si>
  <si>
    <t>R1</t>
  </si>
  <si>
    <t>R2</t>
  </si>
  <si>
    <t>R3</t>
  </si>
  <si>
    <t>R4</t>
  </si>
  <si>
    <t>R5</t>
  </si>
  <si>
    <t>Aircraft Database</t>
  </si>
  <si>
    <t>Comment</t>
  </si>
  <si>
    <t>Arm Measurements</t>
  </si>
  <si>
    <t>Compass deviation data</t>
  </si>
  <si>
    <t>Plane</t>
  </si>
  <si>
    <t>Pilot</t>
  </si>
  <si>
    <t>Passngr</t>
  </si>
  <si>
    <t>Baggage1</t>
  </si>
  <si>
    <t>Baggage2</t>
  </si>
  <si>
    <t>Cessna 172/R</t>
  </si>
  <si>
    <t>C172/G</t>
  </si>
  <si>
    <t>White</t>
  </si>
  <si>
    <t>N359ES</t>
  </si>
  <si>
    <t>Taxi and runup fuel</t>
  </si>
  <si>
    <t>KLAX</t>
  </si>
  <si>
    <t>Los Angeles Intl</t>
  </si>
  <si>
    <t>133.8 (Arrival)
135.65 (Dep.)</t>
  </si>
  <si>
    <t>121.4 or 120.35</t>
  </si>
  <si>
    <t>121.75 (South)
121.65 (North)</t>
  </si>
  <si>
    <t>24 Hours</t>
  </si>
  <si>
    <t>133.9 (North Complex)</t>
  </si>
  <si>
    <t>120.95 (South Complex)</t>
  </si>
  <si>
    <t>Socal App/Dep</t>
  </si>
  <si>
    <t>See AFD</t>
  </si>
  <si>
    <t>Hawthorne</t>
  </si>
  <si>
    <t>126 / ---</t>
  </si>
  <si>
    <t>07-25, 06-24
See AFD</t>
  </si>
  <si>
    <t>KPDX</t>
  </si>
  <si>
    <t>Portland Intl</t>
  </si>
  <si>
    <t>118.7 (Rwy10L-28R)</t>
  </si>
  <si>
    <t>123.775 (Rwy 03-21, Rwy 10R-28L)</t>
  </si>
  <si>
    <t>Portland</t>
  </si>
  <si>
    <t>124.35 (280°-099°)</t>
  </si>
  <si>
    <t>118.1 (100°-279°)</t>
  </si>
  <si>
    <t>McMinnville</t>
  </si>
  <si>
    <t>30 / ---</t>
  </si>
  <si>
    <t>rt10R-28L
10L-28Rrt   03-21</t>
  </si>
  <si>
    <t>Adverse Conditions</t>
  </si>
  <si>
    <t>1. Type</t>
  </si>
  <si>
    <t>KUAO</t>
  </si>
  <si>
    <t>Aurora State</t>
  </si>
  <si>
    <t>200 / 1200</t>
  </si>
  <si>
    <t>17-35</t>
  </si>
  <si>
    <t>HW /
CW</t>
  </si>
  <si>
    <t>Weight and Balance Summary</t>
  </si>
  <si>
    <t>At takeoff</t>
  </si>
  <si>
    <t>At end of flight</t>
  </si>
  <si>
    <t>With no fuel</t>
  </si>
  <si>
    <t xml:space="preserve">This VFR flight planning spread sheet is provided 'as is'. I make no warranty, explicit or implied, as to the reliability, accuracy or usefulness of this tool. You are the pilot in command and as such are responsible for ensuring that all calculations are correct and all data have been correctly entered. </t>
  </si>
  <si>
    <t>If you would like to give me feedback on this tool or suggest improvements, you can contact me at:</t>
  </si>
  <si>
    <r>
      <t xml:space="preserve">Sub-Total </t>
    </r>
    <r>
      <rPr>
        <sz val="10"/>
        <color theme="1" tint="0.14996795556505021"/>
        <rFont val="Calibri"/>
        <family val="2"/>
        <scheme val="minor"/>
      </rPr>
      <t>(takeoff weight, unusable fuel)</t>
    </r>
  </si>
  <si>
    <t>First-aid / surv. kit</t>
  </si>
  <si>
    <t>This spreadsheet tool is provided under a 'shareware' basis. If you have found it useful, please visit the link below to make a small donation.</t>
  </si>
  <si>
    <t>Step 1: Plan Your Route</t>
  </si>
  <si>
    <t>Step 2: Weather Briefing</t>
  </si>
  <si>
    <t>Step 3: Takeoff and Landing Performance</t>
  </si>
  <si>
    <t>Step 4: Enroute and Cruise Performance</t>
  </si>
  <si>
    <t>Step 5: Before Takeoff: Cockpit Resource Management</t>
  </si>
  <si>
    <t>Airport Name</t>
  </si>
  <si>
    <t>ATIS or ASOS Frequency</t>
  </si>
  <si>
    <t>UNICOM Frequency</t>
  </si>
  <si>
    <t>CTAF Frequency</t>
  </si>
  <si>
    <t>Ground Frequency</t>
  </si>
  <si>
    <t>Clr Delivery Frequency</t>
  </si>
  <si>
    <t>Field / Pattern Altitudes</t>
  </si>
  <si>
    <t>Call Sign</t>
  </si>
  <si>
    <t>Type / Equipment</t>
  </si>
  <si>
    <t>Colours</t>
  </si>
  <si>
    <t>Basic Weight</t>
  </si>
  <si>
    <t>Takoff Weight</t>
  </si>
  <si>
    <t>Usable Fuel Cap.</t>
  </si>
  <si>
    <t>Minutes (rounded to 15mins, plus 15 min)</t>
  </si>
  <si>
    <r>
      <t xml:space="preserve">To complete your flight plan, work through the checklist on the </t>
    </r>
    <r>
      <rPr>
        <b/>
        <sz val="10"/>
        <color theme="1" tint="0.24994659260841701"/>
        <rFont val="Calibri"/>
        <family val="2"/>
        <scheme val="minor"/>
      </rPr>
      <t xml:space="preserve">Check Lists </t>
    </r>
    <r>
      <rPr>
        <sz val="10"/>
        <color theme="1" tint="0.24994659260841701"/>
        <rFont val="Calibri"/>
        <family val="2"/>
        <scheme val="minor"/>
      </rPr>
      <t xml:space="preserve">worksheet (click on the hyperlinked text to jump to the referenced section) and enter the required information on the </t>
    </r>
    <r>
      <rPr>
        <b/>
        <sz val="10"/>
        <color theme="1" tint="0.24994659260841701"/>
        <rFont val="Calibri"/>
        <family val="2"/>
        <scheme val="minor"/>
      </rPr>
      <t xml:space="preserve">Weather-FP </t>
    </r>
    <r>
      <rPr>
        <sz val="10"/>
        <color theme="1" tint="0.24994659260841701"/>
        <rFont val="Calibri"/>
        <family val="2"/>
        <scheme val="minor"/>
      </rPr>
      <t xml:space="preserve">and </t>
    </r>
    <r>
      <rPr>
        <b/>
        <sz val="10"/>
        <color theme="1" tint="0.24994659260841701"/>
        <rFont val="Calibri"/>
        <family val="2"/>
        <scheme val="minor"/>
      </rPr>
      <t xml:space="preserve">Navigation Log </t>
    </r>
    <r>
      <rPr>
        <sz val="10"/>
        <color theme="1" tint="0.24994659260841701"/>
        <rFont val="Calibri"/>
        <family val="2"/>
        <scheme val="minor"/>
      </rPr>
      <t>worksheets. Where possible, data will be carried over betweek worksheets and relevant fields automatically populated.</t>
    </r>
  </si>
  <si>
    <r>
      <t xml:space="preserve">Use the </t>
    </r>
    <r>
      <rPr>
        <b/>
        <sz val="10"/>
        <color theme="1" tint="0.24994659260841701"/>
        <rFont val="Calibri"/>
        <family val="2"/>
        <scheme val="minor"/>
      </rPr>
      <t>Airport Database</t>
    </r>
    <r>
      <rPr>
        <sz val="10"/>
        <color theme="1" tint="0.24994659260841701"/>
        <rFont val="Calibri"/>
        <family val="2"/>
        <scheme val="minor"/>
      </rPr>
      <t xml:space="preserve"> worksheet to maintain the Airport Facility Data for your favorite airports. Now, when you enter an airport designator into the </t>
    </r>
    <r>
      <rPr>
        <i/>
        <sz val="10"/>
        <color theme="1" tint="0.24994659260841701"/>
        <rFont val="Calibri"/>
        <family val="2"/>
        <scheme val="minor"/>
      </rPr>
      <t>Airport Frequencies - Departure</t>
    </r>
    <r>
      <rPr>
        <sz val="10"/>
        <color theme="1" tint="0.24994659260841701"/>
        <rFont val="Calibri"/>
        <family val="2"/>
        <scheme val="minor"/>
      </rPr>
      <t xml:space="preserve"> or </t>
    </r>
    <r>
      <rPr>
        <i/>
        <sz val="10"/>
        <color theme="1" tint="0.24994659260841701"/>
        <rFont val="Calibri"/>
        <family val="2"/>
        <scheme val="minor"/>
      </rPr>
      <t>Destination</t>
    </r>
    <r>
      <rPr>
        <sz val="10"/>
        <color theme="1" tint="0.24994659260841701"/>
        <rFont val="Calibri"/>
        <family val="2"/>
        <scheme val="minor"/>
      </rPr>
      <t xml:space="preserve"> fields of the </t>
    </r>
    <r>
      <rPr>
        <b/>
        <sz val="10"/>
        <color theme="1" tint="0.24994659260841701"/>
        <rFont val="Calibri"/>
        <family val="2"/>
        <scheme val="minor"/>
      </rPr>
      <t xml:space="preserve">Navigation Log </t>
    </r>
    <r>
      <rPr>
        <sz val="10"/>
        <color theme="1" tint="0.24994659260841701"/>
        <rFont val="Calibri"/>
        <family val="2"/>
        <scheme val="minor"/>
      </rPr>
      <t>worksheet, the relevant fields are automatically populated from your database. You are responsible for keeping the AFD data up to date!</t>
    </r>
  </si>
  <si>
    <r>
      <t>Current Surface Observations (</t>
    </r>
    <r>
      <rPr>
        <b/>
        <sz val="8"/>
        <color theme="1" tint="0.14999847407452621"/>
        <rFont val="Calibri"/>
        <family val="2"/>
        <scheme val="minor"/>
      </rPr>
      <t>METARS</t>
    </r>
    <r>
      <rPr>
        <b/>
        <sz val="10"/>
        <color theme="1" tint="0.14999847407452621"/>
        <rFont val="Calibri"/>
        <family val="2"/>
        <scheme val="minor"/>
      </rPr>
      <t>)</t>
    </r>
  </si>
  <si>
    <r>
      <t>Used</t>
    </r>
    <r>
      <rPr>
        <sz val="8"/>
        <color theme="1" tint="0.14996795556505021"/>
        <rFont val="Calibri"/>
        <family val="2"/>
        <scheme val="minor"/>
      </rPr>
      <t>►</t>
    </r>
  </si>
  <si>
    <t>Traffic Frequencies</t>
  </si>
  <si>
    <t>Navigation Log (Page 2)</t>
  </si>
  <si>
    <t>Time off to this page</t>
  </si>
  <si>
    <t>3</t>
  </si>
  <si>
    <t>4</t>
  </si>
  <si>
    <t>5</t>
  </si>
  <si>
    <t>6</t>
  </si>
  <si>
    <t>7</t>
  </si>
  <si>
    <t>8</t>
  </si>
  <si>
    <t>9</t>
  </si>
  <si>
    <t>10</t>
  </si>
  <si>
    <t>11</t>
  </si>
  <si>
    <t>12</t>
  </si>
  <si>
    <t>The VFR Flight Planning Tool: Definitions</t>
  </si>
  <si>
    <t>Is Template Installed:</t>
  </si>
  <si>
    <t>New document sequence:</t>
  </si>
  <si>
    <r>
      <t xml:space="preserve">Use the </t>
    </r>
    <r>
      <rPr>
        <b/>
        <sz val="10"/>
        <rFont val="Calibri"/>
        <family val="2"/>
        <scheme val="minor"/>
      </rPr>
      <t>Aircraft Database</t>
    </r>
    <r>
      <rPr>
        <sz val="10"/>
        <color theme="1" tint="0.24994659260841701"/>
        <rFont val="Calibri"/>
        <family val="2"/>
        <scheme val="minor"/>
      </rPr>
      <t xml:space="preserve"> tab to keep weight, fuel and balanace data for the aircraft you regularly fly. When you pick an aircraft tail number on the </t>
    </r>
    <r>
      <rPr>
        <b/>
        <sz val="10"/>
        <rFont val="Calibri"/>
        <family val="2"/>
        <scheme val="minor"/>
      </rPr>
      <t>Check Lists</t>
    </r>
    <r>
      <rPr>
        <sz val="10"/>
        <color theme="1" tint="0.24994659260841701"/>
        <rFont val="Calibri"/>
        <family val="2"/>
        <scheme val="minor"/>
      </rPr>
      <t xml:space="preserve"> worksheet, the relevant fields are automatically populated from your database.</t>
    </r>
  </si>
  <si>
    <t>Database path:</t>
  </si>
  <si>
    <t>Navigation log filled:</t>
  </si>
  <si>
    <t>Copyright:</t>
  </si>
  <si>
    <t>Version ID:</t>
  </si>
  <si>
    <t>Calculated parameters</t>
  </si>
  <si>
    <t>Sometimes a value entered into a cell may disappear. This will happen if it's not yet relevant. For example, if you enter a wind direction for a leg in the Navigation Log tab before entering the route text. In general, if you work from left to right and from top to bottom on a sheet, this will not happen.</t>
  </si>
  <si>
    <t xml:space="preserve">Use the button on the VFR Flight Planner ribbon bar to merge the airports and aircraft in the current planner with a master database (two way sync). This allows you to use a master list of airports and aircraft across multiple planner documents. </t>
  </si>
  <si>
    <t>Prompt when merging with DB:</t>
  </si>
  <si>
    <t>Macros Enabled:</t>
  </si>
  <si>
    <t>https://www.elseyworld.com/nick</t>
  </si>
  <si>
    <t>ERROR: You must enable Macros (trust this document) to use the VFR Flight Planner</t>
  </si>
  <si>
    <t>Use the VFR Flight Planner ribbon to access the features of this tool.</t>
  </si>
  <si>
    <t>Before you can use this tool, you must install this template. Click on the button below to do this.</t>
  </si>
  <si>
    <t>Once the installation has completed, this file will be closed automatically. Now quit and restart Excel.</t>
  </si>
  <si>
    <t>The VFR Flight Planning Tool</t>
  </si>
  <si>
    <t>&gt;</t>
  </si>
  <si>
    <r>
      <t xml:space="preserve">When saving, please use the </t>
    </r>
    <r>
      <rPr>
        <i/>
        <sz val="10"/>
        <color theme="1" tint="0.24994659260841701"/>
        <rFont val="Calibri"/>
        <family val="2"/>
        <scheme val="minor"/>
      </rPr>
      <t xml:space="preserve">Macro Enabled Workbook (*.xlsm) </t>
    </r>
    <r>
      <rPr>
        <sz val="10"/>
        <color theme="1" tint="0.24994659260841701"/>
        <rFont val="Calibri"/>
        <family val="2"/>
        <scheme val="minor"/>
      </rPr>
      <t>format.</t>
    </r>
  </si>
  <si>
    <t>Version 3.53</t>
  </si>
  <si>
    <t>©2025 Nick Elsey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</si>
</sst>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43" formatCode="_(* #,##0.00_);_(* \(#,##0.00\);_(* &quot;-&quot;??_);_(@_)"/>
    <numFmt numFmtId="164" formatCode="0.0"/>
    <numFmt numFmtId="165" formatCode="0000"/>
    <numFmt numFmtId="166" formatCode="00"/>
    <numFmt numFmtId="167" formatCode="0.000"/>
    <numFmt numFmtId="168" formatCode="000"/>
    <numFmt numFmtId="169" formatCode="\+0;\-0"/>
    <numFmt numFmtId="170" formatCode="000\°"/>
    <numFmt numFmtId="171" formatCode="\+0\°;\-0\°"/>
    <numFmt numFmtId="172" formatCode="0.0\&quot;"/>
    <numFmt numFmtId="173" formatCode="#,##0\ \l\b\s"/>
    <numFmt numFmtId="174" formatCode="0.0\ \g\a\l."/>
    <numFmt numFmtId="175" formatCode="\+0\ \°\C;\-0\ \°\C"/>
  </numFmts>
  <fonts count="68" x14ac:knownFonts="1">
    <font>
      <sz val="10"/>
      <color theme="1" tint="0.14996795556505021"/>
      <name val="Calibri"/>
      <family val="2"/>
      <scheme val="minor"/>
    </font>
    <font>
      <sz val="10"/>
      <name val="Arial"/>
      <family val="2"/>
    </font>
    <font>
      <sz val="10"/>
      <color indexed="9"/>
      <name val="Arial Black"/>
      <family val="2"/>
    </font>
    <font>
      <sz val="12"/>
      <color indexed="9"/>
      <name val="Arial Black"/>
      <family val="2"/>
    </font>
    <font>
      <b/>
      <sz val="10"/>
      <name val="Arial"/>
      <family val="2"/>
    </font>
    <font>
      <b/>
      <sz val="10"/>
      <color indexed="9"/>
      <name val="Arial"/>
      <family val="2"/>
    </font>
    <font>
      <sz val="10"/>
      <name val="Arial"/>
      <family val="2"/>
    </font>
    <font>
      <sz val="8"/>
      <name val="Arial"/>
      <family val="2"/>
    </font>
    <font>
      <sz val="6"/>
      <name val="Arial"/>
      <family val="2"/>
    </font>
    <font>
      <b/>
      <sz val="8"/>
      <color indexed="9"/>
      <name val="Arial"/>
      <family val="2"/>
    </font>
    <font>
      <i/>
      <sz val="8"/>
      <name val="Arial"/>
      <family val="2"/>
    </font>
    <font>
      <sz val="8"/>
      <color indexed="9"/>
      <name val="Arial"/>
      <family val="2"/>
    </font>
    <font>
      <sz val="10"/>
      <color indexed="9"/>
      <name val="Arial"/>
      <family val="2"/>
    </font>
    <font>
      <sz val="8"/>
      <color indexed="9"/>
      <name val="Arial"/>
      <family val="2"/>
    </font>
    <font>
      <b/>
      <sz val="11"/>
      <color rgb="FFFA7D00"/>
      <name val="Calibri"/>
      <family val="2"/>
      <scheme val="minor"/>
    </font>
    <font>
      <sz val="11"/>
      <color indexed="36"/>
      <name val="Calibri"/>
      <family val="2"/>
      <scheme val="minor"/>
    </font>
    <font>
      <sz val="11"/>
      <color indexed="12"/>
      <name val="Calibri"/>
      <family val="2"/>
      <scheme val="minor"/>
    </font>
    <font>
      <sz val="11"/>
      <color rgb="FF3F3F76"/>
      <name val="Calibri"/>
      <family val="2"/>
      <scheme val="minor"/>
    </font>
    <font>
      <b/>
      <sz val="11"/>
      <name val="Calibri"/>
      <family val="2"/>
      <scheme val="minor"/>
    </font>
    <font>
      <i/>
      <sz val="11"/>
      <name val="Calibri"/>
      <family val="2"/>
      <scheme val="minor"/>
    </font>
    <font>
      <b/>
      <sz val="11"/>
      <color indexed="9"/>
      <name val="Calibri"/>
      <family val="2"/>
      <scheme val="minor"/>
    </font>
    <font>
      <b/>
      <sz val="10"/>
      <name val="Calibri"/>
      <family val="2"/>
      <scheme val="minor"/>
    </font>
    <font>
      <b/>
      <sz val="11"/>
      <color indexed="12"/>
      <name val="Calibri"/>
      <family val="2"/>
      <scheme val="minor"/>
    </font>
    <font>
      <b/>
      <sz val="11"/>
      <color indexed="10"/>
      <name val="Calibri"/>
      <family val="2"/>
      <scheme val="minor"/>
    </font>
    <font>
      <i/>
      <sz val="11"/>
      <color indexed="10"/>
      <name val="Calibri"/>
      <family val="2"/>
      <scheme val="minor"/>
    </font>
    <font>
      <sz val="11"/>
      <color theme="1" tint="0.24994659260841701"/>
      <name val="Calibri"/>
      <family val="2"/>
      <scheme val="minor"/>
    </font>
    <font>
      <sz val="10"/>
      <name val="Calibri"/>
      <family val="2"/>
      <scheme val="minor"/>
    </font>
    <font>
      <i/>
      <sz val="11"/>
      <color theme="1" tint="0.24994659260841701"/>
      <name val="Calibri"/>
      <family val="2"/>
      <scheme val="minor"/>
    </font>
    <font>
      <b/>
      <sz val="11"/>
      <color rgb="FF002060"/>
      <name val="Calibri"/>
      <family val="2"/>
      <scheme val="minor"/>
    </font>
    <font>
      <sz val="9"/>
      <color indexed="12"/>
      <name val="Calibri"/>
      <family val="2"/>
      <scheme val="minor"/>
    </font>
    <font>
      <sz val="8"/>
      <name val="Calibri"/>
      <family val="2"/>
      <scheme val="minor"/>
    </font>
    <font>
      <sz val="8"/>
      <color indexed="12"/>
      <name val="Calibri"/>
      <family val="2"/>
      <scheme val="minor"/>
    </font>
    <font>
      <b/>
      <sz val="10"/>
      <color indexed="12"/>
      <name val="Calibri"/>
      <family val="2"/>
      <scheme val="minor"/>
    </font>
    <font>
      <sz val="8"/>
      <color rgb="FF000000"/>
      <name val="Tahoma"/>
      <family val="2"/>
    </font>
    <font>
      <sz val="9"/>
      <name val="Calibri"/>
      <family val="2"/>
      <scheme val="minor"/>
    </font>
    <font>
      <sz val="6"/>
      <name val="Calibri"/>
      <family val="2"/>
      <scheme val="minor"/>
    </font>
    <font>
      <i/>
      <sz val="8"/>
      <name val="Calibri"/>
      <family val="2"/>
      <scheme val="minor"/>
    </font>
    <font>
      <sz val="12"/>
      <color rgb="FF002060"/>
      <name val="Arial Black"/>
      <family val="2"/>
    </font>
    <font>
      <sz val="10"/>
      <color theme="1" tint="0.24994659260841701"/>
      <name val="Calibri"/>
      <family val="2"/>
      <scheme val="minor"/>
    </font>
    <font>
      <b/>
      <sz val="8"/>
      <name val="Arial"/>
      <family val="2"/>
    </font>
    <font>
      <sz val="9"/>
      <color theme="1" tint="0.24994659260841701"/>
      <name val="Calibri"/>
      <family val="2"/>
      <scheme val="minor"/>
    </font>
    <font>
      <sz val="8"/>
      <color indexed="9"/>
      <name val="Calibri"/>
      <family val="2"/>
      <scheme val="minor"/>
    </font>
    <font>
      <i/>
      <sz val="10"/>
      <name val="Calibri"/>
      <family val="2"/>
      <scheme val="minor"/>
    </font>
    <font>
      <b/>
      <sz val="10"/>
      <color theme="1" tint="0.24994659260841701"/>
      <name val="Calibri"/>
      <family val="2"/>
      <scheme val="minor"/>
    </font>
    <font>
      <i/>
      <sz val="10"/>
      <color theme="1" tint="0.24994659260841701"/>
      <name val="Calibri"/>
      <family val="2"/>
      <scheme val="minor"/>
    </font>
    <font>
      <sz val="10"/>
      <color indexed="12"/>
      <name val="Calibri"/>
      <family val="2"/>
      <scheme val="minor"/>
    </font>
    <font>
      <sz val="11"/>
      <color rgb="FF002060"/>
      <name val="Calibri"/>
      <family val="2"/>
      <scheme val="minor"/>
    </font>
    <font>
      <sz val="10"/>
      <color theme="1" tint="0.34998626667073579"/>
      <name val="Calibri"/>
      <family val="2"/>
      <scheme val="minor"/>
    </font>
    <font>
      <sz val="10"/>
      <color theme="1" tint="0.14996795556505021"/>
      <name val="Calibri"/>
      <family val="2"/>
      <scheme val="minor"/>
    </font>
    <font>
      <sz val="8"/>
      <color theme="1" tint="0.14999847407452621"/>
      <name val="Calibri"/>
      <family val="2"/>
      <scheme val="minor"/>
    </font>
    <font>
      <b/>
      <sz val="10"/>
      <color theme="1" tint="0.14999847407452621"/>
      <name val="Calibri"/>
      <family val="2"/>
      <scheme val="minor"/>
    </font>
    <font>
      <b/>
      <sz val="8"/>
      <color theme="1" tint="0.14999847407452621"/>
      <name val="Calibri"/>
      <family val="2"/>
      <scheme val="minor"/>
    </font>
    <font>
      <b/>
      <sz val="9"/>
      <color theme="1" tint="0.14999847407452621"/>
      <name val="Calibri"/>
      <family val="2"/>
      <scheme val="minor"/>
    </font>
    <font>
      <sz val="8"/>
      <color theme="1" tint="0.14996795556505021"/>
      <name val="Calibri"/>
      <family val="2"/>
      <scheme val="minor"/>
    </font>
    <font>
      <b/>
      <sz val="10"/>
      <color theme="1" tint="0.14999847407452621"/>
      <name val="Arial"/>
      <family val="2"/>
    </font>
    <font>
      <sz val="10"/>
      <color theme="1" tint="0.14999847407452621"/>
      <name val="Arial"/>
      <family val="2"/>
    </font>
    <font>
      <b/>
      <sz val="9"/>
      <color indexed="9"/>
      <name val="Calibri"/>
      <family val="2"/>
      <scheme val="minor"/>
    </font>
    <font>
      <b/>
      <sz val="9"/>
      <name val="Calibri"/>
      <family val="2"/>
      <scheme val="minor"/>
    </font>
    <font>
      <b/>
      <sz val="8"/>
      <color indexed="10"/>
      <name val="Calibri"/>
      <family val="2"/>
      <scheme val="minor"/>
    </font>
    <font>
      <b/>
      <sz val="11"/>
      <color theme="1" tint="0.14999847407452621"/>
      <name val="Calibri"/>
      <family val="2"/>
      <scheme val="minor"/>
    </font>
    <font>
      <sz val="10"/>
      <color theme="1" tint="0.14999847407452621"/>
      <name val="Calibri"/>
      <family val="2"/>
      <scheme val="minor"/>
    </font>
    <font>
      <sz val="10"/>
      <color theme="1" tint="0.249977111117893"/>
      <name val="Calibri"/>
      <family val="2"/>
      <scheme val="minor"/>
    </font>
    <font>
      <sz val="12"/>
      <color rgb="FF000000"/>
      <name val="Calibri"/>
      <family val="2"/>
    </font>
    <font>
      <sz val="11"/>
      <name val="Calibri"/>
      <family val="2"/>
      <scheme val="minor"/>
    </font>
    <font>
      <b/>
      <sz val="15"/>
      <name val="Cambria"/>
      <family val="1"/>
      <scheme val="major"/>
    </font>
    <font>
      <b/>
      <sz val="12"/>
      <name val="Calibri"/>
      <family val="2"/>
      <scheme val="minor"/>
    </font>
    <font>
      <b/>
      <sz val="13"/>
      <name val="Calibri"/>
      <family val="2"/>
      <scheme val="minor"/>
    </font>
    <font>
      <b/>
      <sz val="14"/>
      <color rgb="FFFF0000"/>
      <name val="Calibri"/>
      <family val="2"/>
      <scheme val="minor"/>
    </font>
  </fonts>
  <fills count="12">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F2F2F2"/>
      </patternFill>
    </fill>
    <fill>
      <patternFill patternType="solid">
        <fgColor rgb="FFFFCC99"/>
      </patternFill>
    </fill>
    <fill>
      <patternFill patternType="solid">
        <fgColor theme="9" tint="0.79998168889431442"/>
        <bgColor indexed="64"/>
      </patternFill>
    </fill>
    <fill>
      <patternFill patternType="lightUp">
        <bgColor theme="0" tint="-0.24994659260841701"/>
      </patternFill>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theme="0" tint="-4.9989318521683403E-2"/>
        <bgColor indexed="64"/>
      </patternFill>
    </fill>
  </fills>
  <borders count="49">
    <border>
      <left/>
      <right/>
      <top/>
      <bottom/>
      <diagonal/>
    </border>
    <border>
      <left style="thin">
        <color auto="1"/>
      </left>
      <right/>
      <top/>
      <bottom/>
      <diagonal/>
    </border>
    <border>
      <left/>
      <right/>
      <top/>
      <bottom style="thin">
        <color auto="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hair">
        <color theme="1" tint="0.499984740745262"/>
      </left>
      <right style="hair">
        <color theme="1" tint="0.499984740745262"/>
      </right>
      <top/>
      <bottom style="hair">
        <color theme="1" tint="0.499984740745262"/>
      </bottom>
      <diagonal/>
    </border>
    <border>
      <left style="hair">
        <color theme="0" tint="-0.14996795556505021"/>
      </left>
      <right style="hair">
        <color theme="0" tint="-0.14996795556505021"/>
      </right>
      <top style="hair">
        <color theme="0" tint="-0.14996795556505021"/>
      </top>
      <bottom style="hair">
        <color theme="0" tint="-0.14996795556505021"/>
      </bottom>
      <diagonal/>
    </border>
    <border>
      <left style="hair">
        <color theme="0" tint="-0.14996795556505021"/>
      </left>
      <right style="hair">
        <color theme="0" tint="-0.14996795556505021"/>
      </right>
      <top style="hair">
        <color theme="0" tint="-0.14996795556505021"/>
      </top>
      <bottom style="medium">
        <color theme="0" tint="-0.24994659260841701"/>
      </bottom>
      <diagonal/>
    </border>
    <border>
      <left style="hair">
        <color theme="0" tint="-0.14996795556505021"/>
      </left>
      <right style="hair">
        <color theme="0" tint="-0.14996795556505021"/>
      </right>
      <top style="hair">
        <color theme="0" tint="-0.14996795556505021"/>
      </top>
      <bottom/>
      <diagonal/>
    </border>
    <border>
      <left style="hair">
        <color theme="0" tint="-0.14996795556505021"/>
      </left>
      <right style="hair">
        <color theme="0" tint="-0.14996795556505021"/>
      </right>
      <top style="medium">
        <color theme="0" tint="-0.24994659260841701"/>
      </top>
      <bottom style="hair">
        <color theme="0" tint="-0.14996795556505021"/>
      </bottom>
      <diagonal/>
    </border>
    <border>
      <left/>
      <right/>
      <top style="thin">
        <color theme="0" tint="-0.14996795556505021"/>
      </top>
      <bottom style="thin">
        <color theme="0" tint="-0.14996795556505021"/>
      </bottom>
      <diagonal/>
    </border>
    <border>
      <left style="hair">
        <color theme="0" tint="-0.14996795556505021"/>
      </left>
      <right/>
      <top style="hair">
        <color theme="0" tint="-0.14996795556505021"/>
      </top>
      <bottom style="hair">
        <color theme="0" tint="-0.14996795556505021"/>
      </bottom>
      <diagonal/>
    </border>
    <border>
      <left/>
      <right/>
      <top style="hair">
        <color theme="0" tint="-0.14996795556505021"/>
      </top>
      <bottom style="hair">
        <color theme="0" tint="-0.14996795556505021"/>
      </bottom>
      <diagonal/>
    </border>
    <border>
      <left/>
      <right style="hair">
        <color theme="0" tint="-0.14996795556505021"/>
      </right>
      <top style="hair">
        <color theme="0" tint="-0.14996795556505021"/>
      </top>
      <bottom style="hair">
        <color theme="0" tint="-0.14996795556505021"/>
      </bottom>
      <diagonal/>
    </border>
    <border>
      <left style="thin">
        <color theme="0" tint="-0.14993743705557422"/>
      </left>
      <right style="thin">
        <color theme="0" tint="-0.14993743705557422"/>
      </right>
      <top style="thin">
        <color theme="0" tint="-0.14993743705557422"/>
      </top>
      <bottom style="medium">
        <color theme="0" tint="-0.24994659260841701"/>
      </bottom>
      <diagonal/>
    </border>
    <border>
      <left style="thin">
        <color theme="0" tint="-0.14993743705557422"/>
      </left>
      <right style="thin">
        <color theme="0" tint="-0.14993743705557422"/>
      </right>
      <top style="thin">
        <color theme="0" tint="-0.14993743705557422"/>
      </top>
      <bottom style="thin">
        <color theme="0" tint="-0.14993743705557422"/>
      </bottom>
      <diagonal/>
    </border>
    <border>
      <left style="thin">
        <color theme="0" tint="-0.14993743705557422"/>
      </left>
      <right style="thin">
        <color theme="0" tint="-0.14993743705557422"/>
      </right>
      <top style="medium">
        <color theme="0" tint="-0.24994659260841701"/>
      </top>
      <bottom style="thin">
        <color theme="0" tint="-0.14993743705557422"/>
      </bottom>
      <diagonal/>
    </border>
    <border>
      <left style="thin">
        <color theme="0" tint="-0.14996795556505021"/>
      </left>
      <right style="thin">
        <color theme="0" tint="-0.14996795556505021"/>
      </right>
      <top style="thin">
        <color theme="0" tint="-0.14996795556505021"/>
      </top>
      <bottom style="thin">
        <color theme="0" tint="-0.14996795556505021"/>
      </bottom>
      <diagonal/>
    </border>
    <border>
      <left style="thin">
        <color theme="0" tint="-0.14996795556505021"/>
      </left>
      <right/>
      <top style="thin">
        <color theme="0" tint="-0.14996795556505021"/>
      </top>
      <bottom style="thin">
        <color theme="0" tint="-0.14996795556505021"/>
      </bottom>
      <diagonal/>
    </border>
    <border>
      <left/>
      <right style="thin">
        <color theme="0" tint="-0.14996795556505021"/>
      </right>
      <top style="thin">
        <color theme="0" tint="-0.14996795556505021"/>
      </top>
      <bottom style="thin">
        <color theme="0" tint="-0.14996795556505021"/>
      </bottom>
      <diagonal/>
    </border>
    <border>
      <left style="thin">
        <color theme="0" tint="-0.14996795556505021"/>
      </left>
      <right/>
      <top style="thin">
        <color theme="0" tint="-0.14996795556505021"/>
      </top>
      <bottom/>
      <diagonal/>
    </border>
    <border>
      <left/>
      <right/>
      <top style="thin">
        <color theme="0" tint="-0.14996795556505021"/>
      </top>
      <bottom/>
      <diagonal/>
    </border>
    <border>
      <left/>
      <right style="thin">
        <color theme="0" tint="-0.14996795556505021"/>
      </right>
      <top style="thin">
        <color theme="0" tint="-0.14996795556505021"/>
      </top>
      <bottom/>
      <diagonal/>
    </border>
    <border>
      <left style="thin">
        <color theme="0" tint="-0.14996795556505021"/>
      </left>
      <right/>
      <top/>
      <bottom/>
      <diagonal/>
    </border>
    <border>
      <left/>
      <right style="thin">
        <color theme="0" tint="-0.14996795556505021"/>
      </right>
      <top/>
      <bottom/>
      <diagonal/>
    </border>
    <border>
      <left style="thin">
        <color theme="0" tint="-0.14996795556505021"/>
      </left>
      <right/>
      <top/>
      <bottom style="thin">
        <color theme="0" tint="-0.14996795556505021"/>
      </bottom>
      <diagonal/>
    </border>
    <border>
      <left/>
      <right/>
      <top/>
      <bottom style="thin">
        <color theme="0" tint="-0.14996795556505021"/>
      </bottom>
      <diagonal/>
    </border>
    <border>
      <left/>
      <right style="thin">
        <color theme="0" tint="-0.14996795556505021"/>
      </right>
      <top/>
      <bottom style="thin">
        <color theme="0" tint="-0.14996795556505021"/>
      </bottom>
      <diagonal/>
    </border>
    <border>
      <left style="thin">
        <color theme="0" tint="-0.14996795556505021"/>
      </left>
      <right style="thin">
        <color theme="0" tint="-0.14996795556505021"/>
      </right>
      <top style="thin">
        <color theme="0" tint="-0.14996795556505021"/>
      </top>
      <bottom style="medium">
        <color theme="0" tint="-0.24994659260841701"/>
      </bottom>
      <diagonal/>
    </border>
    <border>
      <left style="thin">
        <color theme="0" tint="-0.14996795556505021"/>
      </left>
      <right style="thin">
        <color theme="0" tint="-0.14996795556505021"/>
      </right>
      <top/>
      <bottom style="thin">
        <color theme="0" tint="-0.14996795556505021"/>
      </bottom>
      <diagonal/>
    </border>
    <border>
      <left style="thin">
        <color theme="0" tint="-0.14996795556505021"/>
      </left>
      <right style="thin">
        <color theme="0" tint="-0.14996795556505021"/>
      </right>
      <top style="thin">
        <color theme="0" tint="-0.14996795556505021"/>
      </top>
      <bottom/>
      <diagonal/>
    </border>
    <border>
      <left style="thin">
        <color theme="0" tint="-0.14996795556505021"/>
      </left>
      <right style="thin">
        <color theme="0" tint="-0.14996795556505021"/>
      </right>
      <top/>
      <bottom/>
      <diagonal/>
    </border>
    <border>
      <left style="thin">
        <color theme="0" tint="-0.14996795556505021"/>
      </left>
      <right style="thin">
        <color theme="0" tint="-0.14996795556505021"/>
      </right>
      <top style="medium">
        <color theme="0" tint="-0.24994659260841701"/>
      </top>
      <bottom style="thin">
        <color theme="0" tint="-0.14996795556505021"/>
      </bottom>
      <diagonal/>
    </border>
    <border>
      <left style="thin">
        <color theme="0" tint="-0.14996795556505021"/>
      </left>
      <right style="thin">
        <color theme="0" tint="-0.14996795556505021"/>
      </right>
      <top/>
      <bottom style="thin">
        <color auto="1"/>
      </bottom>
      <diagonal/>
    </border>
    <border>
      <left style="thin">
        <color theme="0" tint="-0.14993743705557422"/>
      </left>
      <right/>
      <top style="thin">
        <color theme="0" tint="-0.14993743705557422"/>
      </top>
      <bottom style="thin">
        <color theme="0" tint="-0.14993743705557422"/>
      </bottom>
      <diagonal/>
    </border>
    <border>
      <left/>
      <right/>
      <top style="thin">
        <color theme="0" tint="-0.14993743705557422"/>
      </top>
      <bottom style="thin">
        <color theme="0" tint="-0.14993743705557422"/>
      </bottom>
      <diagonal/>
    </border>
    <border>
      <left/>
      <right style="thin">
        <color theme="0" tint="-0.14993743705557422"/>
      </right>
      <top style="thin">
        <color theme="0" tint="-0.14993743705557422"/>
      </top>
      <bottom style="thin">
        <color theme="0" tint="-0.14993743705557422"/>
      </bottom>
      <diagonal/>
    </border>
    <border>
      <left style="thin">
        <color theme="0" tint="-0.24994659260841701"/>
      </left>
      <right/>
      <top style="thin">
        <color theme="0" tint="-0.14993743705557422"/>
      </top>
      <bottom style="thin">
        <color theme="0" tint="-0.14993743705557422"/>
      </bottom>
      <diagonal/>
    </border>
    <border>
      <left/>
      <right style="thin">
        <color theme="0" tint="-0.24994659260841701"/>
      </right>
      <top style="thin">
        <color theme="0" tint="-0.14993743705557422"/>
      </top>
      <bottom style="thin">
        <color theme="0" tint="-0.14993743705557422"/>
      </bottom>
      <diagonal/>
    </border>
    <border>
      <left style="thin">
        <color theme="0" tint="-0.24994659260841701"/>
      </left>
      <right style="thin">
        <color theme="0" tint="-0.14993743705557422"/>
      </right>
      <top style="thin">
        <color theme="0" tint="-0.14993743705557422"/>
      </top>
      <bottom style="thin">
        <color theme="0" tint="-0.14993743705557422"/>
      </bottom>
      <diagonal/>
    </border>
    <border>
      <left style="thin">
        <color theme="0" tint="-0.14993743705557422"/>
      </left>
      <right style="thin">
        <color theme="0" tint="-0.24994659260841701"/>
      </right>
      <top style="thin">
        <color theme="0" tint="-0.14993743705557422"/>
      </top>
      <bottom style="thin">
        <color theme="0" tint="-0.14993743705557422"/>
      </bottom>
      <diagonal/>
    </border>
    <border>
      <left style="thin">
        <color theme="0" tint="-0.24994659260841701"/>
      </left>
      <right style="thin">
        <color theme="0" tint="-0.14996795556505021"/>
      </right>
      <top style="thin">
        <color theme="0" tint="-0.14996795556505021"/>
      </top>
      <bottom style="thin">
        <color theme="0" tint="-0.14996795556505021"/>
      </bottom>
      <diagonal/>
    </border>
    <border>
      <left style="thin">
        <color theme="0" tint="-0.14996795556505021"/>
      </left>
      <right style="thin">
        <color theme="0" tint="-0.24994659260841701"/>
      </right>
      <top style="thin">
        <color theme="0" tint="-0.14996795556505021"/>
      </top>
      <bottom style="thin">
        <color theme="0" tint="-0.14996795556505021"/>
      </bottom>
      <diagonal/>
    </border>
    <border>
      <left style="thin">
        <color theme="0" tint="-0.24994659260841701"/>
      </left>
      <right/>
      <top style="thin">
        <color theme="0" tint="-0.14996795556505021"/>
      </top>
      <bottom style="thin">
        <color theme="0" tint="-0.14996795556505021"/>
      </bottom>
      <diagonal/>
    </border>
    <border>
      <left/>
      <right style="thin">
        <color theme="0" tint="-0.24994659260841701"/>
      </right>
      <top style="thin">
        <color theme="0" tint="-0.14996795556505021"/>
      </top>
      <bottom style="thin">
        <color theme="0" tint="-0.14996795556505021"/>
      </bottom>
      <diagonal/>
    </border>
    <border>
      <left/>
      <right/>
      <top style="thin">
        <color theme="0" tint="-0.24994659260841701"/>
      </top>
      <bottom style="thin">
        <color theme="0" tint="-0.24994659260841701"/>
      </bottom>
      <diagonal/>
    </border>
    <border>
      <left/>
      <right/>
      <top style="thin">
        <color theme="0" tint="-0.24994659260841701"/>
      </top>
      <bottom/>
      <diagonal/>
    </border>
  </borders>
  <cellStyleXfs count="11">
    <xf numFmtId="0" fontId="0" fillId="0" borderId="0" applyNumberFormat="0" applyFill="0" applyBorder="0" applyAlignment="0" applyProtection="0"/>
    <xf numFmtId="0" fontId="14" fillId="4" borderId="3" applyNumberFormat="0" applyBorder="0" applyAlignment="0" applyProtection="0"/>
    <xf numFmtId="43" fontId="1" fillId="0" borderId="0" applyFont="0" applyFill="0" applyBorder="0" applyAlignment="0" applyProtection="0"/>
    <xf numFmtId="0" fontId="15" fillId="0" borderId="0" applyNumberFormat="0" applyFill="0" applyBorder="0" applyAlignment="0" applyProtection="0">
      <alignment vertical="top"/>
      <protection locked="0"/>
    </xf>
    <xf numFmtId="0" fontId="64" fillId="0" borderId="4" applyNumberFormat="0" applyFill="0" applyBorder="0" applyAlignment="0" applyProtection="0"/>
    <xf numFmtId="0" fontId="65" fillId="0" borderId="5" applyNumberFormat="0" applyFill="0" applyBorder="0" applyAlignment="0" applyProtection="0"/>
    <xf numFmtId="0" fontId="43" fillId="0" borderId="6" applyNumberFormat="0" applyFill="0" applyBorder="0" applyProtection="0">
      <alignment horizontal="left" vertical="center"/>
    </xf>
    <xf numFmtId="0" fontId="45" fillId="0" borderId="0" applyNumberFormat="0" applyFill="0" applyBorder="0" applyAlignment="0" applyProtection="0">
      <alignment vertical="top"/>
      <protection locked="0"/>
    </xf>
    <xf numFmtId="0" fontId="17" fillId="5" borderId="3" applyNumberFormat="0" applyAlignment="0" applyProtection="0"/>
    <xf numFmtId="0" fontId="10" fillId="0" borderId="0"/>
    <xf numFmtId="0" fontId="25" fillId="7" borderId="7" applyNumberFormat="0" applyFont="0" applyBorder="0" applyAlignment="0" applyProtection="0">
      <alignment horizontal="center" vertical="center"/>
    </xf>
  </cellStyleXfs>
  <cellXfs count="459">
    <xf numFmtId="0" fontId="0" fillId="0" borderId="0" xfId="0"/>
    <xf numFmtId="0" fontId="0" fillId="0" borderId="0" xfId="0" applyAlignment="1">
      <alignment horizontal="center" vertical="center"/>
    </xf>
    <xf numFmtId="49" fontId="7" fillId="0" borderId="0" xfId="0" applyNumberFormat="1" applyFont="1"/>
    <xf numFmtId="0" fontId="0" fillId="0" borderId="0" xfId="0" applyAlignment="1">
      <alignment vertical="center"/>
    </xf>
    <xf numFmtId="168" fontId="0" fillId="0" borderId="0" xfId="0" applyNumberFormat="1"/>
    <xf numFmtId="0" fontId="10" fillId="0" borderId="0" xfId="9"/>
    <xf numFmtId="0" fontId="0" fillId="0" borderId="0" xfId="0" applyAlignment="1">
      <alignment horizontal="left"/>
    </xf>
    <xf numFmtId="3" fontId="0" fillId="0" borderId="0" xfId="0" applyNumberFormat="1" applyAlignment="1">
      <alignment horizontal="left"/>
    </xf>
    <xf numFmtId="164" fontId="0" fillId="0" borderId="0" xfId="0" applyNumberFormat="1" applyAlignment="1">
      <alignment horizontal="left"/>
    </xf>
    <xf numFmtId="0" fontId="4" fillId="0" borderId="0" xfId="0" applyFont="1" applyAlignment="1">
      <alignment horizontal="left" vertical="top" wrapText="1"/>
    </xf>
    <xf numFmtId="0" fontId="45" fillId="0" borderId="0" xfId="7" applyAlignment="1" applyProtection="1"/>
    <xf numFmtId="0" fontId="0" fillId="0" borderId="0" xfId="0" applyAlignment="1">
      <alignment horizontal="left" wrapText="1"/>
    </xf>
    <xf numFmtId="167" fontId="0" fillId="0" borderId="0" xfId="0" applyNumberFormat="1" applyAlignment="1">
      <alignment horizontal="left" wrapText="1"/>
    </xf>
    <xf numFmtId="0" fontId="2" fillId="0" borderId="0" xfId="0" applyFont="1" applyAlignment="1">
      <alignment horizontal="center" vertical="center"/>
    </xf>
    <xf numFmtId="0" fontId="13" fillId="0" borderId="0" xfId="0" applyFont="1" applyAlignment="1">
      <alignment horizontal="center" vertical="center"/>
    </xf>
    <xf numFmtId="49" fontId="9" fillId="0" borderId="0" xfId="0" applyNumberFormat="1" applyFont="1" applyAlignment="1">
      <alignment horizontal="center" vertical="center" wrapText="1"/>
    </xf>
    <xf numFmtId="49" fontId="5" fillId="0" borderId="0" xfId="0" applyNumberFormat="1" applyFont="1" applyAlignment="1">
      <alignment horizontal="center" vertical="center" wrapText="1"/>
    </xf>
    <xf numFmtId="0" fontId="11" fillId="0" borderId="0" xfId="0" applyFont="1" applyAlignment="1">
      <alignment horizontal="center" vertical="center"/>
    </xf>
    <xf numFmtId="0" fontId="5" fillId="0" borderId="0" xfId="0" applyFont="1" applyAlignment="1">
      <alignment horizontal="center" vertical="center"/>
    </xf>
    <xf numFmtId="0" fontId="12" fillId="0" borderId="0" xfId="0" applyFont="1" applyAlignment="1">
      <alignment horizontal="center" vertical="center"/>
    </xf>
    <xf numFmtId="0" fontId="6" fillId="0" borderId="0" xfId="0" applyFont="1" applyAlignment="1">
      <alignment horizontal="center"/>
    </xf>
    <xf numFmtId="168" fontId="6" fillId="0" borderId="0" xfId="0" applyNumberFormat="1" applyFont="1" applyAlignment="1">
      <alignment horizontal="center"/>
    </xf>
    <xf numFmtId="1" fontId="6" fillId="0" borderId="0" xfId="0" applyNumberFormat="1" applyFont="1" applyAlignment="1">
      <alignment horizontal="center"/>
    </xf>
    <xf numFmtId="0" fontId="6" fillId="0" borderId="0" xfId="0" applyFont="1" applyAlignment="1">
      <alignment horizontal="center" vertical="center"/>
    </xf>
    <xf numFmtId="169" fontId="0" fillId="0" borderId="0" xfId="0" applyNumberFormat="1"/>
    <xf numFmtId="164" fontId="0" fillId="0" borderId="0" xfId="0" applyNumberFormat="1"/>
    <xf numFmtId="0" fontId="0" fillId="0" borderId="0" xfId="0" applyAlignment="1" applyProtection="1">
      <alignment horizontal="left"/>
      <protection locked="0"/>
    </xf>
    <xf numFmtId="0" fontId="0" fillId="0" borderId="0" xfId="0" applyAlignment="1">
      <alignment wrapText="1"/>
    </xf>
    <xf numFmtId="0" fontId="19" fillId="0" borderId="0" xfId="9" applyFont="1"/>
    <xf numFmtId="0" fontId="0" fillId="0" borderId="0" xfId="0" applyAlignment="1" applyProtection="1">
      <alignment vertical="center"/>
      <protection locked="0"/>
    </xf>
    <xf numFmtId="0" fontId="0" fillId="0" borderId="0" xfId="0" applyAlignment="1">
      <alignment horizontal="left" vertical="center"/>
    </xf>
    <xf numFmtId="0" fontId="0" fillId="0" borderId="0" xfId="0" quotePrefix="1"/>
    <xf numFmtId="0" fontId="0" fillId="0" borderId="2" xfId="0" applyBorder="1"/>
    <xf numFmtId="0" fontId="4" fillId="0" borderId="0" xfId="0" applyFont="1" applyAlignment="1">
      <alignment horizontal="left"/>
    </xf>
    <xf numFmtId="0" fontId="18" fillId="0" borderId="0" xfId="0" applyFont="1" applyAlignment="1">
      <alignment horizontal="left"/>
    </xf>
    <xf numFmtId="0" fontId="65" fillId="0" borderId="0" xfId="5" applyBorder="1" applyAlignment="1">
      <alignment vertical="center"/>
    </xf>
    <xf numFmtId="0" fontId="0" fillId="0" borderId="0" xfId="0" applyProtection="1">
      <protection locked="0"/>
    </xf>
    <xf numFmtId="0" fontId="18" fillId="0" borderId="0" xfId="0" applyFont="1" applyAlignment="1">
      <alignment horizontal="right" vertical="center"/>
    </xf>
    <xf numFmtId="0" fontId="22" fillId="0" borderId="0" xfId="0" applyFont="1" applyAlignment="1" applyProtection="1">
      <alignment horizontal="center" vertical="center"/>
      <protection locked="0"/>
    </xf>
    <xf numFmtId="0" fontId="20" fillId="0" borderId="0" xfId="0" applyFont="1" applyAlignment="1">
      <alignment horizontal="center"/>
    </xf>
    <xf numFmtId="0" fontId="23" fillId="0" borderId="0" xfId="0" applyFont="1" applyAlignment="1">
      <alignment vertical="center" wrapText="1"/>
    </xf>
    <xf numFmtId="0" fontId="36" fillId="0" borderId="0" xfId="9" applyFont="1"/>
    <xf numFmtId="0" fontId="39" fillId="0" borderId="0" xfId="0" applyFont="1" applyAlignment="1">
      <alignment horizontal="left" vertical="top"/>
    </xf>
    <xf numFmtId="0" fontId="39" fillId="0" borderId="0" xfId="0" applyFont="1" applyAlignment="1">
      <alignment horizontal="left" vertical="top" wrapText="1"/>
    </xf>
    <xf numFmtId="0" fontId="27" fillId="0" borderId="0" xfId="0" applyFont="1"/>
    <xf numFmtId="0" fontId="42" fillId="0" borderId="0" xfId="0" applyFont="1" applyAlignment="1">
      <alignment wrapText="1"/>
    </xf>
    <xf numFmtId="0" fontId="21" fillId="0" borderId="0" xfId="0" applyFont="1" applyAlignment="1">
      <alignment horizontal="right" vertical="top"/>
    </xf>
    <xf numFmtId="0" fontId="38" fillId="0" borderId="0" xfId="0" applyFont="1" applyAlignment="1">
      <alignment horizontal="left" vertical="top" wrapText="1"/>
    </xf>
    <xf numFmtId="0" fontId="38" fillId="0" borderId="0" xfId="0" applyFont="1"/>
    <xf numFmtId="0" fontId="38" fillId="0" borderId="0" xfId="0" applyFont="1" applyAlignment="1">
      <alignment wrapText="1"/>
    </xf>
    <xf numFmtId="0" fontId="45" fillId="0" borderId="0" xfId="7" applyAlignment="1" applyProtection="1">
      <alignment horizontal="left" indent="1"/>
    </xf>
    <xf numFmtId="0" fontId="46" fillId="0" borderId="0" xfId="0" applyFont="1" applyAlignment="1">
      <alignment horizontal="left"/>
    </xf>
    <xf numFmtId="0" fontId="47" fillId="0" borderId="0" xfId="0" applyFont="1" applyAlignment="1">
      <alignment wrapText="1"/>
    </xf>
    <xf numFmtId="0" fontId="38" fillId="0" borderId="0" xfId="0" applyFont="1" applyAlignment="1">
      <alignment vertical="top"/>
    </xf>
    <xf numFmtId="0" fontId="42" fillId="0" borderId="0" xfId="0" applyFont="1"/>
    <xf numFmtId="0" fontId="48" fillId="0" borderId="0" xfId="0" applyFont="1"/>
    <xf numFmtId="0" fontId="0" fillId="0" borderId="8" xfId="0" applyBorder="1" applyAlignment="1">
      <alignment horizontal="left" vertical="center"/>
    </xf>
    <xf numFmtId="173" fontId="18" fillId="0" borderId="8" xfId="0" applyNumberFormat="1" applyFont="1" applyBorder="1"/>
    <xf numFmtId="172" fontId="14" fillId="4" borderId="8" xfId="1" applyNumberFormat="1" applyBorder="1" applyAlignment="1">
      <alignment horizontal="center"/>
    </xf>
    <xf numFmtId="0" fontId="14" fillId="4" borderId="12" xfId="1" applyBorder="1" applyAlignment="1">
      <alignment horizontal="right"/>
    </xf>
    <xf numFmtId="0" fontId="18" fillId="0" borderId="12" xfId="0" applyFont="1" applyBorder="1" applyAlignment="1">
      <alignment horizontal="center"/>
    </xf>
    <xf numFmtId="0" fontId="0" fillId="0" borderId="12" xfId="0" applyBorder="1"/>
    <xf numFmtId="0" fontId="14" fillId="4" borderId="12" xfId="1" applyBorder="1"/>
    <xf numFmtId="164" fontId="14" fillId="4" borderId="12" xfId="1" applyNumberFormat="1" applyBorder="1"/>
    <xf numFmtId="164" fontId="14" fillId="4" borderId="12" xfId="1" applyNumberFormat="1" applyBorder="1" applyAlignment="1">
      <alignment horizontal="right"/>
    </xf>
    <xf numFmtId="164" fontId="14" fillId="4" borderId="12" xfId="1" applyNumberFormat="1" applyBorder="1" applyAlignment="1">
      <alignment horizontal="left"/>
    </xf>
    <xf numFmtId="1" fontId="14" fillId="4" borderId="12" xfId="1" applyNumberFormat="1" applyBorder="1"/>
    <xf numFmtId="0" fontId="40" fillId="0" borderId="12" xfId="0" applyFont="1" applyBorder="1"/>
    <xf numFmtId="0" fontId="18" fillId="0" borderId="12" xfId="0" applyFont="1" applyBorder="1"/>
    <xf numFmtId="0" fontId="65" fillId="11" borderId="0" xfId="5" applyFill="1" applyBorder="1" applyAlignment="1">
      <alignment vertical="center"/>
    </xf>
    <xf numFmtId="0" fontId="0" fillId="11" borderId="0" xfId="0" applyFill="1"/>
    <xf numFmtId="0" fontId="0" fillId="11" borderId="0" xfId="0" applyFill="1" applyAlignment="1">
      <alignment horizontal="left" vertical="center"/>
    </xf>
    <xf numFmtId="0" fontId="0" fillId="11" borderId="0" xfId="0" applyFill="1" applyAlignment="1">
      <alignment vertical="center"/>
    </xf>
    <xf numFmtId="0" fontId="28" fillId="0" borderId="10" xfId="0" applyFont="1" applyBorder="1" applyAlignment="1">
      <alignment horizontal="center" vertical="center"/>
    </xf>
    <xf numFmtId="0" fontId="28" fillId="0" borderId="10" xfId="0" applyFont="1" applyBorder="1" applyAlignment="1">
      <alignment horizontal="center" vertical="center" wrapText="1"/>
    </xf>
    <xf numFmtId="49" fontId="26" fillId="6" borderId="19" xfId="0" applyNumberFormat="1" applyFont="1" applyFill="1" applyBorder="1" applyAlignment="1">
      <alignment horizontal="right" vertical="center"/>
    </xf>
    <xf numFmtId="0" fontId="31" fillId="0" borderId="19" xfId="0" applyFont="1" applyBorder="1" applyAlignment="1" applyProtection="1">
      <alignment horizontal="left" vertical="center" wrapText="1"/>
      <protection locked="0"/>
    </xf>
    <xf numFmtId="49" fontId="26" fillId="0" borderId="19" xfId="0" applyNumberFormat="1" applyFont="1" applyBorder="1" applyAlignment="1">
      <alignment horizontal="right"/>
    </xf>
    <xf numFmtId="49" fontId="34" fillId="6" borderId="19" xfId="0" applyNumberFormat="1" applyFont="1" applyFill="1" applyBorder="1" applyAlignment="1">
      <alignment horizontal="center"/>
    </xf>
    <xf numFmtId="1" fontId="21" fillId="0" borderId="19" xfId="0" applyNumberFormat="1" applyFont="1" applyBorder="1" applyAlignment="1" applyProtection="1">
      <alignment horizontal="center" vertical="center"/>
      <protection locked="0"/>
    </xf>
    <xf numFmtId="49" fontId="30" fillId="0" borderId="19" xfId="0" applyNumberFormat="1" applyFont="1" applyBorder="1"/>
    <xf numFmtId="49" fontId="34" fillId="6" borderId="19" xfId="0" applyNumberFormat="1" applyFont="1" applyFill="1" applyBorder="1" applyAlignment="1">
      <alignment horizontal="right" vertical="center" wrapText="1"/>
    </xf>
    <xf numFmtId="49" fontId="49" fillId="11" borderId="19" xfId="0" applyNumberFormat="1" applyFont="1" applyFill="1" applyBorder="1" applyAlignment="1">
      <alignment vertical="center"/>
    </xf>
    <xf numFmtId="37" fontId="49" fillId="11" borderId="19" xfId="2" applyNumberFormat="1" applyFont="1" applyFill="1" applyBorder="1" applyAlignment="1">
      <alignment horizontal="center" vertical="center"/>
    </xf>
    <xf numFmtId="49" fontId="52" fillId="11" borderId="19" xfId="6" applyNumberFormat="1" applyFont="1" applyFill="1" applyBorder="1" applyAlignment="1">
      <alignment horizontal="center" vertical="center"/>
    </xf>
    <xf numFmtId="49" fontId="50" fillId="0" borderId="19" xfId="6" applyNumberFormat="1" applyFont="1" applyBorder="1">
      <alignment horizontal="left" vertical="center"/>
    </xf>
    <xf numFmtId="49" fontId="50" fillId="0" borderId="20" xfId="6" applyNumberFormat="1" applyFont="1" applyBorder="1">
      <alignment horizontal="left" vertical="center"/>
    </xf>
    <xf numFmtId="49" fontId="50" fillId="0" borderId="12" xfId="6" applyNumberFormat="1" applyFont="1" applyBorder="1">
      <alignment horizontal="left" vertical="center"/>
    </xf>
    <xf numFmtId="49" fontId="50" fillId="0" borderId="21" xfId="6" applyNumberFormat="1" applyFont="1" applyBorder="1">
      <alignment horizontal="left" vertical="center"/>
    </xf>
    <xf numFmtId="49" fontId="52" fillId="0" borderId="19" xfId="6" applyNumberFormat="1" applyFont="1" applyBorder="1">
      <alignment horizontal="left" vertical="center"/>
    </xf>
    <xf numFmtId="49" fontId="49" fillId="0" borderId="19" xfId="0" applyNumberFormat="1" applyFont="1" applyBorder="1" applyAlignment="1">
      <alignment horizontal="center"/>
    </xf>
    <xf numFmtId="49" fontId="30" fillId="0" borderId="19" xfId="0" applyNumberFormat="1" applyFont="1" applyBorder="1" applyAlignment="1">
      <alignment horizontal="right"/>
    </xf>
    <xf numFmtId="49" fontId="8" fillId="11" borderId="22" xfId="0" applyNumberFormat="1" applyFont="1" applyFill="1" applyBorder="1"/>
    <xf numFmtId="49" fontId="8" fillId="11" borderId="23" xfId="0" applyNumberFormat="1" applyFont="1" applyFill="1" applyBorder="1"/>
    <xf numFmtId="49" fontId="8" fillId="11" borderId="23" xfId="0" applyNumberFormat="1" applyFont="1" applyFill="1" applyBorder="1" applyProtection="1">
      <protection locked="0"/>
    </xf>
    <xf numFmtId="49" fontId="8" fillId="11" borderId="24" xfId="0" applyNumberFormat="1" applyFont="1" applyFill="1" applyBorder="1"/>
    <xf numFmtId="49" fontId="8" fillId="11" borderId="25" xfId="0" applyNumberFormat="1" applyFont="1" applyFill="1" applyBorder="1"/>
    <xf numFmtId="49" fontId="8" fillId="11" borderId="0" xfId="0" applyNumberFormat="1" applyFont="1" applyFill="1"/>
    <xf numFmtId="49" fontId="8" fillId="11" borderId="26" xfId="0" applyNumberFormat="1" applyFont="1" applyFill="1" applyBorder="1"/>
    <xf numFmtId="49" fontId="8" fillId="11" borderId="0" xfId="0" applyNumberFormat="1" applyFont="1" applyFill="1" applyAlignment="1">
      <alignment horizontal="centerContinuous"/>
    </xf>
    <xf numFmtId="49" fontId="8" fillId="11" borderId="26" xfId="0" applyNumberFormat="1" applyFont="1" applyFill="1" applyBorder="1" applyAlignment="1">
      <alignment horizontal="centerContinuous"/>
    </xf>
    <xf numFmtId="49" fontId="8" fillId="11" borderId="27" xfId="0" applyNumberFormat="1" applyFont="1" applyFill="1" applyBorder="1"/>
    <xf numFmtId="49" fontId="8" fillId="11" borderId="28" xfId="0" applyNumberFormat="1" applyFont="1" applyFill="1" applyBorder="1"/>
    <xf numFmtId="49" fontId="6" fillId="11" borderId="28" xfId="0" applyNumberFormat="1" applyFont="1" applyFill="1" applyBorder="1"/>
    <xf numFmtId="49" fontId="8" fillId="11" borderId="29" xfId="0" applyNumberFormat="1" applyFont="1" applyFill="1" applyBorder="1"/>
    <xf numFmtId="0" fontId="3" fillId="0" borderId="32" xfId="0" applyFont="1" applyBorder="1" applyAlignment="1">
      <alignment horizontal="center"/>
    </xf>
    <xf numFmtId="0" fontId="3" fillId="0" borderId="33" xfId="0" applyFont="1" applyBorder="1" applyAlignment="1">
      <alignment horizontal="center"/>
    </xf>
    <xf numFmtId="0" fontId="7" fillId="0" borderId="33" xfId="0" applyFont="1" applyBorder="1" applyAlignment="1">
      <alignment horizontal="left" vertical="center" wrapText="1"/>
    </xf>
    <xf numFmtId="0" fontId="4" fillId="2" borderId="33" xfId="0" applyFont="1" applyFill="1" applyBorder="1" applyAlignment="1">
      <alignment horizontal="center" vertical="center"/>
    </xf>
    <xf numFmtId="0" fontId="0" fillId="2" borderId="33" xfId="0" applyFill="1" applyBorder="1" applyAlignment="1">
      <alignment horizontal="center" vertical="center"/>
    </xf>
    <xf numFmtId="0" fontId="53" fillId="8" borderId="32" xfId="0" applyFont="1" applyFill="1" applyBorder="1" applyAlignment="1">
      <alignment horizontal="right" vertical="center"/>
    </xf>
    <xf numFmtId="164" fontId="4" fillId="0" borderId="19" xfId="0" applyNumberFormat="1" applyFont="1" applyBorder="1" applyAlignment="1">
      <alignment vertical="center"/>
    </xf>
    <xf numFmtId="0" fontId="0" fillId="2" borderId="19" xfId="0" applyFill="1" applyBorder="1"/>
    <xf numFmtId="0" fontId="54" fillId="10" borderId="20" xfId="0" applyFont="1" applyFill="1" applyBorder="1" applyAlignment="1">
      <alignment horizontal="left" vertical="center" indent="3"/>
    </xf>
    <xf numFmtId="0" fontId="55" fillId="10" borderId="12" xfId="0" applyFont="1" applyFill="1" applyBorder="1"/>
    <xf numFmtId="0" fontId="55" fillId="10" borderId="21" xfId="0" applyFont="1" applyFill="1" applyBorder="1"/>
    <xf numFmtId="0" fontId="0" fillId="0" borderId="19" xfId="0" applyBorder="1" applyAlignment="1">
      <alignment horizontal="center" vertical="center"/>
    </xf>
    <xf numFmtId="0" fontId="0" fillId="6" borderId="19" xfId="0" applyFill="1" applyBorder="1" applyAlignment="1">
      <alignment horizontal="center" vertical="center"/>
    </xf>
    <xf numFmtId="0" fontId="0" fillId="8" borderId="32" xfId="0" applyFill="1" applyBorder="1" applyAlignment="1">
      <alignment horizontal="center" vertical="center"/>
    </xf>
    <xf numFmtId="0" fontId="0" fillId="0" borderId="25" xfId="0" applyBorder="1" applyAlignment="1">
      <alignment horizontal="center" vertical="center"/>
    </xf>
    <xf numFmtId="0" fontId="56" fillId="10" borderId="19" xfId="0" applyFont="1" applyFill="1" applyBorder="1" applyAlignment="1">
      <alignment horizontal="center" vertical="center"/>
    </xf>
    <xf numFmtId="0" fontId="21" fillId="2" borderId="32" xfId="0" applyFont="1" applyFill="1" applyBorder="1" applyAlignment="1">
      <alignment horizontal="center" vertical="center"/>
    </xf>
    <xf numFmtId="0" fontId="26" fillId="2" borderId="32" xfId="0" applyFont="1" applyFill="1" applyBorder="1" applyAlignment="1">
      <alignment horizontal="center" vertical="center"/>
    </xf>
    <xf numFmtId="0" fontId="34" fillId="11" borderId="19" xfId="0" applyFont="1" applyFill="1" applyBorder="1" applyAlignment="1">
      <alignment horizontal="center" vertical="center"/>
    </xf>
    <xf numFmtId="0" fontId="21" fillId="2" borderId="33" xfId="0" applyFont="1" applyFill="1" applyBorder="1" applyAlignment="1">
      <alignment horizontal="center" vertical="center"/>
    </xf>
    <xf numFmtId="0" fontId="26" fillId="2" borderId="33" xfId="0" applyFont="1" applyFill="1" applyBorder="1" applyAlignment="1">
      <alignment horizontal="center" vertical="center"/>
    </xf>
    <xf numFmtId="0" fontId="45" fillId="2" borderId="19" xfId="0" applyFont="1" applyFill="1" applyBorder="1" applyAlignment="1" applyProtection="1">
      <alignment horizontal="center" vertical="center"/>
      <protection locked="0"/>
    </xf>
    <xf numFmtId="3" fontId="31" fillId="2" borderId="19" xfId="0" applyNumberFormat="1" applyFont="1" applyFill="1" applyBorder="1" applyAlignment="1" applyProtection="1">
      <alignment horizontal="center" vertical="center"/>
      <protection locked="0"/>
    </xf>
    <xf numFmtId="49" fontId="45" fillId="0" borderId="19" xfId="0" applyNumberFormat="1" applyFont="1" applyBorder="1" applyAlignment="1" applyProtection="1">
      <alignment horizontal="center" vertical="center"/>
      <protection locked="0"/>
    </xf>
    <xf numFmtId="0" fontId="26" fillId="11" borderId="19" xfId="0" applyFont="1" applyFill="1" applyBorder="1" applyAlignment="1">
      <alignment horizontal="center" vertical="center"/>
    </xf>
    <xf numFmtId="1" fontId="57" fillId="2" borderId="19" xfId="0" applyNumberFormat="1" applyFont="1" applyFill="1" applyBorder="1" applyAlignment="1">
      <alignment horizontal="center" vertical="center"/>
    </xf>
    <xf numFmtId="167" fontId="31" fillId="0" borderId="19" xfId="0" applyNumberFormat="1" applyFont="1" applyBorder="1" applyAlignment="1" applyProtection="1">
      <alignment horizontal="center" vertical="center"/>
      <protection locked="0"/>
    </xf>
    <xf numFmtId="168" fontId="29" fillId="0" borderId="19" xfId="0" applyNumberFormat="1" applyFont="1" applyBorder="1" applyAlignment="1" applyProtection="1">
      <alignment horizontal="center" vertical="center"/>
      <protection locked="0"/>
    </xf>
    <xf numFmtId="0" fontId="29" fillId="0" borderId="19" xfId="0" applyFont="1" applyBorder="1" applyAlignment="1" applyProtection="1">
      <alignment horizontal="center" vertical="center"/>
      <protection locked="0"/>
    </xf>
    <xf numFmtId="0" fontId="34" fillId="0" borderId="33" xfId="0" applyFont="1" applyBorder="1" applyAlignment="1">
      <alignment horizontal="center" vertical="center"/>
    </xf>
    <xf numFmtId="170" fontId="29" fillId="0" borderId="19" xfId="0" applyNumberFormat="1" applyFont="1" applyBorder="1" applyAlignment="1" applyProtection="1">
      <alignment horizontal="center" vertical="center"/>
      <protection locked="0"/>
    </xf>
    <xf numFmtId="170" fontId="34" fillId="0" borderId="19" xfId="0" applyNumberFormat="1" applyFont="1" applyBorder="1" applyAlignment="1">
      <alignment horizontal="center" vertical="center"/>
    </xf>
    <xf numFmtId="164" fontId="29" fillId="0" borderId="19" xfId="0" applyNumberFormat="1" applyFont="1" applyBorder="1" applyAlignment="1" applyProtection="1">
      <alignment horizontal="center" vertical="center"/>
      <protection locked="0"/>
    </xf>
    <xf numFmtId="1" fontId="34" fillId="0" borderId="19" xfId="0" applyNumberFormat="1" applyFont="1" applyBorder="1" applyAlignment="1">
      <alignment horizontal="center" vertical="center"/>
    </xf>
    <xf numFmtId="164" fontId="34" fillId="0" borderId="19" xfId="0" applyNumberFormat="1" applyFont="1" applyBorder="1" applyAlignment="1" applyProtection="1">
      <alignment horizontal="center" vertical="center"/>
      <protection locked="0"/>
    </xf>
    <xf numFmtId="20" fontId="34" fillId="0" borderId="19" xfId="0" applyNumberFormat="1" applyFont="1" applyBorder="1" applyAlignment="1">
      <alignment horizontal="center" vertical="center"/>
    </xf>
    <xf numFmtId="0" fontId="45" fillId="6" borderId="19" xfId="0" applyFont="1" applyFill="1" applyBorder="1" applyAlignment="1" applyProtection="1">
      <alignment horizontal="center" vertical="center"/>
      <protection locked="0"/>
    </xf>
    <xf numFmtId="171" fontId="34" fillId="0" borderId="19" xfId="0" applyNumberFormat="1" applyFont="1" applyBorder="1" applyAlignment="1">
      <alignment horizontal="center" vertical="center"/>
    </xf>
    <xf numFmtId="171" fontId="29" fillId="0" borderId="19" xfId="0" applyNumberFormat="1" applyFont="1" applyBorder="1" applyAlignment="1" applyProtection="1">
      <alignment horizontal="center" vertical="center"/>
      <protection locked="0"/>
    </xf>
    <xf numFmtId="164" fontId="34" fillId="0" borderId="19" xfId="0" applyNumberFormat="1" applyFont="1" applyBorder="1" applyAlignment="1">
      <alignment horizontal="center" vertical="center"/>
    </xf>
    <xf numFmtId="0" fontId="34" fillId="0" borderId="19" xfId="0" applyFont="1" applyBorder="1" applyAlignment="1" applyProtection="1">
      <alignment horizontal="center" vertical="center"/>
      <protection locked="0"/>
    </xf>
    <xf numFmtId="20" fontId="34" fillId="0" borderId="19" xfId="0" applyNumberFormat="1" applyFont="1" applyBorder="1" applyAlignment="1" applyProtection="1">
      <alignment horizontal="center" vertical="center"/>
      <protection locked="0"/>
    </xf>
    <xf numFmtId="167" fontId="31" fillId="6" borderId="19" xfId="0" applyNumberFormat="1" applyFont="1" applyFill="1" applyBorder="1" applyAlignment="1" applyProtection="1">
      <alignment horizontal="center" vertical="center"/>
      <protection locked="0"/>
    </xf>
    <xf numFmtId="168" fontId="29" fillId="6" borderId="19" xfId="0" applyNumberFormat="1" applyFont="1" applyFill="1" applyBorder="1" applyAlignment="1" applyProtection="1">
      <alignment horizontal="center" vertical="center"/>
      <protection locked="0"/>
    </xf>
    <xf numFmtId="0" fontId="29" fillId="6" borderId="19" xfId="0" applyFont="1" applyFill="1" applyBorder="1" applyAlignment="1" applyProtection="1">
      <alignment horizontal="center" vertical="center"/>
      <protection locked="0"/>
    </xf>
    <xf numFmtId="0" fontId="34" fillId="6" borderId="33" xfId="0" applyFont="1" applyFill="1" applyBorder="1" applyAlignment="1">
      <alignment horizontal="center" vertical="center"/>
    </xf>
    <xf numFmtId="170" fontId="29" fillId="6" borderId="19" xfId="0" applyNumberFormat="1" applyFont="1" applyFill="1" applyBorder="1" applyAlignment="1" applyProtection="1">
      <alignment horizontal="center" vertical="center"/>
      <protection locked="0"/>
    </xf>
    <xf numFmtId="170" fontId="34" fillId="6" borderId="19" xfId="0" applyNumberFormat="1" applyFont="1" applyFill="1" applyBorder="1" applyAlignment="1">
      <alignment horizontal="center" vertical="center"/>
    </xf>
    <xf numFmtId="164" fontId="29" fillId="6" borderId="19" xfId="0" applyNumberFormat="1" applyFont="1" applyFill="1" applyBorder="1" applyAlignment="1" applyProtection="1">
      <alignment horizontal="center" vertical="center"/>
      <protection locked="0"/>
    </xf>
    <xf numFmtId="1" fontId="34" fillId="6" borderId="19" xfId="0" applyNumberFormat="1" applyFont="1" applyFill="1" applyBorder="1" applyAlignment="1">
      <alignment horizontal="center" vertical="center"/>
    </xf>
    <xf numFmtId="164" fontId="34" fillId="6" borderId="19" xfId="0" applyNumberFormat="1" applyFont="1" applyFill="1" applyBorder="1" applyAlignment="1" applyProtection="1">
      <alignment horizontal="center" vertical="center"/>
      <protection locked="0"/>
    </xf>
    <xf numFmtId="20" fontId="34" fillId="6" borderId="19" xfId="0" applyNumberFormat="1" applyFont="1" applyFill="1" applyBorder="1" applyAlignment="1">
      <alignment horizontal="center" vertical="center"/>
    </xf>
    <xf numFmtId="0" fontId="45" fillId="0" borderId="19" xfId="0" applyFont="1" applyBorder="1" applyAlignment="1" applyProtection="1">
      <alignment horizontal="center" vertical="center"/>
      <protection locked="0"/>
    </xf>
    <xf numFmtId="171" fontId="34" fillId="6" borderId="19" xfId="0" applyNumberFormat="1" applyFont="1" applyFill="1" applyBorder="1" applyAlignment="1">
      <alignment horizontal="center" vertical="center"/>
    </xf>
    <xf numFmtId="171" fontId="29" fillId="6" borderId="19" xfId="0" applyNumberFormat="1" applyFont="1" applyFill="1" applyBorder="1" applyAlignment="1" applyProtection="1">
      <alignment horizontal="center" vertical="center"/>
      <protection locked="0"/>
    </xf>
    <xf numFmtId="164" fontId="34" fillId="6" borderId="19" xfId="0" applyNumberFormat="1" applyFont="1" applyFill="1" applyBorder="1" applyAlignment="1">
      <alignment horizontal="center" vertical="center"/>
    </xf>
    <xf numFmtId="0" fontId="34" fillId="6" borderId="19" xfId="0" applyFont="1" applyFill="1" applyBorder="1" applyAlignment="1" applyProtection="1">
      <alignment horizontal="center" vertical="center"/>
      <protection locked="0"/>
    </xf>
    <xf numFmtId="20" fontId="34" fillId="6" borderId="19" xfId="0" applyNumberFormat="1" applyFont="1" applyFill="1" applyBorder="1" applyAlignment="1" applyProtection="1">
      <alignment horizontal="center" vertical="center"/>
      <protection locked="0"/>
    </xf>
    <xf numFmtId="0" fontId="34" fillId="6" borderId="35" xfId="0" applyFont="1" applyFill="1" applyBorder="1" applyAlignment="1">
      <alignment horizontal="center" vertical="center"/>
    </xf>
    <xf numFmtId="167" fontId="31" fillId="0" borderId="32" xfId="0" applyNumberFormat="1" applyFont="1" applyBorder="1" applyAlignment="1" applyProtection="1">
      <alignment horizontal="center" vertical="center"/>
      <protection locked="0"/>
    </xf>
    <xf numFmtId="0" fontId="21" fillId="0" borderId="32" xfId="0" applyFont="1" applyBorder="1" applyAlignment="1">
      <alignment horizontal="center" vertical="center"/>
    </xf>
    <xf numFmtId="1" fontId="21" fillId="0" borderId="24" xfId="0" applyNumberFormat="1" applyFont="1" applyBorder="1" applyAlignment="1">
      <alignment horizontal="center" vertical="center"/>
    </xf>
    <xf numFmtId="0" fontId="30" fillId="8" borderId="32" xfId="0" applyFont="1" applyFill="1" applyBorder="1" applyAlignment="1">
      <alignment horizontal="right" vertical="center"/>
    </xf>
    <xf numFmtId="164" fontId="21" fillId="0" borderId="32" xfId="0" applyNumberFormat="1" applyFont="1" applyBorder="1" applyAlignment="1">
      <alignment horizontal="center" vertical="center"/>
    </xf>
    <xf numFmtId="0" fontId="41" fillId="8" borderId="19" xfId="0" applyFont="1" applyFill="1" applyBorder="1" applyAlignment="1">
      <alignment horizontal="center" vertical="center"/>
    </xf>
    <xf numFmtId="0" fontId="30" fillId="0" borderId="19" xfId="0" applyFont="1" applyBorder="1" applyAlignment="1" applyProtection="1">
      <alignment horizontal="center" vertical="center" wrapText="1"/>
      <protection locked="0"/>
    </xf>
    <xf numFmtId="0" fontId="30" fillId="0" borderId="19" xfId="0" applyFont="1" applyBorder="1" applyAlignment="1" applyProtection="1">
      <alignment horizontal="center" vertical="center"/>
      <protection locked="0"/>
    </xf>
    <xf numFmtId="167" fontId="30" fillId="0" borderId="19" xfId="0" applyNumberFormat="1" applyFont="1" applyBorder="1" applyAlignment="1" applyProtection="1">
      <alignment horizontal="center" vertical="center" wrapText="1"/>
      <protection locked="0"/>
    </xf>
    <xf numFmtId="167" fontId="30" fillId="0" borderId="32" xfId="0" applyNumberFormat="1" applyFont="1" applyBorder="1" applyAlignment="1" applyProtection="1">
      <alignment horizontal="center" vertical="center" wrapText="1"/>
      <protection locked="0"/>
    </xf>
    <xf numFmtId="0" fontId="30" fillId="11" borderId="34" xfId="0" applyFont="1" applyFill="1" applyBorder="1" applyAlignment="1">
      <alignment horizontal="center" vertical="center" wrapText="1"/>
    </xf>
    <xf numFmtId="0" fontId="30" fillId="0" borderId="34" xfId="0" applyFont="1" applyBorder="1" applyAlignment="1" applyProtection="1">
      <alignment horizontal="center" vertical="center" wrapText="1"/>
      <protection locked="0"/>
    </xf>
    <xf numFmtId="167" fontId="30" fillId="0" borderId="30" xfId="0" applyNumberFormat="1" applyFont="1" applyBorder="1" applyAlignment="1" applyProtection="1">
      <alignment horizontal="center" vertical="center" wrapText="1"/>
      <protection locked="0"/>
    </xf>
    <xf numFmtId="0" fontId="30" fillId="11" borderId="19" xfId="0" applyFont="1" applyFill="1" applyBorder="1" applyAlignment="1">
      <alignment horizontal="center" vertical="center" wrapText="1"/>
    </xf>
    <xf numFmtId="0" fontId="30" fillId="11" borderId="34" xfId="0" applyFont="1" applyFill="1" applyBorder="1" applyAlignment="1">
      <alignment horizontal="center" vertical="center"/>
    </xf>
    <xf numFmtId="0" fontId="30" fillId="11" borderId="32" xfId="0" applyFont="1" applyFill="1" applyBorder="1" applyAlignment="1">
      <alignment horizontal="center" vertical="center"/>
    </xf>
    <xf numFmtId="0" fontId="30" fillId="0" borderId="30" xfId="0" applyFont="1" applyBorder="1" applyAlignment="1" applyProtection="1">
      <alignment horizontal="center" vertical="center" wrapText="1" shrinkToFit="1"/>
      <protection locked="0"/>
    </xf>
    <xf numFmtId="0" fontId="30" fillId="0" borderId="34" xfId="0" applyFont="1" applyBorder="1" applyAlignment="1" applyProtection="1">
      <alignment horizontal="center" vertical="center"/>
      <protection locked="0"/>
    </xf>
    <xf numFmtId="0" fontId="30" fillId="0" borderId="30" xfId="0" applyFont="1" applyBorder="1" applyAlignment="1" applyProtection="1">
      <alignment horizontal="center" vertical="center"/>
      <protection locked="0"/>
    </xf>
    <xf numFmtId="0" fontId="60" fillId="8" borderId="19" xfId="0" applyFont="1" applyFill="1" applyBorder="1" applyAlignment="1">
      <alignment horizontal="center" vertical="center"/>
    </xf>
    <xf numFmtId="0" fontId="21" fillId="0" borderId="12" xfId="0" applyFont="1" applyBorder="1" applyAlignment="1">
      <alignment horizontal="center" vertical="center" wrapText="1"/>
    </xf>
    <xf numFmtId="0" fontId="0" fillId="0" borderId="12" xfId="0" applyBorder="1" applyAlignment="1" applyProtection="1">
      <alignment horizontal="left" vertical="center" wrapText="1"/>
      <protection locked="0"/>
    </xf>
    <xf numFmtId="0" fontId="64" fillId="8" borderId="0" xfId="4" applyFill="1" applyBorder="1" applyAlignment="1">
      <alignment horizontal="left"/>
    </xf>
    <xf numFmtId="0" fontId="37" fillId="8" borderId="0" xfId="0" applyFont="1" applyFill="1" applyAlignment="1">
      <alignment horizontal="center"/>
    </xf>
    <xf numFmtId="164" fontId="21" fillId="0" borderId="19" xfId="0" applyNumberFormat="1" applyFont="1" applyBorder="1" applyAlignment="1">
      <alignment horizontal="left" wrapText="1"/>
    </xf>
    <xf numFmtId="168" fontId="21" fillId="0" borderId="19" xfId="0" applyNumberFormat="1" applyFont="1" applyBorder="1" applyAlignment="1">
      <alignment horizontal="center"/>
    </xf>
    <xf numFmtId="0" fontId="38" fillId="3" borderId="19" xfId="0" applyFont="1" applyFill="1" applyBorder="1" applyAlignment="1" applyProtection="1">
      <alignment horizontal="left"/>
      <protection locked="0"/>
    </xf>
    <xf numFmtId="2" fontId="38" fillId="3" borderId="19" xfId="0" applyNumberFormat="1" applyFont="1" applyFill="1" applyBorder="1" applyAlignment="1" applyProtection="1">
      <alignment horizontal="left"/>
      <protection locked="0"/>
    </xf>
    <xf numFmtId="168" fontId="38" fillId="3" borderId="19" xfId="0" applyNumberFormat="1" applyFont="1" applyFill="1" applyBorder="1" applyAlignment="1" applyProtection="1">
      <alignment horizontal="center"/>
      <protection locked="0"/>
    </xf>
    <xf numFmtId="0" fontId="38" fillId="0" borderId="19" xfId="0" applyFont="1" applyBorder="1" applyAlignment="1" applyProtection="1">
      <alignment horizontal="left" wrapText="1"/>
      <protection locked="0"/>
    </xf>
    <xf numFmtId="2" fontId="38" fillId="0" borderId="19" xfId="0" applyNumberFormat="1" applyFont="1" applyBorder="1" applyAlignment="1" applyProtection="1">
      <alignment horizontal="left" wrapText="1"/>
      <protection locked="0"/>
    </xf>
    <xf numFmtId="168" fontId="38" fillId="0" borderId="19" xfId="0" applyNumberFormat="1" applyFont="1" applyBorder="1" applyAlignment="1" applyProtection="1">
      <alignment horizontal="center" wrapText="1"/>
      <protection locked="0"/>
    </xf>
    <xf numFmtId="164" fontId="21" fillId="11" borderId="19" xfId="0" applyNumberFormat="1" applyFont="1" applyFill="1" applyBorder="1" applyAlignment="1">
      <alignment horizontal="left" vertical="top"/>
    </xf>
    <xf numFmtId="168" fontId="21" fillId="11" borderId="19" xfId="0" applyNumberFormat="1" applyFont="1" applyFill="1" applyBorder="1" applyAlignment="1">
      <alignment horizontal="center"/>
    </xf>
    <xf numFmtId="0" fontId="21" fillId="0" borderId="17" xfId="0" applyFont="1" applyBorder="1" applyAlignment="1">
      <alignment horizontal="center"/>
    </xf>
    <xf numFmtId="167" fontId="21" fillId="0" borderId="17" xfId="0" applyNumberFormat="1" applyFont="1" applyBorder="1" applyAlignment="1">
      <alignment horizontal="left" wrapText="1"/>
    </xf>
    <xf numFmtId="0" fontId="21" fillId="0" borderId="17" xfId="0" applyFont="1" applyBorder="1" applyAlignment="1">
      <alignment horizontal="left" wrapText="1"/>
    </xf>
    <xf numFmtId="0" fontId="38" fillId="3" borderId="17" xfId="0" applyFont="1" applyFill="1" applyBorder="1" applyAlignment="1" applyProtection="1">
      <alignment horizontal="left" wrapText="1"/>
      <protection locked="0"/>
    </xf>
    <xf numFmtId="167" fontId="38" fillId="3" borderId="17" xfId="0" applyNumberFormat="1" applyFont="1" applyFill="1" applyBorder="1" applyAlignment="1" applyProtection="1">
      <alignment horizontal="left" wrapText="1"/>
      <protection locked="0"/>
    </xf>
    <xf numFmtId="0" fontId="38" fillId="3" borderId="17" xfId="0" applyFont="1" applyFill="1" applyBorder="1" applyAlignment="1" applyProtection="1">
      <alignment horizontal="center"/>
      <protection locked="0"/>
    </xf>
    <xf numFmtId="0" fontId="38" fillId="0" borderId="17" xfId="0" applyFont="1" applyBorder="1" applyAlignment="1" applyProtection="1">
      <alignment horizontal="left" wrapText="1"/>
      <protection locked="0"/>
    </xf>
    <xf numFmtId="167" fontId="38" fillId="0" borderId="17" xfId="0" applyNumberFormat="1" applyFont="1" applyBorder="1" applyAlignment="1" applyProtection="1">
      <alignment horizontal="left" wrapText="1"/>
      <protection locked="0"/>
    </xf>
    <xf numFmtId="0" fontId="38" fillId="0" borderId="17" xfId="0" applyFont="1" applyBorder="1" applyAlignment="1" applyProtection="1">
      <alignment horizontal="center"/>
      <protection locked="0"/>
    </xf>
    <xf numFmtId="0" fontId="64" fillId="8" borderId="36" xfId="4" applyFill="1" applyBorder="1" applyAlignment="1">
      <alignment horizontal="left"/>
    </xf>
    <xf numFmtId="0" fontId="37" fillId="8" borderId="37" xfId="0" applyFont="1" applyFill="1" applyBorder="1" applyAlignment="1">
      <alignment horizontal="center"/>
    </xf>
    <xf numFmtId="167" fontId="37" fillId="8" borderId="37" xfId="0" applyNumberFormat="1" applyFont="1" applyFill="1" applyBorder="1" applyAlignment="1">
      <alignment horizontal="center"/>
    </xf>
    <xf numFmtId="0" fontId="37" fillId="8" borderId="38" xfId="0" applyFont="1" applyFill="1" applyBorder="1" applyAlignment="1">
      <alignment horizontal="center"/>
    </xf>
    <xf numFmtId="0" fontId="38" fillId="3" borderId="36" xfId="0" applyFont="1" applyFill="1" applyBorder="1" applyAlignment="1" applyProtection="1">
      <alignment horizontal="left" wrapText="1"/>
      <protection locked="0"/>
    </xf>
    <xf numFmtId="0" fontId="38" fillId="0" borderId="36" xfId="0" applyFont="1" applyBorder="1" applyAlignment="1" applyProtection="1">
      <alignment horizontal="left" wrapText="1"/>
      <protection locked="0"/>
    </xf>
    <xf numFmtId="167" fontId="21" fillId="0" borderId="41" xfId="0" applyNumberFormat="1" applyFont="1" applyBorder="1" applyAlignment="1">
      <alignment horizontal="left" wrapText="1"/>
    </xf>
    <xf numFmtId="167" fontId="21" fillId="0" borderId="42" xfId="0" applyNumberFormat="1" applyFont="1" applyBorder="1" applyAlignment="1">
      <alignment horizontal="left" wrapText="1"/>
    </xf>
    <xf numFmtId="167" fontId="38" fillId="3" borderId="41" xfId="0" applyNumberFormat="1" applyFont="1" applyFill="1" applyBorder="1" applyAlignment="1" applyProtection="1">
      <alignment horizontal="left" wrapText="1"/>
      <protection locked="0"/>
    </xf>
    <xf numFmtId="167" fontId="38" fillId="3" borderId="42" xfId="0" applyNumberFormat="1" applyFont="1" applyFill="1" applyBorder="1" applyAlignment="1" applyProtection="1">
      <alignment horizontal="left" wrapText="1"/>
      <protection locked="0"/>
    </xf>
    <xf numFmtId="167" fontId="38" fillId="0" borderId="41" xfId="0" applyNumberFormat="1" applyFont="1" applyBorder="1" applyAlignment="1" applyProtection="1">
      <alignment horizontal="left" wrapText="1"/>
      <protection locked="0"/>
    </xf>
    <xf numFmtId="167" fontId="38" fillId="0" borderId="42" xfId="0" applyNumberFormat="1" applyFont="1" applyBorder="1" applyAlignment="1" applyProtection="1">
      <alignment horizontal="left" wrapText="1"/>
      <protection locked="0"/>
    </xf>
    <xf numFmtId="167" fontId="38" fillId="3" borderId="37" xfId="0" applyNumberFormat="1" applyFont="1" applyFill="1" applyBorder="1" applyAlignment="1" applyProtection="1">
      <alignment horizontal="left" wrapText="1"/>
      <protection locked="0"/>
    </xf>
    <xf numFmtId="167" fontId="38" fillId="0" borderId="37" xfId="0" applyNumberFormat="1" applyFont="1" applyBorder="1" applyAlignment="1" applyProtection="1">
      <alignment horizontal="left" wrapText="1"/>
      <protection locked="0"/>
    </xf>
    <xf numFmtId="0" fontId="21" fillId="0" borderId="38" xfId="0" applyFont="1" applyBorder="1" applyAlignment="1">
      <alignment horizontal="left" wrapText="1"/>
    </xf>
    <xf numFmtId="0" fontId="38" fillId="3" borderId="38" xfId="0" applyFont="1" applyFill="1" applyBorder="1" applyAlignment="1" applyProtection="1">
      <alignment horizontal="left" wrapText="1"/>
      <protection locked="0"/>
    </xf>
    <xf numFmtId="0" fontId="38" fillId="0" borderId="38" xfId="0" applyFont="1" applyBorder="1" applyAlignment="1" applyProtection="1">
      <alignment horizontal="left" wrapText="1"/>
      <protection locked="0"/>
    </xf>
    <xf numFmtId="0" fontId="21" fillId="0" borderId="41" xfId="0" applyFont="1" applyBorder="1" applyAlignment="1">
      <alignment horizontal="left" wrapText="1"/>
    </xf>
    <xf numFmtId="0" fontId="38" fillId="3" borderId="41" xfId="0" applyFont="1" applyFill="1" applyBorder="1" applyAlignment="1" applyProtection="1">
      <alignment horizontal="left" wrapText="1"/>
      <protection locked="0"/>
    </xf>
    <xf numFmtId="0" fontId="38" fillId="0" borderId="41" xfId="0" applyFont="1" applyBorder="1" applyAlignment="1" applyProtection="1">
      <alignment horizontal="left" wrapText="1"/>
      <protection locked="0"/>
    </xf>
    <xf numFmtId="167" fontId="21" fillId="0" borderId="36" xfId="0" applyNumberFormat="1" applyFont="1" applyBorder="1" applyAlignment="1">
      <alignment horizontal="left" wrapText="1"/>
    </xf>
    <xf numFmtId="167" fontId="38" fillId="3" borderId="36" xfId="0" applyNumberFormat="1" applyFont="1" applyFill="1" applyBorder="1" applyAlignment="1" applyProtection="1">
      <alignment horizontal="left" wrapText="1"/>
      <protection locked="0"/>
    </xf>
    <xf numFmtId="167" fontId="38" fillId="0" borderId="36" xfId="0" applyNumberFormat="1" applyFont="1" applyBorder="1" applyAlignment="1" applyProtection="1">
      <alignment horizontal="left" wrapText="1"/>
      <protection locked="0"/>
    </xf>
    <xf numFmtId="0" fontId="21" fillId="0" borderId="37" xfId="0" applyFont="1" applyBorder="1" applyAlignment="1">
      <alignment horizontal="left" vertical="top"/>
    </xf>
    <xf numFmtId="0" fontId="21" fillId="0" borderId="36" xfId="0" applyFont="1" applyBorder="1" applyAlignment="1">
      <alignment horizontal="left" wrapText="1"/>
    </xf>
    <xf numFmtId="49" fontId="38" fillId="0" borderId="36" xfId="0" applyNumberFormat="1" applyFont="1" applyBorder="1" applyAlignment="1" applyProtection="1">
      <alignment horizontal="left" wrapText="1"/>
      <protection locked="0"/>
    </xf>
    <xf numFmtId="0" fontId="21" fillId="0" borderId="42" xfId="0" applyFont="1" applyBorder="1" applyAlignment="1">
      <alignment horizontal="center"/>
    </xf>
    <xf numFmtId="0" fontId="21" fillId="0" borderId="41" xfId="0" applyFont="1" applyBorder="1" applyAlignment="1">
      <alignment horizontal="center"/>
    </xf>
    <xf numFmtId="0" fontId="38" fillId="3" borderId="41" xfId="0" applyFont="1" applyFill="1" applyBorder="1" applyAlignment="1" applyProtection="1">
      <alignment horizontal="center"/>
      <protection locked="0"/>
    </xf>
    <xf numFmtId="0" fontId="38" fillId="3" borderId="42" xfId="0" applyFont="1" applyFill="1" applyBorder="1" applyAlignment="1" applyProtection="1">
      <alignment horizontal="center"/>
      <protection locked="0"/>
    </xf>
    <xf numFmtId="0" fontId="38" fillId="0" borderId="41" xfId="0" applyFont="1" applyBorder="1" applyAlignment="1" applyProtection="1">
      <alignment horizontal="center"/>
      <protection locked="0"/>
    </xf>
    <xf numFmtId="0" fontId="38" fillId="0" borderId="42" xfId="0" applyFont="1" applyBorder="1" applyAlignment="1" applyProtection="1">
      <alignment horizontal="center"/>
      <protection locked="0"/>
    </xf>
    <xf numFmtId="0" fontId="21" fillId="11" borderId="39" xfId="0" applyFont="1" applyFill="1" applyBorder="1" applyAlignment="1">
      <alignment horizontal="left" vertical="top"/>
    </xf>
    <xf numFmtId="0" fontId="21" fillId="11" borderId="37" xfId="0" applyFont="1" applyFill="1" applyBorder="1" applyAlignment="1">
      <alignment horizontal="left" vertical="top"/>
    </xf>
    <xf numFmtId="0" fontId="21" fillId="11" borderId="37" xfId="0" applyFont="1" applyFill="1" applyBorder="1" applyAlignment="1">
      <alignment horizontal="center"/>
    </xf>
    <xf numFmtId="0" fontId="21" fillId="11" borderId="40" xfId="0" applyFont="1" applyFill="1" applyBorder="1" applyAlignment="1">
      <alignment horizontal="center"/>
    </xf>
    <xf numFmtId="0" fontId="38" fillId="3" borderId="20" xfId="0" applyFont="1" applyFill="1" applyBorder="1" applyAlignment="1" applyProtection="1">
      <alignment horizontal="left"/>
      <protection locked="0"/>
    </xf>
    <xf numFmtId="0" fontId="38" fillId="0" borderId="20" xfId="0" applyFont="1" applyBorder="1" applyAlignment="1" applyProtection="1">
      <alignment horizontal="left" wrapText="1"/>
      <protection locked="0"/>
    </xf>
    <xf numFmtId="3" fontId="38" fillId="3" borderId="43" xfId="0" applyNumberFormat="1" applyFont="1" applyFill="1" applyBorder="1" applyAlignment="1" applyProtection="1">
      <alignment horizontal="left"/>
      <protection locked="0"/>
    </xf>
    <xf numFmtId="3" fontId="38" fillId="3" borderId="44" xfId="0" applyNumberFormat="1" applyFont="1" applyFill="1" applyBorder="1" applyAlignment="1" applyProtection="1">
      <alignment horizontal="left"/>
      <protection locked="0"/>
    </xf>
    <xf numFmtId="3" fontId="38" fillId="0" borderId="43" xfId="0" applyNumberFormat="1" applyFont="1" applyBorder="1" applyAlignment="1" applyProtection="1">
      <alignment horizontal="left" wrapText="1"/>
      <protection locked="0"/>
    </xf>
    <xf numFmtId="3" fontId="38" fillId="0" borderId="44" xfId="0" applyNumberFormat="1" applyFont="1" applyBorder="1" applyAlignment="1" applyProtection="1">
      <alignment horizontal="left" wrapText="1"/>
      <protection locked="0"/>
    </xf>
    <xf numFmtId="164" fontId="38" fillId="3" borderId="21" xfId="0" applyNumberFormat="1" applyFont="1" applyFill="1" applyBorder="1" applyAlignment="1" applyProtection="1">
      <alignment horizontal="left"/>
      <protection locked="0"/>
    </xf>
    <xf numFmtId="164" fontId="38" fillId="0" borderId="21" xfId="0" applyNumberFormat="1" applyFont="1" applyBorder="1" applyAlignment="1" applyProtection="1">
      <alignment horizontal="left" wrapText="1"/>
      <protection locked="0"/>
    </xf>
    <xf numFmtId="164" fontId="21" fillId="0" borderId="43" xfId="0" applyNumberFormat="1" applyFont="1" applyBorder="1" applyAlignment="1">
      <alignment horizontal="left" wrapText="1"/>
    </xf>
    <xf numFmtId="164" fontId="21" fillId="0" borderId="44" xfId="0" applyNumberFormat="1" applyFont="1" applyBorder="1" applyAlignment="1">
      <alignment horizontal="left" wrapText="1"/>
    </xf>
    <xf numFmtId="2" fontId="38" fillId="3" borderId="43" xfId="0" applyNumberFormat="1" applyFont="1" applyFill="1" applyBorder="1" applyAlignment="1" applyProtection="1">
      <alignment horizontal="left"/>
      <protection locked="0"/>
    </xf>
    <xf numFmtId="2" fontId="38" fillId="3" borderId="44" xfId="0" applyNumberFormat="1" applyFont="1" applyFill="1" applyBorder="1" applyAlignment="1" applyProtection="1">
      <alignment horizontal="left"/>
      <protection locked="0"/>
    </xf>
    <xf numFmtId="2" fontId="38" fillId="0" borderId="43" xfId="0" applyNumberFormat="1" applyFont="1" applyBorder="1" applyAlignment="1" applyProtection="1">
      <alignment horizontal="left" wrapText="1"/>
      <protection locked="0"/>
    </xf>
    <xf numFmtId="2" fontId="38" fillId="0" borderId="44" xfId="0" applyNumberFormat="1" applyFont="1" applyBorder="1" applyAlignment="1" applyProtection="1">
      <alignment horizontal="left" wrapText="1"/>
      <protection locked="0"/>
    </xf>
    <xf numFmtId="164" fontId="38" fillId="3" borderId="20" xfId="0" applyNumberFormat="1" applyFont="1" applyFill="1" applyBorder="1" applyAlignment="1" applyProtection="1">
      <alignment horizontal="left"/>
      <protection locked="0"/>
    </xf>
    <xf numFmtId="164" fontId="38" fillId="0" borderId="20" xfId="0" applyNumberFormat="1" applyFont="1" applyBorder="1" applyAlignment="1" applyProtection="1">
      <alignment horizontal="left" wrapText="1"/>
      <protection locked="0"/>
    </xf>
    <xf numFmtId="164" fontId="21" fillId="11" borderId="43" xfId="0" applyNumberFormat="1" applyFont="1" applyFill="1" applyBorder="1" applyAlignment="1">
      <alignment horizontal="left" vertical="top"/>
    </xf>
    <xf numFmtId="168" fontId="21" fillId="11" borderId="44" xfId="0" applyNumberFormat="1" applyFont="1" applyFill="1" applyBorder="1" applyAlignment="1">
      <alignment horizontal="center"/>
    </xf>
    <xf numFmtId="168" fontId="21" fillId="0" borderId="43" xfId="0" applyNumberFormat="1" applyFont="1" applyBorder="1" applyAlignment="1">
      <alignment horizontal="center"/>
    </xf>
    <xf numFmtId="168" fontId="21" fillId="0" borderId="44" xfId="0" applyNumberFormat="1" applyFont="1" applyBorder="1" applyAlignment="1">
      <alignment horizontal="center"/>
    </xf>
    <xf numFmtId="168" fontId="38" fillId="3" borderId="43" xfId="0" applyNumberFormat="1" applyFont="1" applyFill="1" applyBorder="1" applyAlignment="1" applyProtection="1">
      <alignment horizontal="center"/>
      <protection locked="0"/>
    </xf>
    <xf numFmtId="168" fontId="38" fillId="3" borderId="44" xfId="0" applyNumberFormat="1" applyFont="1" applyFill="1" applyBorder="1" applyAlignment="1" applyProtection="1">
      <alignment horizontal="center"/>
      <protection locked="0"/>
    </xf>
    <xf numFmtId="168" fontId="38" fillId="0" borderId="43" xfId="0" applyNumberFormat="1" applyFont="1" applyBorder="1" applyAlignment="1" applyProtection="1">
      <alignment horizontal="center" wrapText="1"/>
      <protection locked="0"/>
    </xf>
    <xf numFmtId="168" fontId="38" fillId="0" borderId="44" xfId="0" applyNumberFormat="1" applyFont="1" applyBorder="1" applyAlignment="1" applyProtection="1">
      <alignment horizontal="center" wrapText="1"/>
      <protection locked="0"/>
    </xf>
    <xf numFmtId="0" fontId="61" fillId="2" borderId="19" xfId="0" applyFont="1" applyFill="1" applyBorder="1" applyAlignment="1" applyProtection="1">
      <alignment horizontal="center" vertical="center"/>
      <protection locked="0"/>
    </xf>
    <xf numFmtId="1" fontId="21" fillId="0" borderId="32" xfId="0" applyNumberFormat="1" applyFont="1" applyBorder="1" applyAlignment="1">
      <alignment horizontal="center" vertical="center"/>
    </xf>
    <xf numFmtId="0" fontId="64" fillId="0" borderId="0" xfId="4" applyBorder="1" applyAlignment="1">
      <alignment horizontal="left"/>
    </xf>
    <xf numFmtId="0" fontId="0" fillId="0" borderId="47" xfId="0" applyBorder="1" applyAlignment="1">
      <alignment horizontal="right" vertical="center"/>
    </xf>
    <xf numFmtId="0" fontId="26" fillId="0" borderId="47" xfId="0" applyFont="1" applyBorder="1" applyAlignment="1" applyProtection="1">
      <alignment horizontal="left" vertical="center"/>
      <protection locked="0"/>
    </xf>
    <xf numFmtId="0" fontId="0" fillId="0" borderId="47" xfId="0" applyBorder="1" applyAlignment="1">
      <alignment vertical="center"/>
    </xf>
    <xf numFmtId="0" fontId="0" fillId="0" borderId="48" xfId="0" applyBorder="1" applyAlignment="1">
      <alignment horizontal="right" vertical="center"/>
    </xf>
    <xf numFmtId="0" fontId="0" fillId="0" borderId="12" xfId="0" applyBorder="1" applyAlignment="1">
      <alignment horizontal="right" vertical="center"/>
    </xf>
    <xf numFmtId="0" fontId="63" fillId="0" borderId="0" xfId="0" applyFont="1" applyAlignment="1">
      <alignment horizontal="center"/>
    </xf>
    <xf numFmtId="0" fontId="66" fillId="0" borderId="0" xfId="5" applyFont="1" applyBorder="1" applyAlignment="1">
      <alignment horizontal="left"/>
    </xf>
    <xf numFmtId="0" fontId="26" fillId="0" borderId="0" xfId="0" applyFont="1"/>
    <xf numFmtId="0" fontId="19" fillId="0" borderId="0" xfId="0" applyFont="1"/>
    <xf numFmtId="0" fontId="0" fillId="0" borderId="23" xfId="0" applyBorder="1" applyAlignment="1">
      <alignment horizontal="left" vertical="center"/>
    </xf>
    <xf numFmtId="0" fontId="0" fillId="0" borderId="48" xfId="0" applyBorder="1" applyAlignment="1">
      <alignment vertical="center"/>
    </xf>
    <xf numFmtId="0" fontId="0" fillId="0" borderId="12" xfId="0" applyBorder="1" applyAlignment="1">
      <alignment vertical="center"/>
    </xf>
    <xf numFmtId="0" fontId="45" fillId="0" borderId="12" xfId="7" applyBorder="1" applyAlignment="1">
      <alignment vertical="center"/>
      <protection locked="0"/>
    </xf>
    <xf numFmtId="0" fontId="0" fillId="0" borderId="12" xfId="0" applyBorder="1" applyAlignment="1">
      <alignment horizontal="left" vertical="center"/>
    </xf>
    <xf numFmtId="0" fontId="42" fillId="0" borderId="0" xfId="0" applyNumberFormat="1" applyFont="1"/>
    <xf numFmtId="0" fontId="45" fillId="0" borderId="0" xfId="7" applyAlignment="1" applyProtection="1">
      <alignment horizontal="left"/>
    </xf>
    <xf numFmtId="0" fontId="64" fillId="0" borderId="0" xfId="4" applyBorder="1" applyAlignment="1"/>
    <xf numFmtId="0" fontId="67" fillId="0" borderId="0" xfId="0" applyFont="1" applyAlignment="1">
      <alignment horizontal="center" vertical="center"/>
    </xf>
    <xf numFmtId="0" fontId="64" fillId="0" borderId="0" xfId="4" applyBorder="1" applyAlignment="1">
      <alignment horizontal="left"/>
    </xf>
    <xf numFmtId="0" fontId="0" fillId="0" borderId="12" xfId="0" applyBorder="1"/>
    <xf numFmtId="173" fontId="14" fillId="4" borderId="17" xfId="1" applyNumberFormat="1" applyBorder="1" applyAlignment="1">
      <alignment horizontal="center" vertical="center"/>
    </xf>
    <xf numFmtId="0" fontId="65" fillId="0" borderId="0" xfId="5" applyBorder="1" applyAlignment="1">
      <alignment horizontal="left"/>
    </xf>
    <xf numFmtId="0" fontId="0" fillId="0" borderId="12" xfId="0" applyBorder="1" applyAlignment="1" applyProtection="1">
      <alignment horizontal="left" vertical="center" wrapText="1"/>
      <protection locked="0"/>
    </xf>
    <xf numFmtId="0" fontId="18" fillId="0" borderId="12" xfId="0" applyFont="1" applyBorder="1" applyAlignment="1" applyProtection="1">
      <alignment horizontal="left" vertical="center" wrapText="1"/>
      <protection locked="0"/>
    </xf>
    <xf numFmtId="0" fontId="40" fillId="0" borderId="12" xfId="0" applyFont="1" applyBorder="1"/>
    <xf numFmtId="174" fontId="16" fillId="0" borderId="17" xfId="0" applyNumberFormat="1" applyFont="1" applyBorder="1" applyAlignment="1" applyProtection="1">
      <alignment horizontal="center" vertical="center"/>
      <protection locked="0"/>
    </xf>
    <xf numFmtId="174" fontId="16" fillId="0" borderId="16" xfId="0" applyNumberFormat="1" applyFont="1" applyBorder="1" applyAlignment="1" applyProtection="1">
      <alignment horizontal="center" vertical="center"/>
      <protection locked="0"/>
    </xf>
    <xf numFmtId="0" fontId="18" fillId="0" borderId="11" xfId="0" applyFont="1" applyBorder="1" applyAlignment="1">
      <alignment horizontal="left" vertical="center"/>
    </xf>
    <xf numFmtId="0" fontId="0" fillId="0" borderId="11" xfId="0" applyBorder="1"/>
    <xf numFmtId="0" fontId="18" fillId="0" borderId="9" xfId="0" applyFont="1" applyBorder="1" applyAlignment="1">
      <alignment horizontal="left" vertical="center"/>
    </xf>
    <xf numFmtId="0" fontId="0" fillId="0" borderId="9" xfId="0" applyBorder="1"/>
    <xf numFmtId="0" fontId="40" fillId="0" borderId="12" xfId="0" applyFont="1" applyBorder="1" applyAlignment="1">
      <alignment horizontal="left"/>
    </xf>
    <xf numFmtId="0" fontId="65" fillId="11" borderId="13" xfId="5" applyFill="1" applyBorder="1" applyAlignment="1">
      <alignment horizontal="left"/>
    </xf>
    <xf numFmtId="0" fontId="65" fillId="11" borderId="14" xfId="5" applyFill="1" applyBorder="1" applyAlignment="1">
      <alignment horizontal="left"/>
    </xf>
    <xf numFmtId="0" fontId="65" fillId="11" borderId="15" xfId="5" applyFill="1" applyBorder="1" applyAlignment="1">
      <alignment horizontal="left"/>
    </xf>
    <xf numFmtId="0" fontId="0" fillId="0" borderId="17" xfId="0" applyBorder="1" applyAlignment="1">
      <alignment horizontal="left" vertical="center"/>
    </xf>
    <xf numFmtId="0" fontId="45" fillId="0" borderId="0" xfId="7" applyAlignment="1" applyProtection="1">
      <alignment vertical="center"/>
    </xf>
    <xf numFmtId="164" fontId="18" fillId="0" borderId="11" xfId="0" applyNumberFormat="1" applyFont="1" applyBorder="1" applyAlignment="1">
      <alignment horizontal="center" vertical="center"/>
    </xf>
    <xf numFmtId="164" fontId="18" fillId="0" borderId="9" xfId="0" applyNumberFormat="1" applyFont="1" applyBorder="1" applyAlignment="1">
      <alignment horizontal="center" vertical="center"/>
    </xf>
    <xf numFmtId="0" fontId="0" fillId="0" borderId="16" xfId="0" applyBorder="1" applyAlignment="1">
      <alignment horizontal="left" vertical="center"/>
    </xf>
    <xf numFmtId="173" fontId="18" fillId="0" borderId="11" xfId="0" applyNumberFormat="1" applyFont="1" applyBorder="1" applyAlignment="1">
      <alignment horizontal="center" vertical="center"/>
    </xf>
    <xf numFmtId="173" fontId="18" fillId="0" borderId="9" xfId="0" applyNumberFormat="1" applyFont="1" applyBorder="1" applyAlignment="1">
      <alignment horizontal="center" vertical="center"/>
    </xf>
    <xf numFmtId="0" fontId="65" fillId="11" borderId="12" xfId="5" applyFill="1" applyBorder="1" applyAlignment="1">
      <alignment horizontal="left"/>
    </xf>
    <xf numFmtId="0" fontId="48" fillId="0" borderId="0" xfId="0" applyFont="1" applyAlignment="1">
      <alignment vertical="center"/>
    </xf>
    <xf numFmtId="164" fontId="14" fillId="4" borderId="17" xfId="1" applyNumberFormat="1" applyBorder="1" applyAlignment="1">
      <alignment horizontal="center" vertical="center"/>
    </xf>
    <xf numFmtId="173" fontId="18" fillId="0" borderId="17" xfId="0" applyNumberFormat="1" applyFont="1" applyBorder="1" applyAlignment="1">
      <alignment horizontal="center" vertical="center"/>
    </xf>
    <xf numFmtId="173" fontId="18" fillId="0" borderId="16" xfId="0" applyNumberFormat="1" applyFont="1" applyBorder="1" applyAlignment="1">
      <alignment horizontal="center" vertical="center"/>
    </xf>
    <xf numFmtId="0" fontId="18" fillId="0" borderId="17" xfId="0" applyFont="1" applyBorder="1" applyAlignment="1">
      <alignment horizontal="left" vertical="center" wrapText="1"/>
    </xf>
    <xf numFmtId="0" fontId="0" fillId="0" borderId="17" xfId="0" applyBorder="1"/>
    <xf numFmtId="0" fontId="18" fillId="0" borderId="16" xfId="0" applyFont="1" applyBorder="1" applyAlignment="1">
      <alignment horizontal="left" vertical="center" wrapText="1"/>
    </xf>
    <xf numFmtId="0" fontId="0" fillId="0" borderId="16" xfId="0" applyBorder="1"/>
    <xf numFmtId="0" fontId="0" fillId="7" borderId="17" xfId="10" applyFont="1" applyBorder="1">
      <alignment horizontal="center" vertical="center"/>
    </xf>
    <xf numFmtId="173" fontId="16" fillId="0" borderId="17" xfId="0" applyNumberFormat="1" applyFont="1" applyBorder="1" applyAlignment="1" applyProtection="1">
      <alignment horizontal="center" vertical="center"/>
      <protection locked="0"/>
    </xf>
    <xf numFmtId="0" fontId="0" fillId="0" borderId="18" xfId="0" applyBorder="1" applyAlignment="1">
      <alignment horizontal="left" vertical="center"/>
    </xf>
    <xf numFmtId="0" fontId="0" fillId="0" borderId="18" xfId="0" applyBorder="1"/>
    <xf numFmtId="164" fontId="14" fillId="4" borderId="16" xfId="1" applyNumberFormat="1" applyBorder="1" applyAlignment="1">
      <alignment horizontal="center" vertical="center"/>
    </xf>
    <xf numFmtId="174" fontId="14" fillId="4" borderId="17" xfId="1" applyNumberFormat="1" applyBorder="1" applyAlignment="1">
      <alignment horizontal="center" vertical="center"/>
    </xf>
    <xf numFmtId="0" fontId="45" fillId="0" borderId="0" xfId="7" applyAlignment="1" applyProtection="1"/>
    <xf numFmtId="173" fontId="0" fillId="0" borderId="18" xfId="0" applyNumberFormat="1" applyBorder="1" applyAlignment="1">
      <alignment horizontal="center" vertical="center"/>
    </xf>
    <xf numFmtId="173" fontId="0" fillId="0" borderId="17" xfId="0" applyNumberFormat="1" applyBorder="1" applyAlignment="1">
      <alignment horizontal="center" vertical="center"/>
    </xf>
    <xf numFmtId="0" fontId="0" fillId="7" borderId="18" xfId="0" applyFill="1" applyBorder="1" applyAlignment="1">
      <alignment horizontal="center" vertical="center"/>
    </xf>
    <xf numFmtId="0" fontId="0" fillId="7" borderId="17" xfId="0" applyFill="1" applyBorder="1" applyAlignment="1">
      <alignment horizontal="center" vertical="center"/>
    </xf>
    <xf numFmtId="0" fontId="17" fillId="5" borderId="3" xfId="8" applyAlignment="1" applyProtection="1">
      <alignment horizontal="center" vertical="center"/>
      <protection locked="0"/>
    </xf>
    <xf numFmtId="0" fontId="0" fillId="0" borderId="17" xfId="0" applyBorder="1" applyAlignment="1">
      <alignment horizontal="left" vertical="center" wrapText="1"/>
    </xf>
    <xf numFmtId="0" fontId="42" fillId="0" borderId="0" xfId="0" applyFont="1" applyAlignment="1">
      <alignment vertical="center"/>
    </xf>
    <xf numFmtId="0" fontId="18" fillId="0" borderId="0" xfId="0" applyFont="1" applyAlignment="1">
      <alignment horizontal="right" vertical="center"/>
    </xf>
    <xf numFmtId="0" fontId="64" fillId="0" borderId="0" xfId="4" applyBorder="1" applyAlignment="1">
      <alignment horizontal="left" vertical="top"/>
    </xf>
    <xf numFmtId="0" fontId="0" fillId="0" borderId="0" xfId="0" applyAlignment="1">
      <alignment vertical="center"/>
    </xf>
    <xf numFmtId="0" fontId="65" fillId="11" borderId="0" xfId="5" applyFill="1" applyBorder="1" applyAlignment="1">
      <alignment horizontal="left"/>
    </xf>
    <xf numFmtId="0" fontId="0" fillId="0" borderId="0" xfId="0"/>
    <xf numFmtId="173" fontId="14" fillId="4" borderId="16" xfId="1" applyNumberFormat="1" applyBorder="1" applyAlignment="1">
      <alignment horizontal="center" vertical="center"/>
    </xf>
    <xf numFmtId="0" fontId="24" fillId="0" borderId="1" xfId="0" applyFont="1" applyBorder="1" applyAlignment="1">
      <alignment horizontal="left" vertical="center"/>
    </xf>
    <xf numFmtId="0" fontId="65" fillId="11" borderId="0" xfId="5" applyFill="1" applyBorder="1" applyAlignment="1">
      <alignment horizontal="left" vertical="center"/>
    </xf>
    <xf numFmtId="49" fontId="30" fillId="0" borderId="19" xfId="0" applyNumberFormat="1" applyFont="1" applyBorder="1" applyAlignment="1" applyProtection="1">
      <alignment horizontal="left" vertical="center" wrapText="1"/>
      <protection locked="0"/>
    </xf>
    <xf numFmtId="0" fontId="21" fillId="0" borderId="19" xfId="0" applyFont="1" applyBorder="1" applyAlignment="1" applyProtection="1">
      <alignment horizontal="left" vertical="top" wrapText="1"/>
      <protection locked="0"/>
    </xf>
    <xf numFmtId="49" fontId="26" fillId="0" borderId="19" xfId="0" applyNumberFormat="1" applyFont="1" applyBorder="1" applyAlignment="1">
      <alignment horizontal="left"/>
    </xf>
    <xf numFmtId="49" fontId="21" fillId="0" borderId="19" xfId="0" applyNumberFormat="1" applyFont="1" applyBorder="1" applyAlignment="1" applyProtection="1">
      <alignment horizontal="left" vertical="top" wrapText="1"/>
      <protection locked="0"/>
    </xf>
    <xf numFmtId="49" fontId="50" fillId="9" borderId="19" xfId="6" applyNumberFormat="1" applyFont="1" applyFill="1" applyBorder="1">
      <alignment horizontal="left" vertical="center"/>
    </xf>
    <xf numFmtId="1" fontId="21" fillId="0" borderId="19" xfId="0" applyNumberFormat="1" applyFont="1" applyBorder="1" applyAlignment="1" applyProtection="1">
      <alignment horizontal="center" vertical="center"/>
      <protection locked="0"/>
    </xf>
    <xf numFmtId="49" fontId="32" fillId="0" borderId="19" xfId="0" applyNumberFormat="1" applyFont="1" applyBorder="1" applyAlignment="1" applyProtection="1">
      <alignment horizontal="left" vertical="top" wrapText="1"/>
      <protection locked="0"/>
    </xf>
    <xf numFmtId="166" fontId="21" fillId="0" borderId="19" xfId="0" applyNumberFormat="1" applyFont="1" applyBorder="1" applyAlignment="1" applyProtection="1">
      <alignment horizontal="center" vertical="center"/>
      <protection locked="0"/>
    </xf>
    <xf numFmtId="49" fontId="52" fillId="0" borderId="19" xfId="6" applyNumberFormat="1" applyFont="1" applyBorder="1" applyAlignment="1">
      <alignment horizontal="left" vertical="center" wrapText="1"/>
    </xf>
    <xf numFmtId="49" fontId="52" fillId="0" borderId="19" xfId="6" applyNumberFormat="1" applyFont="1" applyBorder="1">
      <alignment horizontal="left" vertical="center"/>
    </xf>
    <xf numFmtId="49" fontId="49" fillId="0" borderId="19" xfId="0" applyNumberFormat="1" applyFont="1" applyBorder="1" applyAlignment="1">
      <alignment horizontal="center"/>
    </xf>
    <xf numFmtId="49" fontId="50" fillId="11" borderId="19" xfId="6" applyNumberFormat="1" applyFont="1" applyFill="1" applyBorder="1">
      <alignment horizontal="left" vertical="center"/>
    </xf>
    <xf numFmtId="49" fontId="52" fillId="11" borderId="19" xfId="6" applyNumberFormat="1" applyFont="1" applyFill="1" applyBorder="1" applyAlignment="1">
      <alignment horizontal="center" vertical="center" wrapText="1"/>
    </xf>
    <xf numFmtId="0" fontId="52" fillId="11" borderId="19" xfId="6" applyFont="1" applyFill="1" applyBorder="1" applyAlignment="1">
      <alignment horizontal="center" vertical="center" wrapText="1"/>
    </xf>
    <xf numFmtId="0" fontId="32" fillId="0" borderId="19" xfId="0" applyFont="1" applyBorder="1" applyAlignment="1" applyProtection="1">
      <alignment horizontal="left" vertical="top" wrapText="1"/>
      <protection locked="0"/>
    </xf>
    <xf numFmtId="0" fontId="21" fillId="0" borderId="19" xfId="0" applyFont="1" applyBorder="1" applyAlignment="1" applyProtection="1">
      <alignment horizontal="center" vertical="center" wrapText="1"/>
      <protection locked="0"/>
    </xf>
    <xf numFmtId="0" fontId="21" fillId="0" borderId="19" xfId="0" applyFont="1" applyBorder="1" applyAlignment="1" applyProtection="1">
      <alignment horizontal="center" vertical="center"/>
      <protection locked="0"/>
    </xf>
    <xf numFmtId="165" fontId="32" fillId="0" borderId="19" xfId="0" applyNumberFormat="1" applyFont="1" applyBorder="1" applyAlignment="1" applyProtection="1">
      <alignment horizontal="center" vertical="center"/>
      <protection locked="0"/>
    </xf>
    <xf numFmtId="3" fontId="21" fillId="0" borderId="19" xfId="0" applyNumberFormat="1" applyFont="1" applyBorder="1" applyAlignment="1" applyProtection="1">
      <alignment horizontal="center" vertical="center" wrapText="1"/>
      <protection locked="0"/>
    </xf>
    <xf numFmtId="165" fontId="21" fillId="0" borderId="19" xfId="0" applyNumberFormat="1" applyFont="1" applyBorder="1" applyAlignment="1" applyProtection="1">
      <alignment horizontal="center" vertical="center"/>
      <protection locked="0"/>
    </xf>
    <xf numFmtId="49" fontId="65" fillId="8" borderId="19" xfId="5" applyNumberFormat="1" applyFill="1" applyBorder="1" applyAlignment="1">
      <alignment horizontal="left" vertical="center"/>
    </xf>
    <xf numFmtId="0" fontId="4" fillId="0" borderId="19" xfId="0" applyFont="1" applyBorder="1" applyAlignment="1" applyProtection="1">
      <alignment horizontal="left" wrapText="1"/>
      <protection locked="0"/>
    </xf>
    <xf numFmtId="0" fontId="65" fillId="8" borderId="19" xfId="5" applyFill="1" applyBorder="1" applyAlignment="1">
      <alignment horizontal="left" vertical="center"/>
    </xf>
    <xf numFmtId="49" fontId="34" fillId="6" borderId="19" xfId="0" applyNumberFormat="1" applyFont="1" applyFill="1" applyBorder="1" applyAlignment="1">
      <alignment horizontal="right" vertical="center" wrapText="1"/>
    </xf>
    <xf numFmtId="49" fontId="52" fillId="9" borderId="19" xfId="6" applyNumberFormat="1" applyFont="1" applyFill="1" applyBorder="1" applyAlignment="1">
      <alignment horizontal="center" vertical="center"/>
    </xf>
    <xf numFmtId="0" fontId="21" fillId="0" borderId="19" xfId="0" applyFont="1" applyBorder="1" applyAlignment="1" applyProtection="1">
      <alignment horizontal="center" vertical="top" wrapText="1"/>
      <protection locked="0"/>
    </xf>
    <xf numFmtId="49" fontId="32" fillId="0" borderId="19" xfId="0" applyNumberFormat="1" applyFont="1" applyBorder="1" applyAlignment="1" applyProtection="1">
      <alignment horizontal="center" vertical="center"/>
      <protection locked="0"/>
    </xf>
    <xf numFmtId="49" fontId="34" fillId="0" borderId="19" xfId="0" applyNumberFormat="1" applyFont="1" applyBorder="1" applyAlignment="1">
      <alignment horizontal="center" vertical="center" wrapText="1"/>
    </xf>
    <xf numFmtId="0" fontId="34" fillId="0" borderId="19" xfId="0" applyFont="1" applyBorder="1" applyAlignment="1">
      <alignment horizontal="center" vertical="center" wrapText="1"/>
    </xf>
    <xf numFmtId="49" fontId="35" fillId="0" borderId="19" xfId="0" applyNumberFormat="1" applyFont="1" applyBorder="1" applyAlignment="1">
      <alignment horizontal="center" vertical="center" wrapText="1"/>
    </xf>
    <xf numFmtId="0" fontId="29" fillId="0" borderId="19" xfId="0" applyFont="1" applyBorder="1" applyAlignment="1" applyProtection="1">
      <alignment horizontal="left" vertical="center" wrapText="1"/>
      <protection locked="0"/>
    </xf>
    <xf numFmtId="0" fontId="29" fillId="0" borderId="19" xfId="0" applyFont="1" applyBorder="1" applyAlignment="1" applyProtection="1">
      <alignment horizontal="left" wrapText="1"/>
      <protection locked="0"/>
    </xf>
    <xf numFmtId="0" fontId="64" fillId="8" borderId="19" xfId="4" applyFill="1" applyBorder="1" applyAlignment="1">
      <alignment horizontal="left" vertical="center"/>
    </xf>
    <xf numFmtId="49" fontId="26" fillId="6" borderId="19" xfId="0" applyNumberFormat="1" applyFont="1" applyFill="1" applyBorder="1" applyAlignment="1">
      <alignment horizontal="right" vertical="center" wrapText="1"/>
    </xf>
    <xf numFmtId="49" fontId="50" fillId="11" borderId="12" xfId="0" applyNumberFormat="1" applyFont="1" applyFill="1" applyBorder="1" applyAlignment="1">
      <alignment horizontal="center" vertical="center"/>
    </xf>
    <xf numFmtId="49" fontId="50" fillId="11" borderId="21" xfId="0" applyNumberFormat="1" applyFont="1" applyFill="1" applyBorder="1" applyAlignment="1">
      <alignment horizontal="center" vertical="center"/>
    </xf>
    <xf numFmtId="49" fontId="50" fillId="11" borderId="19" xfId="0" applyNumberFormat="1" applyFont="1" applyFill="1" applyBorder="1" applyAlignment="1">
      <alignment horizontal="center" vertical="center"/>
    </xf>
    <xf numFmtId="49" fontId="43" fillId="8" borderId="19" xfId="6" applyNumberFormat="1" applyFill="1" applyBorder="1">
      <alignment horizontal="left" vertical="center"/>
    </xf>
    <xf numFmtId="49" fontId="49" fillId="11" borderId="20" xfId="0" applyNumberFormat="1" applyFont="1" applyFill="1" applyBorder="1" applyAlignment="1">
      <alignment horizontal="center"/>
    </xf>
    <xf numFmtId="49" fontId="49" fillId="11" borderId="12" xfId="0" applyNumberFormat="1" applyFont="1" applyFill="1" applyBorder="1" applyAlignment="1">
      <alignment horizontal="center"/>
    </xf>
    <xf numFmtId="49" fontId="34" fillId="6" borderId="19" xfId="0" applyNumberFormat="1" applyFont="1" applyFill="1" applyBorder="1" applyAlignment="1">
      <alignment horizontal="right" vertical="center"/>
    </xf>
    <xf numFmtId="0" fontId="11" fillId="0" borderId="0" xfId="0" applyFont="1" applyAlignment="1">
      <alignment horizontal="center" vertical="center" wrapText="1"/>
    </xf>
    <xf numFmtId="49" fontId="11" fillId="0" borderId="0" xfId="0" applyNumberFormat="1" applyFont="1" applyAlignment="1">
      <alignment horizontal="center" vertical="center" wrapText="1"/>
    </xf>
    <xf numFmtId="0" fontId="30" fillId="0" borderId="19" xfId="0" applyFont="1" applyBorder="1" applyAlignment="1" applyProtection="1">
      <alignment horizontal="center" vertical="center" wrapText="1"/>
      <protection locked="0"/>
    </xf>
    <xf numFmtId="49" fontId="50" fillId="8" borderId="19" xfId="0" applyNumberFormat="1" applyFont="1" applyFill="1" applyBorder="1" applyAlignment="1">
      <alignment horizontal="center" vertical="center" wrapText="1"/>
    </xf>
    <xf numFmtId="0" fontId="30" fillId="11" borderId="19" xfId="0" applyFont="1" applyFill="1" applyBorder="1" applyAlignment="1">
      <alignment horizontal="center" vertical="center" wrapText="1"/>
    </xf>
    <xf numFmtId="49" fontId="30" fillId="11" borderId="19" xfId="0" applyNumberFormat="1" applyFont="1" applyFill="1" applyBorder="1" applyAlignment="1">
      <alignment horizontal="center" vertical="center" wrapText="1"/>
    </xf>
    <xf numFmtId="0" fontId="30" fillId="11" borderId="34" xfId="0" applyFont="1" applyFill="1" applyBorder="1" applyAlignment="1">
      <alignment horizontal="center" vertical="center" textRotation="90"/>
    </xf>
    <xf numFmtId="0" fontId="30" fillId="11" borderId="32" xfId="0" applyFont="1" applyFill="1" applyBorder="1" applyAlignment="1">
      <alignment horizontal="center" vertical="center" textRotation="90"/>
    </xf>
    <xf numFmtId="0" fontId="30" fillId="11" borderId="30" xfId="0" applyFont="1" applyFill="1" applyBorder="1" applyAlignment="1">
      <alignment horizontal="center" vertical="center" wrapText="1"/>
    </xf>
    <xf numFmtId="0" fontId="30" fillId="11" borderId="34" xfId="0" applyFont="1" applyFill="1" applyBorder="1" applyAlignment="1">
      <alignment horizontal="center" vertical="center" wrapText="1"/>
    </xf>
    <xf numFmtId="0" fontId="50" fillId="8" borderId="19" xfId="0" applyFont="1" applyFill="1" applyBorder="1" applyAlignment="1">
      <alignment horizontal="center" vertical="center"/>
    </xf>
    <xf numFmtId="0" fontId="30" fillId="11" borderId="34" xfId="0" applyFont="1" applyFill="1" applyBorder="1" applyAlignment="1">
      <alignment horizontal="center" vertical="center" textRotation="90" wrapText="1"/>
    </xf>
    <xf numFmtId="0" fontId="30" fillId="11" borderId="19" xfId="0" applyFont="1" applyFill="1" applyBorder="1" applyAlignment="1">
      <alignment horizontal="center" vertical="center" textRotation="90" wrapText="1"/>
    </xf>
    <xf numFmtId="0" fontId="30" fillId="11" borderId="30" xfId="0" applyFont="1" applyFill="1" applyBorder="1" applyAlignment="1">
      <alignment horizontal="center" vertical="center" textRotation="90" wrapText="1"/>
    </xf>
    <xf numFmtId="0" fontId="17" fillId="5" borderId="19" xfId="8" applyBorder="1" applyAlignment="1">
      <alignment horizontal="center" vertical="center"/>
    </xf>
    <xf numFmtId="0" fontId="26" fillId="0" borderId="19" xfId="0" applyFont="1" applyBorder="1" applyAlignment="1">
      <alignment horizontal="center" vertical="center"/>
    </xf>
    <xf numFmtId="0" fontId="7" fillId="0" borderId="31" xfId="0" applyFont="1" applyBorder="1" applyAlignment="1" applyProtection="1">
      <alignment horizontal="left" vertical="center" wrapText="1"/>
      <protection locked="0"/>
    </xf>
    <xf numFmtId="1" fontId="29" fillId="6" borderId="19" xfId="0" applyNumberFormat="1" applyFont="1" applyFill="1" applyBorder="1" applyAlignment="1" applyProtection="1">
      <alignment horizontal="center" vertical="center"/>
      <protection locked="0"/>
    </xf>
    <xf numFmtId="1" fontId="29" fillId="0" borderId="19" xfId="0" applyNumberFormat="1" applyFont="1" applyBorder="1" applyAlignment="1" applyProtection="1">
      <alignment horizontal="center" vertical="center"/>
      <protection locked="0"/>
    </xf>
    <xf numFmtId="0" fontId="7" fillId="0" borderId="19" xfId="0" applyFont="1" applyBorder="1" applyAlignment="1" applyProtection="1">
      <alignment horizontal="left" vertical="top" wrapText="1"/>
      <protection locked="0"/>
    </xf>
    <xf numFmtId="20" fontId="26" fillId="2" borderId="19" xfId="0" applyNumberFormat="1" applyFont="1" applyFill="1" applyBorder="1" applyAlignment="1" applyProtection="1">
      <alignment horizontal="center" vertical="center"/>
      <protection locked="0"/>
    </xf>
    <xf numFmtId="0" fontId="34" fillId="11" borderId="19" xfId="0" applyFont="1" applyFill="1" applyBorder="1" applyAlignment="1">
      <alignment horizontal="center" vertical="center"/>
    </xf>
    <xf numFmtId="0" fontId="0" fillId="0" borderId="19" xfId="0" applyBorder="1" applyAlignment="1">
      <alignment horizontal="center" vertical="center"/>
    </xf>
    <xf numFmtId="49" fontId="29" fillId="6" borderId="19" xfId="0" applyNumberFormat="1" applyFont="1" applyFill="1" applyBorder="1" applyAlignment="1" applyProtection="1">
      <alignment horizontal="left" vertical="center" wrapText="1"/>
      <protection locked="0"/>
    </xf>
    <xf numFmtId="49" fontId="29" fillId="0" borderId="19" xfId="0" applyNumberFormat="1" applyFont="1" applyBorder="1" applyAlignment="1" applyProtection="1">
      <alignment horizontal="left" vertical="center" wrapText="1"/>
      <protection locked="0"/>
    </xf>
    <xf numFmtId="175" fontId="29" fillId="6" borderId="19" xfId="0" applyNumberFormat="1" applyFont="1" applyFill="1" applyBorder="1" applyAlignment="1" applyProtection="1">
      <alignment horizontal="center" vertical="center"/>
      <protection locked="0"/>
    </xf>
    <xf numFmtId="175" fontId="29" fillId="0" borderId="19" xfId="0" applyNumberFormat="1" applyFont="1" applyBorder="1" applyAlignment="1" applyProtection="1">
      <alignment horizontal="center" vertical="center"/>
      <protection locked="0"/>
    </xf>
    <xf numFmtId="0" fontId="59" fillId="8" borderId="19" xfId="0" applyFont="1" applyFill="1" applyBorder="1" applyAlignment="1">
      <alignment horizontal="center" vertical="center" wrapText="1"/>
    </xf>
    <xf numFmtId="0" fontId="30" fillId="11" borderId="32" xfId="0" applyFont="1" applyFill="1" applyBorder="1" applyAlignment="1">
      <alignment horizontal="center" vertical="center" wrapText="1"/>
    </xf>
    <xf numFmtId="3" fontId="29" fillId="0" borderId="19" xfId="0" applyNumberFormat="1" applyFont="1" applyBorder="1" applyAlignment="1" applyProtection="1">
      <alignment horizontal="center" vertical="center" wrapText="1"/>
      <protection locked="0"/>
    </xf>
    <xf numFmtId="0" fontId="34" fillId="11" borderId="19" xfId="0" quotePrefix="1" applyFont="1" applyFill="1" applyBorder="1" applyAlignment="1">
      <alignment horizontal="center" vertical="center" wrapText="1"/>
    </xf>
    <xf numFmtId="0" fontId="0" fillId="11" borderId="19" xfId="0" applyFill="1" applyBorder="1" applyAlignment="1">
      <alignment horizontal="center" vertical="center"/>
    </xf>
    <xf numFmtId="0" fontId="0" fillId="0" borderId="19" xfId="0" applyBorder="1"/>
    <xf numFmtId="3" fontId="29" fillId="6" borderId="19" xfId="0" applyNumberFormat="1" applyFont="1" applyFill="1" applyBorder="1" applyAlignment="1" applyProtection="1">
      <alignment horizontal="center" vertical="center" wrapText="1"/>
      <protection locked="0"/>
    </xf>
    <xf numFmtId="0" fontId="56" fillId="10" borderId="19" xfId="0" applyFont="1" applyFill="1" applyBorder="1" applyAlignment="1">
      <alignment horizontal="center" vertical="center"/>
    </xf>
    <xf numFmtId="0" fontId="65" fillId="8" borderId="19" xfId="5" applyFill="1" applyBorder="1" applyAlignment="1">
      <alignment horizontal="center" vertical="center"/>
    </xf>
    <xf numFmtId="49" fontId="29" fillId="0" borderId="32" xfId="0" applyNumberFormat="1" applyFont="1" applyBorder="1" applyAlignment="1" applyProtection="1">
      <alignment horizontal="left" vertical="center" wrapText="1"/>
      <protection locked="0"/>
    </xf>
    <xf numFmtId="49" fontId="29" fillId="6" borderId="19" xfId="0" applyNumberFormat="1" applyFont="1" applyFill="1" applyBorder="1" applyAlignment="1" applyProtection="1">
      <alignment horizontal="center" vertical="center"/>
      <protection locked="0"/>
    </xf>
    <xf numFmtId="49" fontId="29" fillId="0" borderId="19" xfId="0" applyNumberFormat="1" applyFont="1" applyBorder="1" applyAlignment="1" applyProtection="1">
      <alignment horizontal="center" vertical="center"/>
      <protection locked="0"/>
    </xf>
    <xf numFmtId="0" fontId="64" fillId="8" borderId="19" xfId="4" applyFill="1" applyBorder="1" applyAlignment="1">
      <alignment horizontal="center" vertical="center"/>
    </xf>
    <xf numFmtId="0" fontId="30" fillId="0" borderId="19" xfId="0" applyFont="1" applyBorder="1" applyAlignment="1" applyProtection="1">
      <alignment horizontal="left" wrapText="1"/>
      <protection locked="0"/>
    </xf>
    <xf numFmtId="0" fontId="7" fillId="0" borderId="32" xfId="0" applyFont="1" applyBorder="1" applyAlignment="1" applyProtection="1">
      <alignment horizontal="left" vertical="center" wrapText="1"/>
      <protection locked="0"/>
    </xf>
    <xf numFmtId="0" fontId="34" fillId="11" borderId="19" xfId="0" applyFont="1" applyFill="1" applyBorder="1" applyAlignment="1">
      <alignment horizontal="center" vertical="center" wrapText="1"/>
    </xf>
    <xf numFmtId="0" fontId="53" fillId="8" borderId="19" xfId="0" applyFont="1" applyFill="1" applyBorder="1" applyAlignment="1">
      <alignment horizontal="right" vertical="center"/>
    </xf>
    <xf numFmtId="0" fontId="58" fillId="8" borderId="32" xfId="0" applyFont="1" applyFill="1" applyBorder="1" applyAlignment="1">
      <alignment horizontal="left" vertical="center" wrapText="1"/>
    </xf>
    <xf numFmtId="0" fontId="58" fillId="8" borderId="33" xfId="0" applyFont="1" applyFill="1" applyBorder="1" applyAlignment="1">
      <alignment horizontal="left" vertical="center" wrapText="1"/>
    </xf>
    <xf numFmtId="0" fontId="64" fillId="8" borderId="0" xfId="4" applyFill="1" applyBorder="1" applyAlignment="1">
      <alignment horizontal="left" vertical="center"/>
    </xf>
    <xf numFmtId="0" fontId="21" fillId="11" borderId="39" xfId="0" applyFont="1" applyFill="1" applyBorder="1" applyAlignment="1">
      <alignment horizontal="left" vertical="top"/>
    </xf>
    <xf numFmtId="0" fontId="21" fillId="11" borderId="37" xfId="0" applyFont="1" applyFill="1" applyBorder="1" applyAlignment="1">
      <alignment horizontal="left" vertical="top"/>
    </xf>
    <xf numFmtId="0" fontId="21" fillId="11" borderId="40" xfId="0" applyFont="1" applyFill="1" applyBorder="1" applyAlignment="1">
      <alignment horizontal="left" vertical="top"/>
    </xf>
    <xf numFmtId="167" fontId="57" fillId="0" borderId="37" xfId="0" applyNumberFormat="1" applyFont="1" applyBorder="1" applyAlignment="1">
      <alignment horizontal="center" wrapText="1"/>
    </xf>
    <xf numFmtId="0" fontId="21" fillId="0" borderId="17" xfId="0" applyFont="1" applyBorder="1" applyAlignment="1">
      <alignment horizontal="left" wrapText="1"/>
    </xf>
    <xf numFmtId="0" fontId="21" fillId="0" borderId="36" xfId="0" applyFont="1" applyBorder="1" applyAlignment="1">
      <alignment horizontal="left" wrapText="1"/>
    </xf>
    <xf numFmtId="0" fontId="21" fillId="11" borderId="41" xfId="0" applyFont="1" applyFill="1" applyBorder="1" applyAlignment="1">
      <alignment horizontal="left" vertical="top"/>
    </xf>
    <xf numFmtId="0" fontId="21" fillId="11" borderId="17" xfId="0" applyFont="1" applyFill="1" applyBorder="1" applyAlignment="1">
      <alignment horizontal="left" vertical="top"/>
    </xf>
    <xf numFmtId="0" fontId="21" fillId="11" borderId="42" xfId="0" applyFont="1" applyFill="1" applyBorder="1" applyAlignment="1">
      <alignment horizontal="left" vertical="top"/>
    </xf>
    <xf numFmtId="167" fontId="21" fillId="11" borderId="39" xfId="0" applyNumberFormat="1" applyFont="1" applyFill="1" applyBorder="1" applyAlignment="1">
      <alignment horizontal="left" vertical="top"/>
    </xf>
    <xf numFmtId="167" fontId="21" fillId="11" borderId="37" xfId="0" applyNumberFormat="1" applyFont="1" applyFill="1" applyBorder="1" applyAlignment="1">
      <alignment horizontal="left" vertical="top"/>
    </xf>
    <xf numFmtId="167" fontId="21" fillId="11" borderId="40" xfId="0" applyNumberFormat="1" applyFont="1" applyFill="1" applyBorder="1" applyAlignment="1">
      <alignment horizontal="left" vertical="top"/>
    </xf>
    <xf numFmtId="164" fontId="21" fillId="0" borderId="22" xfId="0" applyNumberFormat="1" applyFont="1" applyBorder="1" applyAlignment="1">
      <alignment horizontal="left" wrapText="1"/>
    </xf>
    <xf numFmtId="164" fontId="21" fillId="0" borderId="27" xfId="0" applyNumberFormat="1" applyFont="1" applyBorder="1" applyAlignment="1">
      <alignment horizontal="left" wrapText="1"/>
    </xf>
    <xf numFmtId="164" fontId="21" fillId="11" borderId="45" xfId="0" applyNumberFormat="1" applyFont="1" applyFill="1" applyBorder="1" applyAlignment="1">
      <alignment horizontal="left" vertical="top"/>
    </xf>
    <xf numFmtId="164" fontId="21" fillId="11" borderId="12" xfId="0" applyNumberFormat="1" applyFont="1" applyFill="1" applyBorder="1" applyAlignment="1">
      <alignment horizontal="left" vertical="top"/>
    </xf>
    <xf numFmtId="164" fontId="21" fillId="11" borderId="46" xfId="0" applyNumberFormat="1" applyFont="1" applyFill="1" applyBorder="1" applyAlignment="1">
      <alignment horizontal="left" vertical="top"/>
    </xf>
    <xf numFmtId="164" fontId="21" fillId="11" borderId="45" xfId="0" applyNumberFormat="1" applyFont="1" applyFill="1" applyBorder="1" applyAlignment="1">
      <alignment horizontal="left"/>
    </xf>
    <xf numFmtId="164" fontId="21" fillId="11" borderId="12" xfId="0" applyNumberFormat="1" applyFont="1" applyFill="1" applyBorder="1" applyAlignment="1">
      <alignment horizontal="left"/>
    </xf>
    <xf numFmtId="164" fontId="21" fillId="11" borderId="46" xfId="0" applyNumberFormat="1" applyFont="1" applyFill="1" applyBorder="1" applyAlignment="1">
      <alignment horizontal="left"/>
    </xf>
    <xf numFmtId="0" fontId="21" fillId="0" borderId="19" xfId="0" applyFont="1" applyBorder="1" applyAlignment="1">
      <alignment horizontal="left" wrapText="1"/>
    </xf>
    <xf numFmtId="3" fontId="21" fillId="0" borderId="43" xfId="0" applyNumberFormat="1" applyFont="1" applyBorder="1" applyAlignment="1">
      <alignment horizontal="left" wrapText="1"/>
    </xf>
    <xf numFmtId="3" fontId="21" fillId="0" borderId="44" xfId="0" applyNumberFormat="1" applyFont="1" applyBorder="1" applyAlignment="1">
      <alignment horizontal="left" wrapText="1"/>
    </xf>
    <xf numFmtId="164" fontId="21" fillId="0" borderId="21" xfId="0" applyNumberFormat="1" applyFont="1" applyBorder="1" applyAlignment="1">
      <alignment horizontal="left" wrapText="1"/>
    </xf>
    <xf numFmtId="0" fontId="21" fillId="0" borderId="32" xfId="0" applyFont="1" applyBorder="1" applyAlignment="1">
      <alignment horizontal="left" wrapText="1"/>
    </xf>
    <xf numFmtId="0" fontId="21" fillId="0" borderId="31" xfId="0" applyFont="1" applyBorder="1" applyAlignment="1">
      <alignment horizontal="left" wrapText="1"/>
    </xf>
    <xf numFmtId="0" fontId="21" fillId="0" borderId="22" xfId="0" applyFont="1" applyBorder="1" applyAlignment="1">
      <alignment horizontal="left" wrapText="1"/>
    </xf>
    <xf numFmtId="0" fontId="21" fillId="0" borderId="27" xfId="0" applyFont="1" applyBorder="1" applyAlignment="1">
      <alignment horizontal="left" wrapText="1"/>
    </xf>
  </cellXfs>
  <cellStyles count="11">
    <cellStyle name="Calculation" xfId="1" builtinId="22" customBuiltin="1"/>
    <cellStyle name="Comma" xfId="2" builtinId="3"/>
    <cellStyle name="Followed Hyperlink" xfId="3" builtinId="9" customBuiltin="1"/>
    <cellStyle name="Heading 1" xfId="4" builtinId="16" customBuiltin="1"/>
    <cellStyle name="Heading 2" xfId="5" builtinId="17" customBuiltin="1"/>
    <cellStyle name="Heading 3" xfId="6" builtinId="18" customBuiltin="1"/>
    <cellStyle name="Hyperlink" xfId="7" builtinId="8" customBuiltin="1"/>
    <cellStyle name="Input" xfId="8" builtinId="20"/>
    <cellStyle name="Normal" xfId="0" builtinId="0" customBuiltin="1"/>
    <cellStyle name="Not Used" xfId="10" xr:uid="{00000000-0005-0000-0000-000009000000}"/>
    <cellStyle name="VersionText" xfId="9" xr:uid="{00000000-0005-0000-0000-00000A000000}"/>
  </cellStyles>
  <dxfs count="39">
    <dxf>
      <fill>
        <patternFill>
          <bgColor theme="9" tint="0.79998168889431442"/>
        </patternFill>
      </fill>
    </dxf>
    <dxf>
      <fill>
        <patternFill>
          <bgColor theme="9" tint="0.79998168889431442"/>
        </patternFill>
      </fill>
    </dxf>
    <dxf>
      <font>
        <condense val="0"/>
        <extend val="0"/>
        <color indexed="8"/>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8"/>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b/>
        <i val="0"/>
        <condense val="0"/>
        <extend val="0"/>
        <color indexed="8"/>
      </font>
      <fill>
        <patternFill>
          <bgColor indexed="10"/>
        </patternFill>
      </fill>
    </dxf>
    <dxf>
      <font>
        <condense val="0"/>
        <extend val="0"/>
        <color indexed="9"/>
      </font>
    </dxf>
    <dxf>
      <font>
        <condense val="0"/>
        <extend val="0"/>
        <color indexed="9"/>
      </font>
    </dxf>
    <dxf>
      <font>
        <condense val="0"/>
        <extend val="0"/>
        <color indexed="9"/>
      </font>
    </dxf>
    <dxf>
      <font>
        <b/>
        <i val="0"/>
        <color rgb="FFFF0000"/>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eetMetadata" Target="metadata.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CheckBox" lockText="1"/>
</file>

<file path=xl/ctrlProps/ctrlProp3.xml><?xml version="1.0" encoding="utf-8"?>
<formControlPr xmlns="http://schemas.microsoft.com/office/spreadsheetml/2009/9/main" objectType="CheckBox" lockText="1"/>
</file>

<file path=xl/ctrlProps/ctrlProp4.xml><?xml version="1.0" encoding="utf-8"?>
<formControlPr xmlns="http://schemas.microsoft.com/office/spreadsheetml/2009/9/main" objectType="CheckBox" lockText="1"/>
</file>

<file path=xl/ctrlProps/ctrlProp5.xml><?xml version="1.0" encoding="utf-8"?>
<formControlPr xmlns="http://schemas.microsoft.com/office/spreadsheetml/2009/9/main" objectType="CheckBox" lockText="1"/>
</file>

<file path=xl/ctrlProps/ctrlProp6.xml><?xml version="1.0" encoding="utf-8"?>
<formControlPr xmlns="http://schemas.microsoft.com/office/spreadsheetml/2009/9/main" objectType="CheckBox" lockText="1"/>
</file>

<file path=xl/ctrlProps/ctrlProp7.xml><?xml version="1.0" encoding="utf-8"?>
<formControlPr xmlns="http://schemas.microsoft.com/office/spreadsheetml/2009/9/main" objectType="CheckBox" lockText="1"/>
</file>

<file path=xl/ctrlProps/ctrlProp8.xml><?xml version="1.0" encoding="utf-8"?>
<formControlPr xmlns="http://schemas.microsoft.com/office/spreadsheetml/2009/9/main" objectType="CheckBox" lockText="1"/>
</file>

<file path=xl/ctrlProps/ctrlProp9.xml><?xml version="1.0" encoding="utf-8"?>
<formControlPr xmlns="http://schemas.microsoft.com/office/spreadsheetml/2009/9/main" objectType="CheckBox" lockText="1"/>
</file>

<file path=xl/ctrlProps/ctrlProp10.xml><?xml version="1.0" encoding="utf-8"?>
<formControlPr xmlns="http://schemas.microsoft.com/office/spreadsheetml/2009/9/main" objectType="CheckBox" lockText="1"/>
</file>

<file path=xl/ctrlProps/ctrlProp11.xml><?xml version="1.0" encoding="utf-8"?>
<formControlPr xmlns="http://schemas.microsoft.com/office/spreadsheetml/2009/9/main" objectType="CheckBox" lockText="1"/>
</file>

<file path=xl/ctrlProps/ctrlProp12.xml><?xml version="1.0" encoding="utf-8"?>
<formControlPr xmlns="http://schemas.microsoft.com/office/spreadsheetml/2009/9/main" objectType="CheckBox" lockText="1"/>
</file>

<file path=xl/ctrlProps/ctrlProp13.xml><?xml version="1.0" encoding="utf-8"?>
<formControlPr xmlns="http://schemas.microsoft.com/office/spreadsheetml/2009/9/main" objectType="CheckBox" lockText="1"/>
</file>

<file path=xl/ctrlProps/ctrlProp14.xml><?xml version="1.0" encoding="utf-8"?>
<formControlPr xmlns="http://schemas.microsoft.com/office/spreadsheetml/2009/9/main" objectType="CheckBox" lockText="1"/>
</file>

<file path=xl/ctrlProps/ctrlProp15.xml><?xml version="1.0" encoding="utf-8"?>
<formControlPr xmlns="http://schemas.microsoft.com/office/spreadsheetml/2009/9/main" objectType="CheckBox" lockText="1"/>
</file>

<file path=xl/ctrlProps/ctrlProp16.xml><?xml version="1.0" encoding="utf-8"?>
<formControlPr xmlns="http://schemas.microsoft.com/office/spreadsheetml/2009/9/main" objectType="CheckBox" lockText="1"/>
</file>

<file path=xl/ctrlProps/ctrlProp17.xml><?xml version="1.0" encoding="utf-8"?>
<formControlPr xmlns="http://schemas.microsoft.com/office/spreadsheetml/2009/9/main" objectType="CheckBox" lockText="1"/>
</file>

<file path=xl/ctrlProps/ctrlProp18.xml><?xml version="1.0" encoding="utf-8"?>
<formControlPr xmlns="http://schemas.microsoft.com/office/spreadsheetml/2009/9/main" objectType="CheckBox" lockText="1"/>
</file>

<file path=xl/ctrlProps/ctrlProp19.xml><?xml version="1.0" encoding="utf-8"?>
<formControlPr xmlns="http://schemas.microsoft.com/office/spreadsheetml/2009/9/main" objectType="CheckBox" lockText="1"/>
</file>

<file path=xl/ctrlProps/ctrlProp20.xml><?xml version="1.0" encoding="utf-8"?>
<formControlPr xmlns="http://schemas.microsoft.com/office/spreadsheetml/2009/9/main" objectType="CheckBox" lockText="1"/>
</file>

<file path=xl/ctrlProps/ctrlProp21.xml><?xml version="1.0" encoding="utf-8"?>
<formControlPr xmlns="http://schemas.microsoft.com/office/spreadsheetml/2009/9/main" objectType="CheckBox" lockText="1"/>
</file>

<file path=xl/ctrlProps/ctrlProp22.xml><?xml version="1.0" encoding="utf-8"?>
<formControlPr xmlns="http://schemas.microsoft.com/office/spreadsheetml/2009/9/main" objectType="CheckBox" lockText="1"/>
</file>

<file path=xl/ctrlProps/ctrlProp23.xml><?xml version="1.0" encoding="utf-8"?>
<formControlPr xmlns="http://schemas.microsoft.com/office/spreadsheetml/2009/9/main" objectType="CheckBox" lockText="1"/>
</file>

<file path=xl/ctrlProps/ctrlProp24.xml><?xml version="1.0" encoding="utf-8"?>
<formControlPr xmlns="http://schemas.microsoft.com/office/spreadsheetml/2009/9/main" objectType="CheckBox" lockText="1"/>
</file>

<file path=xl/ctrlProps/ctrlProp25.xml><?xml version="1.0" encoding="utf-8"?>
<formControlPr xmlns="http://schemas.microsoft.com/office/spreadsheetml/2009/9/main" objectType="CheckBox" lockText="1"/>
</file>

<file path=xl/ctrlProps/ctrlProp26.xml><?xml version="1.0" encoding="utf-8"?>
<formControlPr xmlns="http://schemas.microsoft.com/office/spreadsheetml/2009/9/main" objectType="CheckBox" lockText="1"/>
</file>

<file path=xl/ctrlProps/ctrlProp27.xml><?xml version="1.0" encoding="utf-8"?>
<formControlPr xmlns="http://schemas.microsoft.com/office/spreadsheetml/2009/9/main" objectType="CheckBox" lockText="1"/>
</file>

<file path=xl/ctrlProps/ctrlProp28.xml><?xml version="1.0" encoding="utf-8"?>
<formControlPr xmlns="http://schemas.microsoft.com/office/spreadsheetml/2009/9/main" objectType="CheckBox" lockText="1"/>
</file>

<file path=xl/ctrlProps/ctrlProp29.xml><?xml version="1.0" encoding="utf-8"?>
<formControlPr xmlns="http://schemas.microsoft.com/office/spreadsheetml/2009/9/main" objectType="CheckBox" lockText="1"/>
</file>

<file path=xl/ctrlProps/ctrlProp30.xml><?xml version="1.0" encoding="utf-8"?>
<formControlPr xmlns="http://schemas.microsoft.com/office/spreadsheetml/2009/9/main" objectType="CheckBox" lockText="1"/>
</file>

<file path=xl/ctrlProps/ctrlProp31.xml><?xml version="1.0" encoding="utf-8"?>
<formControlPr xmlns="http://schemas.microsoft.com/office/spreadsheetml/2009/9/main" objectType="CheckBox" lockText="1"/>
</file>

<file path=xl/ctrlProps/ctrlProp32.xml><?xml version="1.0" encoding="utf-8"?>
<formControlPr xmlns="http://schemas.microsoft.com/office/spreadsheetml/2009/9/main" objectType="CheckBox" lockText="1"/>
</file>

<file path=xl/ctrlProps/ctrlProp33.xml><?xml version="1.0" encoding="utf-8"?>
<formControlPr xmlns="http://schemas.microsoft.com/office/spreadsheetml/2009/9/main" objectType="CheckBox" lockText="1"/>
</file>

<file path=xl/ctrlProps/ctrlProp34.xml><?xml version="1.0" encoding="utf-8"?>
<formControlPr xmlns="http://schemas.microsoft.com/office/spreadsheetml/2009/9/main" objectType="CheckBox" lockText="1"/>
</file>

<file path=xl/ctrlProps/ctrlProp35.xml><?xml version="1.0" encoding="utf-8"?>
<formControlPr xmlns="http://schemas.microsoft.com/office/spreadsheetml/2009/9/main" objectType="CheckBox" lockText="1"/>
</file>

<file path=xl/ctrlProps/ctrlProp36.xml><?xml version="1.0" encoding="utf-8"?>
<formControlPr xmlns="http://schemas.microsoft.com/office/spreadsheetml/2009/9/main" objectType="CheckBox" lockText="1"/>
</file>

<file path=xl/ctrlProps/ctrlProp37.xml><?xml version="1.0" encoding="utf-8"?>
<formControlPr xmlns="http://schemas.microsoft.com/office/spreadsheetml/2009/9/main" objectType="CheckBox" lockText="1"/>
</file>

<file path=xl/ctrlProps/ctrlProp38.xml><?xml version="1.0" encoding="utf-8"?>
<formControlPr xmlns="http://schemas.microsoft.com/office/spreadsheetml/2009/9/main" objectType="CheckBox" lockText="1"/>
</file>

<file path=xl/ctrlProps/ctrlProp39.xml><?xml version="1.0" encoding="utf-8"?>
<formControlPr xmlns="http://schemas.microsoft.com/office/spreadsheetml/2009/9/main" objectType="CheckBox" lockText="1"/>
</file>

<file path=xl/ctrlProps/ctrlProp40.xml><?xml version="1.0" encoding="utf-8"?>
<formControlPr xmlns="http://schemas.microsoft.com/office/spreadsheetml/2009/9/main" objectType="CheckBox" lockText="1"/>
</file>

<file path=xl/ctrlProps/ctrlProp41.xml><?xml version="1.0" encoding="utf-8"?>
<formControlPr xmlns="http://schemas.microsoft.com/office/spreadsheetml/2009/9/main" objectType="CheckBox" lockText="1"/>
</file>

<file path=xl/ctrlProps/ctrlProp42.xml><?xml version="1.0" encoding="utf-8"?>
<formControlPr xmlns="http://schemas.microsoft.com/office/spreadsheetml/2009/9/main" objectType="CheckBox" lockText="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2120900</xdr:colOff>
          <xdr:row>7</xdr:row>
          <xdr:rowOff>114300</xdr:rowOff>
        </xdr:from>
        <xdr:to>
          <xdr:col>2</xdr:col>
          <xdr:colOff>4267200</xdr:colOff>
          <xdr:row>10</xdr:row>
          <xdr:rowOff>101600</xdr:rowOff>
        </xdr:to>
        <xdr:sp macro="" textlink="">
          <xdr:nvSpPr>
            <xdr:cNvPr id="8194" name="bInstall" hidden="1">
              <a:extLst>
                <a:ext uri="{63B3BB69-23CF-44E3-9099-C40C66FF867C}">
                  <a14:compatExt spid="_x0000_s8194"/>
                </a:ext>
                <a:ext uri="{FF2B5EF4-FFF2-40B4-BE49-F238E27FC236}">
                  <a16:creationId xmlns:a16="http://schemas.microsoft.com/office/drawing/2014/main" id="{00000000-0008-0000-0100-00000220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en-GB" sz="1200" b="0" i="0" u="none" strike="noStrike" baseline="0">
                  <a:solidFill>
                    <a:srgbClr val="000000"/>
                  </a:solidFill>
                  <a:latin typeface="Calibri" pitchFamily="2" charset="0"/>
                  <a:cs typeface="Calibri" pitchFamily="2" charset="0"/>
                </a:rPr>
                <a:t>Install the </a:t>
              </a:r>
            </a:p>
            <a:p>
              <a:pPr algn="ctr" rtl="0">
                <a:defRPr sz="1000"/>
              </a:pPr>
              <a:r>
                <a:rPr lang="en-GB" sz="1200" b="0" i="0" u="none" strike="noStrike" baseline="0">
                  <a:solidFill>
                    <a:srgbClr val="000000"/>
                  </a:solidFill>
                  <a:latin typeface="Calibri" pitchFamily="2" charset="0"/>
                  <a:cs typeface="Calibri" pitchFamily="2" charset="0"/>
                </a:rPr>
                <a:t>VFR Flight Planner</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38100</xdr:colOff>
          <xdr:row>5</xdr:row>
          <xdr:rowOff>0</xdr:rowOff>
        </xdr:from>
        <xdr:to>
          <xdr:col>1</xdr:col>
          <xdr:colOff>88900</xdr:colOff>
          <xdr:row>6</xdr:row>
          <xdr:rowOff>25400</xdr:rowOff>
        </xdr:to>
        <xdr:sp macro="" textlink="">
          <xdr:nvSpPr>
            <xdr:cNvPr id="4097" name="Check Box 1" hidden="1">
              <a:extLst>
                <a:ext uri="{63B3BB69-23CF-44E3-9099-C40C66FF867C}">
                  <a14:compatExt spid="_x0000_s4097"/>
                </a:ext>
                <a:ext uri="{FF2B5EF4-FFF2-40B4-BE49-F238E27FC236}">
                  <a16:creationId xmlns:a16="http://schemas.microsoft.com/office/drawing/2014/main" id="{00000000-0008-0000-0300-00000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38100</xdr:colOff>
          <xdr:row>2</xdr:row>
          <xdr:rowOff>190500</xdr:rowOff>
        </xdr:from>
        <xdr:to>
          <xdr:col>1</xdr:col>
          <xdr:colOff>88900</xdr:colOff>
          <xdr:row>4</xdr:row>
          <xdr:rowOff>0</xdr:rowOff>
        </xdr:to>
        <xdr:sp macro="" textlink="">
          <xdr:nvSpPr>
            <xdr:cNvPr id="4098" name="Check Box 2" hidden="1">
              <a:extLst>
                <a:ext uri="{63B3BB69-23CF-44E3-9099-C40C66FF867C}">
                  <a14:compatExt spid="_x0000_s4098"/>
                </a:ext>
                <a:ext uri="{FF2B5EF4-FFF2-40B4-BE49-F238E27FC236}">
                  <a16:creationId xmlns:a16="http://schemas.microsoft.com/office/drawing/2014/main" id="{00000000-0008-0000-03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38100</xdr:colOff>
          <xdr:row>6</xdr:row>
          <xdr:rowOff>0</xdr:rowOff>
        </xdr:from>
        <xdr:to>
          <xdr:col>1</xdr:col>
          <xdr:colOff>88900</xdr:colOff>
          <xdr:row>7</xdr:row>
          <xdr:rowOff>25400</xdr:rowOff>
        </xdr:to>
        <xdr:sp macro="" textlink="">
          <xdr:nvSpPr>
            <xdr:cNvPr id="4099" name="Check Box 3" hidden="1">
              <a:extLst>
                <a:ext uri="{63B3BB69-23CF-44E3-9099-C40C66FF867C}">
                  <a14:compatExt spid="_x0000_s4099"/>
                </a:ext>
                <a:ext uri="{FF2B5EF4-FFF2-40B4-BE49-F238E27FC236}">
                  <a16:creationId xmlns:a16="http://schemas.microsoft.com/office/drawing/2014/main" id="{00000000-0008-0000-0300-00000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38100</xdr:colOff>
          <xdr:row>7</xdr:row>
          <xdr:rowOff>0</xdr:rowOff>
        </xdr:from>
        <xdr:to>
          <xdr:col>1</xdr:col>
          <xdr:colOff>88900</xdr:colOff>
          <xdr:row>8</xdr:row>
          <xdr:rowOff>25400</xdr:rowOff>
        </xdr:to>
        <xdr:sp macro="" textlink="">
          <xdr:nvSpPr>
            <xdr:cNvPr id="4100" name="Check Box 4" hidden="1">
              <a:extLst>
                <a:ext uri="{63B3BB69-23CF-44E3-9099-C40C66FF867C}">
                  <a14:compatExt spid="_x0000_s4100"/>
                </a:ext>
                <a:ext uri="{FF2B5EF4-FFF2-40B4-BE49-F238E27FC236}">
                  <a16:creationId xmlns:a16="http://schemas.microsoft.com/office/drawing/2014/main" id="{00000000-0008-0000-0300-00000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38100</xdr:colOff>
          <xdr:row>8</xdr:row>
          <xdr:rowOff>0</xdr:rowOff>
        </xdr:from>
        <xdr:to>
          <xdr:col>1</xdr:col>
          <xdr:colOff>88900</xdr:colOff>
          <xdr:row>9</xdr:row>
          <xdr:rowOff>25400</xdr:rowOff>
        </xdr:to>
        <xdr:sp macro="" textlink="">
          <xdr:nvSpPr>
            <xdr:cNvPr id="4101" name="Check Box 5" hidden="1">
              <a:extLst>
                <a:ext uri="{63B3BB69-23CF-44E3-9099-C40C66FF867C}">
                  <a14:compatExt spid="_x0000_s4101"/>
                </a:ext>
                <a:ext uri="{FF2B5EF4-FFF2-40B4-BE49-F238E27FC236}">
                  <a16:creationId xmlns:a16="http://schemas.microsoft.com/office/drawing/2014/main" id="{00000000-0008-0000-0300-00000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38100</xdr:colOff>
          <xdr:row>10</xdr:row>
          <xdr:rowOff>0</xdr:rowOff>
        </xdr:from>
        <xdr:to>
          <xdr:col>1</xdr:col>
          <xdr:colOff>88900</xdr:colOff>
          <xdr:row>11</xdr:row>
          <xdr:rowOff>25400</xdr:rowOff>
        </xdr:to>
        <xdr:sp macro="" textlink="">
          <xdr:nvSpPr>
            <xdr:cNvPr id="4102" name="Check Box 6" hidden="1">
              <a:extLst>
                <a:ext uri="{63B3BB69-23CF-44E3-9099-C40C66FF867C}">
                  <a14:compatExt spid="_x0000_s4102"/>
                </a:ext>
                <a:ext uri="{FF2B5EF4-FFF2-40B4-BE49-F238E27FC236}">
                  <a16:creationId xmlns:a16="http://schemas.microsoft.com/office/drawing/2014/main" id="{00000000-0008-0000-0300-00000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38100</xdr:colOff>
          <xdr:row>11</xdr:row>
          <xdr:rowOff>0</xdr:rowOff>
        </xdr:from>
        <xdr:to>
          <xdr:col>1</xdr:col>
          <xdr:colOff>88900</xdr:colOff>
          <xdr:row>12</xdr:row>
          <xdr:rowOff>25400</xdr:rowOff>
        </xdr:to>
        <xdr:sp macro="" textlink="">
          <xdr:nvSpPr>
            <xdr:cNvPr id="4103" name="Check Box 7" hidden="1">
              <a:extLst>
                <a:ext uri="{63B3BB69-23CF-44E3-9099-C40C66FF867C}">
                  <a14:compatExt spid="_x0000_s4103"/>
                </a:ext>
                <a:ext uri="{FF2B5EF4-FFF2-40B4-BE49-F238E27FC236}">
                  <a16:creationId xmlns:a16="http://schemas.microsoft.com/office/drawing/2014/main" id="{00000000-0008-0000-0300-00000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76200</xdr:colOff>
          <xdr:row>3</xdr:row>
          <xdr:rowOff>190500</xdr:rowOff>
        </xdr:from>
        <xdr:to>
          <xdr:col>8</xdr:col>
          <xdr:colOff>114300</xdr:colOff>
          <xdr:row>5</xdr:row>
          <xdr:rowOff>0</xdr:rowOff>
        </xdr:to>
        <xdr:sp macro="" textlink="">
          <xdr:nvSpPr>
            <xdr:cNvPr id="4107" name="Check Box 11" hidden="1">
              <a:extLst>
                <a:ext uri="{63B3BB69-23CF-44E3-9099-C40C66FF867C}">
                  <a14:compatExt spid="_x0000_s4107"/>
                </a:ext>
                <a:ext uri="{FF2B5EF4-FFF2-40B4-BE49-F238E27FC236}">
                  <a16:creationId xmlns:a16="http://schemas.microsoft.com/office/drawing/2014/main" id="{00000000-0008-0000-0300-00000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76200</xdr:colOff>
          <xdr:row>3</xdr:row>
          <xdr:rowOff>0</xdr:rowOff>
        </xdr:from>
        <xdr:to>
          <xdr:col>8</xdr:col>
          <xdr:colOff>114300</xdr:colOff>
          <xdr:row>4</xdr:row>
          <xdr:rowOff>25400</xdr:rowOff>
        </xdr:to>
        <xdr:sp macro="" textlink="">
          <xdr:nvSpPr>
            <xdr:cNvPr id="4108" name="Check Box 12" hidden="1">
              <a:extLst>
                <a:ext uri="{63B3BB69-23CF-44E3-9099-C40C66FF867C}">
                  <a14:compatExt spid="_x0000_s4108"/>
                </a:ext>
                <a:ext uri="{FF2B5EF4-FFF2-40B4-BE49-F238E27FC236}">
                  <a16:creationId xmlns:a16="http://schemas.microsoft.com/office/drawing/2014/main" id="{00000000-0008-0000-0300-00000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17</xdr:row>
          <xdr:rowOff>190500</xdr:rowOff>
        </xdr:from>
        <xdr:to>
          <xdr:col>8</xdr:col>
          <xdr:colOff>76200</xdr:colOff>
          <xdr:row>19</xdr:row>
          <xdr:rowOff>38100</xdr:rowOff>
        </xdr:to>
        <xdr:sp macro="" textlink="">
          <xdr:nvSpPr>
            <xdr:cNvPr id="4115" name="Check Box 19" hidden="1">
              <a:extLst>
                <a:ext uri="{63B3BB69-23CF-44E3-9099-C40C66FF867C}">
                  <a14:compatExt spid="_x0000_s4115"/>
                </a:ext>
                <a:ext uri="{FF2B5EF4-FFF2-40B4-BE49-F238E27FC236}">
                  <a16:creationId xmlns:a16="http://schemas.microsoft.com/office/drawing/2014/main" id="{00000000-0008-0000-0300-00001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16</xdr:row>
          <xdr:rowOff>190500</xdr:rowOff>
        </xdr:from>
        <xdr:to>
          <xdr:col>8</xdr:col>
          <xdr:colOff>76200</xdr:colOff>
          <xdr:row>18</xdr:row>
          <xdr:rowOff>0</xdr:rowOff>
        </xdr:to>
        <xdr:sp macro="" textlink="">
          <xdr:nvSpPr>
            <xdr:cNvPr id="4117" name="Check Box 21" hidden="1">
              <a:extLst>
                <a:ext uri="{63B3BB69-23CF-44E3-9099-C40C66FF867C}">
                  <a14:compatExt spid="_x0000_s4117"/>
                </a:ext>
                <a:ext uri="{FF2B5EF4-FFF2-40B4-BE49-F238E27FC236}">
                  <a16:creationId xmlns:a16="http://schemas.microsoft.com/office/drawing/2014/main" id="{00000000-0008-0000-0300-00001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17</xdr:row>
          <xdr:rowOff>190500</xdr:rowOff>
        </xdr:from>
        <xdr:to>
          <xdr:col>8</xdr:col>
          <xdr:colOff>76200</xdr:colOff>
          <xdr:row>19</xdr:row>
          <xdr:rowOff>25400</xdr:rowOff>
        </xdr:to>
        <xdr:sp macro="" textlink="">
          <xdr:nvSpPr>
            <xdr:cNvPr id="4118" name="Check Box 22" hidden="1">
              <a:extLst>
                <a:ext uri="{63B3BB69-23CF-44E3-9099-C40C66FF867C}">
                  <a14:compatExt spid="_x0000_s4118"/>
                </a:ext>
                <a:ext uri="{FF2B5EF4-FFF2-40B4-BE49-F238E27FC236}">
                  <a16:creationId xmlns:a16="http://schemas.microsoft.com/office/drawing/2014/main" id="{00000000-0008-0000-0300-000016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27</xdr:row>
          <xdr:rowOff>0</xdr:rowOff>
        </xdr:from>
        <xdr:to>
          <xdr:col>8</xdr:col>
          <xdr:colOff>76200</xdr:colOff>
          <xdr:row>28</xdr:row>
          <xdr:rowOff>38100</xdr:rowOff>
        </xdr:to>
        <xdr:sp macro="" textlink="">
          <xdr:nvSpPr>
            <xdr:cNvPr id="4119" name="Check Box 23" hidden="1">
              <a:extLst>
                <a:ext uri="{63B3BB69-23CF-44E3-9099-C40C66FF867C}">
                  <a14:compatExt spid="_x0000_s4119"/>
                </a:ext>
                <a:ext uri="{FF2B5EF4-FFF2-40B4-BE49-F238E27FC236}">
                  <a16:creationId xmlns:a16="http://schemas.microsoft.com/office/drawing/2014/main" id="{00000000-0008-0000-0300-00001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30</xdr:row>
          <xdr:rowOff>190500</xdr:rowOff>
        </xdr:from>
        <xdr:to>
          <xdr:col>8</xdr:col>
          <xdr:colOff>88900</xdr:colOff>
          <xdr:row>32</xdr:row>
          <xdr:rowOff>38100</xdr:rowOff>
        </xdr:to>
        <xdr:sp macro="" textlink="">
          <xdr:nvSpPr>
            <xdr:cNvPr id="4120" name="Check Box 24" hidden="1">
              <a:extLst>
                <a:ext uri="{63B3BB69-23CF-44E3-9099-C40C66FF867C}">
                  <a14:compatExt spid="_x0000_s4120"/>
                </a:ext>
                <a:ext uri="{FF2B5EF4-FFF2-40B4-BE49-F238E27FC236}">
                  <a16:creationId xmlns:a16="http://schemas.microsoft.com/office/drawing/2014/main" id="{00000000-0008-0000-0300-00001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31</xdr:row>
          <xdr:rowOff>190500</xdr:rowOff>
        </xdr:from>
        <xdr:to>
          <xdr:col>8</xdr:col>
          <xdr:colOff>88900</xdr:colOff>
          <xdr:row>33</xdr:row>
          <xdr:rowOff>38100</xdr:rowOff>
        </xdr:to>
        <xdr:sp macro="" textlink="">
          <xdr:nvSpPr>
            <xdr:cNvPr id="4121" name="Check Box 25" hidden="1">
              <a:extLst>
                <a:ext uri="{63B3BB69-23CF-44E3-9099-C40C66FF867C}">
                  <a14:compatExt spid="_x0000_s4121"/>
                </a:ext>
                <a:ext uri="{FF2B5EF4-FFF2-40B4-BE49-F238E27FC236}">
                  <a16:creationId xmlns:a16="http://schemas.microsoft.com/office/drawing/2014/main" id="{00000000-0008-0000-0300-00001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32</xdr:row>
          <xdr:rowOff>190500</xdr:rowOff>
        </xdr:from>
        <xdr:to>
          <xdr:col>8</xdr:col>
          <xdr:colOff>88900</xdr:colOff>
          <xdr:row>34</xdr:row>
          <xdr:rowOff>38100</xdr:rowOff>
        </xdr:to>
        <xdr:sp macro="" textlink="">
          <xdr:nvSpPr>
            <xdr:cNvPr id="4122" name="Check Box 26" hidden="1">
              <a:extLst>
                <a:ext uri="{63B3BB69-23CF-44E3-9099-C40C66FF867C}">
                  <a14:compatExt spid="_x0000_s4122"/>
                </a:ext>
                <a:ext uri="{FF2B5EF4-FFF2-40B4-BE49-F238E27FC236}">
                  <a16:creationId xmlns:a16="http://schemas.microsoft.com/office/drawing/2014/main" id="{00000000-0008-0000-0300-00001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33</xdr:row>
          <xdr:rowOff>190500</xdr:rowOff>
        </xdr:from>
        <xdr:to>
          <xdr:col>8</xdr:col>
          <xdr:colOff>88900</xdr:colOff>
          <xdr:row>35</xdr:row>
          <xdr:rowOff>38100</xdr:rowOff>
        </xdr:to>
        <xdr:sp macro="" textlink="">
          <xdr:nvSpPr>
            <xdr:cNvPr id="4123" name="Check Box 27" hidden="1">
              <a:extLst>
                <a:ext uri="{63B3BB69-23CF-44E3-9099-C40C66FF867C}">
                  <a14:compatExt spid="_x0000_s4123"/>
                </a:ext>
                <a:ext uri="{FF2B5EF4-FFF2-40B4-BE49-F238E27FC236}">
                  <a16:creationId xmlns:a16="http://schemas.microsoft.com/office/drawing/2014/main" id="{00000000-0008-0000-0300-00001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30</xdr:row>
          <xdr:rowOff>190500</xdr:rowOff>
        </xdr:from>
        <xdr:to>
          <xdr:col>10</xdr:col>
          <xdr:colOff>114300</xdr:colOff>
          <xdr:row>32</xdr:row>
          <xdr:rowOff>38100</xdr:rowOff>
        </xdr:to>
        <xdr:sp macro="" textlink="">
          <xdr:nvSpPr>
            <xdr:cNvPr id="4124" name="Check Box 28" hidden="1">
              <a:extLst>
                <a:ext uri="{63B3BB69-23CF-44E3-9099-C40C66FF867C}">
                  <a14:compatExt spid="_x0000_s4124"/>
                </a:ext>
                <a:ext uri="{FF2B5EF4-FFF2-40B4-BE49-F238E27FC236}">
                  <a16:creationId xmlns:a16="http://schemas.microsoft.com/office/drawing/2014/main" id="{00000000-0008-0000-0300-00001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31</xdr:row>
          <xdr:rowOff>190500</xdr:rowOff>
        </xdr:from>
        <xdr:to>
          <xdr:col>10</xdr:col>
          <xdr:colOff>114300</xdr:colOff>
          <xdr:row>33</xdr:row>
          <xdr:rowOff>38100</xdr:rowOff>
        </xdr:to>
        <xdr:sp macro="" textlink="">
          <xdr:nvSpPr>
            <xdr:cNvPr id="4125" name="Check Box 29" hidden="1">
              <a:extLst>
                <a:ext uri="{63B3BB69-23CF-44E3-9099-C40C66FF867C}">
                  <a14:compatExt spid="_x0000_s4125"/>
                </a:ext>
                <a:ext uri="{FF2B5EF4-FFF2-40B4-BE49-F238E27FC236}">
                  <a16:creationId xmlns:a16="http://schemas.microsoft.com/office/drawing/2014/main" id="{00000000-0008-0000-0300-00001D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32</xdr:row>
          <xdr:rowOff>190500</xdr:rowOff>
        </xdr:from>
        <xdr:to>
          <xdr:col>10</xdr:col>
          <xdr:colOff>114300</xdr:colOff>
          <xdr:row>34</xdr:row>
          <xdr:rowOff>38100</xdr:rowOff>
        </xdr:to>
        <xdr:sp macro="" textlink="">
          <xdr:nvSpPr>
            <xdr:cNvPr id="4126" name="Check Box 30" hidden="1">
              <a:extLst>
                <a:ext uri="{63B3BB69-23CF-44E3-9099-C40C66FF867C}">
                  <a14:compatExt spid="_x0000_s4126"/>
                </a:ext>
                <a:ext uri="{FF2B5EF4-FFF2-40B4-BE49-F238E27FC236}">
                  <a16:creationId xmlns:a16="http://schemas.microsoft.com/office/drawing/2014/main" id="{00000000-0008-0000-0300-00001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38100</xdr:colOff>
          <xdr:row>33</xdr:row>
          <xdr:rowOff>190500</xdr:rowOff>
        </xdr:from>
        <xdr:to>
          <xdr:col>10</xdr:col>
          <xdr:colOff>114300</xdr:colOff>
          <xdr:row>35</xdr:row>
          <xdr:rowOff>38100</xdr:rowOff>
        </xdr:to>
        <xdr:sp macro="" textlink="">
          <xdr:nvSpPr>
            <xdr:cNvPr id="4127" name="Check Box 31" hidden="1">
              <a:extLst>
                <a:ext uri="{63B3BB69-23CF-44E3-9099-C40C66FF867C}">
                  <a14:compatExt spid="_x0000_s4127"/>
                </a:ext>
                <a:ext uri="{FF2B5EF4-FFF2-40B4-BE49-F238E27FC236}">
                  <a16:creationId xmlns:a16="http://schemas.microsoft.com/office/drawing/2014/main" id="{00000000-0008-0000-0300-00001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38100</xdr:colOff>
          <xdr:row>30</xdr:row>
          <xdr:rowOff>190500</xdr:rowOff>
        </xdr:from>
        <xdr:to>
          <xdr:col>12</xdr:col>
          <xdr:colOff>114300</xdr:colOff>
          <xdr:row>32</xdr:row>
          <xdr:rowOff>38100</xdr:rowOff>
        </xdr:to>
        <xdr:sp macro="" textlink="">
          <xdr:nvSpPr>
            <xdr:cNvPr id="4128" name="Check Box 32" hidden="1">
              <a:extLst>
                <a:ext uri="{63B3BB69-23CF-44E3-9099-C40C66FF867C}">
                  <a14:compatExt spid="_x0000_s4128"/>
                </a:ext>
                <a:ext uri="{FF2B5EF4-FFF2-40B4-BE49-F238E27FC236}">
                  <a16:creationId xmlns:a16="http://schemas.microsoft.com/office/drawing/2014/main" id="{00000000-0008-0000-0300-00002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38100</xdr:colOff>
          <xdr:row>31</xdr:row>
          <xdr:rowOff>190500</xdr:rowOff>
        </xdr:from>
        <xdr:to>
          <xdr:col>12</xdr:col>
          <xdr:colOff>114300</xdr:colOff>
          <xdr:row>33</xdr:row>
          <xdr:rowOff>38100</xdr:rowOff>
        </xdr:to>
        <xdr:sp macro="" textlink="">
          <xdr:nvSpPr>
            <xdr:cNvPr id="4129" name="Check Box 33" hidden="1">
              <a:extLst>
                <a:ext uri="{63B3BB69-23CF-44E3-9099-C40C66FF867C}">
                  <a14:compatExt spid="_x0000_s4129"/>
                </a:ext>
                <a:ext uri="{FF2B5EF4-FFF2-40B4-BE49-F238E27FC236}">
                  <a16:creationId xmlns:a16="http://schemas.microsoft.com/office/drawing/2014/main" id="{00000000-0008-0000-0300-00002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38100</xdr:colOff>
          <xdr:row>32</xdr:row>
          <xdr:rowOff>190500</xdr:rowOff>
        </xdr:from>
        <xdr:to>
          <xdr:col>12</xdr:col>
          <xdr:colOff>114300</xdr:colOff>
          <xdr:row>34</xdr:row>
          <xdr:rowOff>38100</xdr:rowOff>
        </xdr:to>
        <xdr:sp macro="" textlink="">
          <xdr:nvSpPr>
            <xdr:cNvPr id="4130" name="Check Box 34" hidden="1">
              <a:extLst>
                <a:ext uri="{63B3BB69-23CF-44E3-9099-C40C66FF867C}">
                  <a14:compatExt spid="_x0000_s4130"/>
                </a:ext>
                <a:ext uri="{FF2B5EF4-FFF2-40B4-BE49-F238E27FC236}">
                  <a16:creationId xmlns:a16="http://schemas.microsoft.com/office/drawing/2014/main" id="{00000000-0008-0000-0300-00002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38100</xdr:colOff>
          <xdr:row>33</xdr:row>
          <xdr:rowOff>190500</xdr:rowOff>
        </xdr:from>
        <xdr:to>
          <xdr:col>12</xdr:col>
          <xdr:colOff>114300</xdr:colOff>
          <xdr:row>35</xdr:row>
          <xdr:rowOff>38100</xdr:rowOff>
        </xdr:to>
        <xdr:sp macro="" textlink="">
          <xdr:nvSpPr>
            <xdr:cNvPr id="4131" name="Check Box 35" hidden="1">
              <a:extLst>
                <a:ext uri="{63B3BB69-23CF-44E3-9099-C40C66FF867C}">
                  <a14:compatExt spid="_x0000_s4131"/>
                </a:ext>
                <a:ext uri="{FF2B5EF4-FFF2-40B4-BE49-F238E27FC236}">
                  <a16:creationId xmlns:a16="http://schemas.microsoft.com/office/drawing/2014/main" id="{00000000-0008-0000-0300-000023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38100</xdr:colOff>
          <xdr:row>30</xdr:row>
          <xdr:rowOff>190500</xdr:rowOff>
        </xdr:from>
        <xdr:to>
          <xdr:col>14</xdr:col>
          <xdr:colOff>101600</xdr:colOff>
          <xdr:row>32</xdr:row>
          <xdr:rowOff>38100</xdr:rowOff>
        </xdr:to>
        <xdr:sp macro="" textlink="">
          <xdr:nvSpPr>
            <xdr:cNvPr id="4132" name="Check Box 36" hidden="1">
              <a:extLst>
                <a:ext uri="{63B3BB69-23CF-44E3-9099-C40C66FF867C}">
                  <a14:compatExt spid="_x0000_s4132"/>
                </a:ext>
                <a:ext uri="{FF2B5EF4-FFF2-40B4-BE49-F238E27FC236}">
                  <a16:creationId xmlns:a16="http://schemas.microsoft.com/office/drawing/2014/main" id="{00000000-0008-0000-0300-000024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38100</xdr:colOff>
          <xdr:row>31</xdr:row>
          <xdr:rowOff>190500</xdr:rowOff>
        </xdr:from>
        <xdr:to>
          <xdr:col>14</xdr:col>
          <xdr:colOff>101600</xdr:colOff>
          <xdr:row>33</xdr:row>
          <xdr:rowOff>38100</xdr:rowOff>
        </xdr:to>
        <xdr:sp macro="" textlink="">
          <xdr:nvSpPr>
            <xdr:cNvPr id="4133" name="Check Box 37" hidden="1">
              <a:extLst>
                <a:ext uri="{63B3BB69-23CF-44E3-9099-C40C66FF867C}">
                  <a14:compatExt spid="_x0000_s4133"/>
                </a:ext>
                <a:ext uri="{FF2B5EF4-FFF2-40B4-BE49-F238E27FC236}">
                  <a16:creationId xmlns:a16="http://schemas.microsoft.com/office/drawing/2014/main" id="{00000000-0008-0000-0300-00002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38100</xdr:colOff>
          <xdr:row>11</xdr:row>
          <xdr:rowOff>190500</xdr:rowOff>
        </xdr:from>
        <xdr:to>
          <xdr:col>1</xdr:col>
          <xdr:colOff>88900</xdr:colOff>
          <xdr:row>13</xdr:row>
          <xdr:rowOff>0</xdr:rowOff>
        </xdr:to>
        <xdr:sp macro="" textlink="">
          <xdr:nvSpPr>
            <xdr:cNvPr id="4136" name="Check Box 40" hidden="1">
              <a:extLst>
                <a:ext uri="{63B3BB69-23CF-44E3-9099-C40C66FF867C}">
                  <a14:compatExt spid="_x0000_s4136"/>
                </a:ext>
                <a:ext uri="{FF2B5EF4-FFF2-40B4-BE49-F238E27FC236}">
                  <a16:creationId xmlns:a16="http://schemas.microsoft.com/office/drawing/2014/main" id="{00000000-0008-0000-0300-00002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63500</xdr:colOff>
          <xdr:row>13</xdr:row>
          <xdr:rowOff>177800</xdr:rowOff>
        </xdr:from>
        <xdr:to>
          <xdr:col>1</xdr:col>
          <xdr:colOff>88900</xdr:colOff>
          <xdr:row>14</xdr:row>
          <xdr:rowOff>190500</xdr:rowOff>
        </xdr:to>
        <xdr:sp macro="" textlink="">
          <xdr:nvSpPr>
            <xdr:cNvPr id="4137" name="Check Box 41" hidden="1">
              <a:extLst>
                <a:ext uri="{63B3BB69-23CF-44E3-9099-C40C66FF867C}">
                  <a14:compatExt spid="_x0000_s4137"/>
                </a:ext>
                <a:ext uri="{FF2B5EF4-FFF2-40B4-BE49-F238E27FC236}">
                  <a16:creationId xmlns:a16="http://schemas.microsoft.com/office/drawing/2014/main" id="{00000000-0008-0000-0300-00002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76200</xdr:colOff>
          <xdr:row>2</xdr:row>
          <xdr:rowOff>0</xdr:rowOff>
        </xdr:from>
        <xdr:to>
          <xdr:col>8</xdr:col>
          <xdr:colOff>114300</xdr:colOff>
          <xdr:row>3</xdr:row>
          <xdr:rowOff>38100</xdr:rowOff>
        </xdr:to>
        <xdr:sp macro="" textlink="">
          <xdr:nvSpPr>
            <xdr:cNvPr id="4142" name="Check Box 46" hidden="1">
              <a:extLst>
                <a:ext uri="{63B3BB69-23CF-44E3-9099-C40C66FF867C}">
                  <a14:compatExt spid="_x0000_s4142"/>
                </a:ext>
                <a:ext uri="{FF2B5EF4-FFF2-40B4-BE49-F238E27FC236}">
                  <a16:creationId xmlns:a16="http://schemas.microsoft.com/office/drawing/2014/main" id="{00000000-0008-0000-0300-00002E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38100</xdr:colOff>
          <xdr:row>3</xdr:row>
          <xdr:rowOff>190500</xdr:rowOff>
        </xdr:from>
        <xdr:to>
          <xdr:col>1</xdr:col>
          <xdr:colOff>88900</xdr:colOff>
          <xdr:row>5</xdr:row>
          <xdr:rowOff>0</xdr:rowOff>
        </xdr:to>
        <xdr:sp macro="" textlink="">
          <xdr:nvSpPr>
            <xdr:cNvPr id="4143" name="Check Box 47" hidden="1">
              <a:extLst>
                <a:ext uri="{63B3BB69-23CF-44E3-9099-C40C66FF867C}">
                  <a14:compatExt spid="_x0000_s4143"/>
                </a:ext>
                <a:ext uri="{FF2B5EF4-FFF2-40B4-BE49-F238E27FC236}">
                  <a16:creationId xmlns:a16="http://schemas.microsoft.com/office/drawing/2014/main" id="{00000000-0008-0000-0300-00002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63500</xdr:colOff>
          <xdr:row>6</xdr:row>
          <xdr:rowOff>190500</xdr:rowOff>
        </xdr:from>
        <xdr:to>
          <xdr:col>8</xdr:col>
          <xdr:colOff>88900</xdr:colOff>
          <xdr:row>7</xdr:row>
          <xdr:rowOff>190500</xdr:rowOff>
        </xdr:to>
        <xdr:sp macro="" textlink="">
          <xdr:nvSpPr>
            <xdr:cNvPr id="4144" name="Check Box 48" hidden="1">
              <a:extLst>
                <a:ext uri="{63B3BB69-23CF-44E3-9099-C40C66FF867C}">
                  <a14:compatExt spid="_x0000_s4144"/>
                </a:ext>
                <a:ext uri="{FF2B5EF4-FFF2-40B4-BE49-F238E27FC236}">
                  <a16:creationId xmlns:a16="http://schemas.microsoft.com/office/drawing/2014/main" id="{00000000-0008-0000-0300-000030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63500</xdr:colOff>
          <xdr:row>8</xdr:row>
          <xdr:rowOff>0</xdr:rowOff>
        </xdr:from>
        <xdr:to>
          <xdr:col>8</xdr:col>
          <xdr:colOff>88900</xdr:colOff>
          <xdr:row>9</xdr:row>
          <xdr:rowOff>25400</xdr:rowOff>
        </xdr:to>
        <xdr:sp macro="" textlink="">
          <xdr:nvSpPr>
            <xdr:cNvPr id="4145" name="Check Box 49" hidden="1">
              <a:extLst>
                <a:ext uri="{63B3BB69-23CF-44E3-9099-C40C66FF867C}">
                  <a14:compatExt spid="_x0000_s4145"/>
                </a:ext>
                <a:ext uri="{FF2B5EF4-FFF2-40B4-BE49-F238E27FC236}">
                  <a16:creationId xmlns:a16="http://schemas.microsoft.com/office/drawing/2014/main" id="{00000000-0008-0000-0300-000031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8</xdr:row>
          <xdr:rowOff>190500</xdr:rowOff>
        </xdr:from>
        <xdr:to>
          <xdr:col>8</xdr:col>
          <xdr:colOff>88900</xdr:colOff>
          <xdr:row>10</xdr:row>
          <xdr:rowOff>0</xdr:rowOff>
        </xdr:to>
        <xdr:sp macro="" textlink="">
          <xdr:nvSpPr>
            <xdr:cNvPr id="4146" name="Check Box 50" hidden="1">
              <a:extLst>
                <a:ext uri="{63B3BB69-23CF-44E3-9099-C40C66FF867C}">
                  <a14:compatExt spid="_x0000_s4146"/>
                </a:ext>
                <a:ext uri="{FF2B5EF4-FFF2-40B4-BE49-F238E27FC236}">
                  <a16:creationId xmlns:a16="http://schemas.microsoft.com/office/drawing/2014/main" id="{00000000-0008-0000-0300-00003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19</xdr:row>
          <xdr:rowOff>0</xdr:rowOff>
        </xdr:from>
        <xdr:to>
          <xdr:col>8</xdr:col>
          <xdr:colOff>76200</xdr:colOff>
          <xdr:row>20</xdr:row>
          <xdr:rowOff>25400</xdr:rowOff>
        </xdr:to>
        <xdr:sp macro="" textlink="">
          <xdr:nvSpPr>
            <xdr:cNvPr id="4149" name="Check Box 53" hidden="1">
              <a:extLst>
                <a:ext uri="{63B3BB69-23CF-44E3-9099-C40C66FF867C}">
                  <a14:compatExt spid="_x0000_s4149"/>
                </a:ext>
                <a:ext uri="{FF2B5EF4-FFF2-40B4-BE49-F238E27FC236}">
                  <a16:creationId xmlns:a16="http://schemas.microsoft.com/office/drawing/2014/main" id="{00000000-0008-0000-0300-000035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20</xdr:row>
          <xdr:rowOff>25400</xdr:rowOff>
        </xdr:from>
        <xdr:to>
          <xdr:col>8</xdr:col>
          <xdr:colOff>76200</xdr:colOff>
          <xdr:row>21</xdr:row>
          <xdr:rowOff>50800</xdr:rowOff>
        </xdr:to>
        <xdr:sp macro="" textlink="">
          <xdr:nvSpPr>
            <xdr:cNvPr id="4151" name="Check Box 55" hidden="1">
              <a:extLst>
                <a:ext uri="{63B3BB69-23CF-44E3-9099-C40C66FF867C}">
                  <a14:compatExt spid="_x0000_s4151"/>
                </a:ext>
                <a:ext uri="{FF2B5EF4-FFF2-40B4-BE49-F238E27FC236}">
                  <a16:creationId xmlns:a16="http://schemas.microsoft.com/office/drawing/2014/main" id="{00000000-0008-0000-0300-00003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21</xdr:row>
          <xdr:rowOff>12700</xdr:rowOff>
        </xdr:from>
        <xdr:to>
          <xdr:col>8</xdr:col>
          <xdr:colOff>76200</xdr:colOff>
          <xdr:row>22</xdr:row>
          <xdr:rowOff>38100</xdr:rowOff>
        </xdr:to>
        <xdr:sp macro="" textlink="">
          <xdr:nvSpPr>
            <xdr:cNvPr id="4153" name="Check Box 57" hidden="1">
              <a:extLst>
                <a:ext uri="{63B3BB69-23CF-44E3-9099-C40C66FF867C}">
                  <a14:compatExt spid="_x0000_s4153"/>
                </a:ext>
                <a:ext uri="{FF2B5EF4-FFF2-40B4-BE49-F238E27FC236}">
                  <a16:creationId xmlns:a16="http://schemas.microsoft.com/office/drawing/2014/main" id="{00000000-0008-0000-0300-00003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38100</xdr:colOff>
          <xdr:row>32</xdr:row>
          <xdr:rowOff>190500</xdr:rowOff>
        </xdr:from>
        <xdr:to>
          <xdr:col>14</xdr:col>
          <xdr:colOff>101600</xdr:colOff>
          <xdr:row>34</xdr:row>
          <xdr:rowOff>38100</xdr:rowOff>
        </xdr:to>
        <xdr:sp macro="" textlink="">
          <xdr:nvSpPr>
            <xdr:cNvPr id="4155" name="Check Box 59" hidden="1">
              <a:extLst>
                <a:ext uri="{63B3BB69-23CF-44E3-9099-C40C66FF867C}">
                  <a14:compatExt spid="_x0000_s4155"/>
                </a:ext>
                <a:ext uri="{FF2B5EF4-FFF2-40B4-BE49-F238E27FC236}">
                  <a16:creationId xmlns:a16="http://schemas.microsoft.com/office/drawing/2014/main" id="{00000000-0008-0000-0300-00003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38100</xdr:colOff>
          <xdr:row>33</xdr:row>
          <xdr:rowOff>190500</xdr:rowOff>
        </xdr:from>
        <xdr:to>
          <xdr:col>14</xdr:col>
          <xdr:colOff>101600</xdr:colOff>
          <xdr:row>35</xdr:row>
          <xdr:rowOff>38100</xdr:rowOff>
        </xdr:to>
        <xdr:sp macro="" textlink="">
          <xdr:nvSpPr>
            <xdr:cNvPr id="4156" name="Check Box 60" hidden="1">
              <a:extLst>
                <a:ext uri="{63B3BB69-23CF-44E3-9099-C40C66FF867C}">
                  <a14:compatExt spid="_x0000_s4156"/>
                </a:ext>
                <a:ext uri="{FF2B5EF4-FFF2-40B4-BE49-F238E27FC236}">
                  <a16:creationId xmlns:a16="http://schemas.microsoft.com/office/drawing/2014/main" id="{00000000-0008-0000-0300-00003C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38100</xdr:colOff>
          <xdr:row>2</xdr:row>
          <xdr:rowOff>0</xdr:rowOff>
        </xdr:from>
        <xdr:to>
          <xdr:col>1</xdr:col>
          <xdr:colOff>88900</xdr:colOff>
          <xdr:row>3</xdr:row>
          <xdr:rowOff>38100</xdr:rowOff>
        </xdr:to>
        <xdr:sp macro="" textlink="">
          <xdr:nvSpPr>
            <xdr:cNvPr id="4159" name="Check Box 63" hidden="1">
              <a:extLst>
                <a:ext uri="{63B3BB69-23CF-44E3-9099-C40C66FF867C}">
                  <a14:compatExt spid="_x0000_s4159"/>
                </a:ext>
                <a:ext uri="{FF2B5EF4-FFF2-40B4-BE49-F238E27FC236}">
                  <a16:creationId xmlns:a16="http://schemas.microsoft.com/office/drawing/2014/main" id="{00000000-0008-0000-0300-00003F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38100</xdr:colOff>
          <xdr:row>15</xdr:row>
          <xdr:rowOff>190500</xdr:rowOff>
        </xdr:from>
        <xdr:to>
          <xdr:col>8</xdr:col>
          <xdr:colOff>76200</xdr:colOff>
          <xdr:row>17</xdr:row>
          <xdr:rowOff>0</xdr:rowOff>
        </xdr:to>
        <xdr:sp macro="" textlink="">
          <xdr:nvSpPr>
            <xdr:cNvPr id="4162" name="Check Box 66" hidden="1">
              <a:extLst>
                <a:ext uri="{63B3BB69-23CF-44E3-9099-C40C66FF867C}">
                  <a14:compatExt spid="_x0000_s4162"/>
                </a:ext>
                <a:ext uri="{FF2B5EF4-FFF2-40B4-BE49-F238E27FC236}">
                  <a16:creationId xmlns:a16="http://schemas.microsoft.com/office/drawing/2014/main" id="{00000000-0008-0000-0300-00004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0</xdr:col>
      <xdr:colOff>9525</xdr:colOff>
      <xdr:row>32</xdr:row>
      <xdr:rowOff>9525</xdr:rowOff>
    </xdr:from>
    <xdr:to>
      <xdr:col>3</xdr:col>
      <xdr:colOff>342900</xdr:colOff>
      <xdr:row>36</xdr:row>
      <xdr:rowOff>142875</xdr:rowOff>
    </xdr:to>
    <xdr:sp macro="" textlink="">
      <xdr:nvSpPr>
        <xdr:cNvPr id="3073" name="Text Box 1">
          <a:extLst>
            <a:ext uri="{FF2B5EF4-FFF2-40B4-BE49-F238E27FC236}">
              <a16:creationId xmlns:a16="http://schemas.microsoft.com/office/drawing/2014/main" id="{00000000-0008-0000-0400-0000010C0000}"/>
            </a:ext>
          </a:extLst>
        </xdr:cNvPr>
        <xdr:cNvSpPr txBox="1">
          <a:spLocks noChangeArrowheads="1"/>
        </xdr:cNvSpPr>
      </xdr:nvSpPr>
      <xdr:spPr bwMode="auto">
        <a:xfrm>
          <a:off x="495300" y="6696075"/>
          <a:ext cx="1971675" cy="742950"/>
        </a:xfrm>
        <a:prstGeom prst="rect">
          <a:avLst/>
        </a:prstGeom>
        <a:solidFill>
          <a:schemeClr val="bg1">
            <a:lumMod val="95000"/>
          </a:schemeClr>
        </a:solidFill>
        <a:ln w="9525">
          <a:noFill/>
          <a:miter lim="800000"/>
          <a:headEnd/>
          <a:tailEnd/>
        </a:ln>
      </xdr:spPr>
      <xdr:txBody>
        <a:bodyPr vertOverflow="clip" wrap="square" lIns="27432" tIns="18288" rIns="0" bIns="0" anchor="t" upright="1"/>
        <a:lstStyle/>
        <a:p>
          <a:pPr algn="l" rtl="0">
            <a:defRPr sz="1000"/>
          </a:pPr>
          <a:r>
            <a:rPr lang="en-US" sz="800" b="1" i="0" u="none" strike="noStrike" baseline="0">
              <a:solidFill>
                <a:srgbClr val="000000"/>
              </a:solidFill>
              <a:latin typeface="Arial"/>
              <a:cs typeface="Arial"/>
            </a:rPr>
            <a:t>Special Equipment Suffix</a:t>
          </a:r>
          <a:endParaRPr lang="en-US" sz="800" b="0" i="0" u="none" strike="noStrike" baseline="0">
            <a:solidFill>
              <a:srgbClr val="000000"/>
            </a:solidFill>
            <a:latin typeface="Arial"/>
            <a:cs typeface="Arial"/>
          </a:endParaRPr>
        </a:p>
        <a:p>
          <a:pPr algn="l" rtl="0">
            <a:defRPr sz="1000"/>
          </a:pPr>
          <a:r>
            <a:rPr lang="en-US" sz="700" b="0" i="0" u="none" strike="noStrike" baseline="0">
              <a:solidFill>
                <a:srgbClr val="000000"/>
              </a:solidFill>
              <a:latin typeface="Arial"/>
              <a:cs typeface="Arial"/>
            </a:rPr>
            <a:t>/X-No transponder</a:t>
          </a:r>
        </a:p>
        <a:p>
          <a:pPr algn="l" rtl="0">
            <a:defRPr sz="1000"/>
          </a:pPr>
          <a:r>
            <a:rPr lang="en-US" sz="700" b="0" i="0" u="none" strike="noStrike" baseline="0">
              <a:solidFill>
                <a:srgbClr val="000000"/>
              </a:solidFill>
              <a:latin typeface="Arial"/>
              <a:cs typeface="Arial"/>
            </a:rPr>
            <a:t>/T-Transponder with no altitude encoding </a:t>
          </a:r>
        </a:p>
        <a:p>
          <a:pPr algn="l" rtl="0">
            <a:defRPr sz="1000"/>
          </a:pPr>
          <a:r>
            <a:rPr lang="en-US" sz="700" b="0" i="0" u="none" strike="noStrike" baseline="0">
              <a:solidFill>
                <a:srgbClr val="000000"/>
              </a:solidFill>
              <a:latin typeface="Arial"/>
              <a:cs typeface="Arial"/>
            </a:rPr>
            <a:t>       capability</a:t>
          </a:r>
        </a:p>
        <a:p>
          <a:pPr algn="l" rtl="0">
            <a:defRPr sz="1000"/>
          </a:pPr>
          <a:r>
            <a:rPr lang="en-US" sz="700" b="0" i="0" u="none" strike="noStrike" baseline="0">
              <a:solidFill>
                <a:srgbClr val="000000"/>
              </a:solidFill>
              <a:latin typeface="Arial"/>
              <a:cs typeface="Arial"/>
            </a:rPr>
            <a:t>/U-Transponder with altitude encoding capability</a:t>
          </a:r>
        </a:p>
        <a:p>
          <a:pPr algn="l" rtl="0">
            <a:defRPr sz="1000"/>
          </a:pPr>
          <a:r>
            <a:rPr lang="en-US" sz="700" b="0" i="0" u="none" strike="noStrike" baseline="0">
              <a:solidFill>
                <a:srgbClr val="000000"/>
              </a:solidFill>
              <a:latin typeface="Arial"/>
              <a:cs typeface="Arial"/>
            </a:rPr>
            <a:t>/D-DME, no transponder</a:t>
          </a:r>
        </a:p>
      </xdr:txBody>
    </xdr:sp>
    <xdr:clientData/>
  </xdr:twoCellAnchor>
  <xdr:twoCellAnchor>
    <xdr:from>
      <xdr:col>3</xdr:col>
      <xdr:colOff>400050</xdr:colOff>
      <xdr:row>32</xdr:row>
      <xdr:rowOff>38100</xdr:rowOff>
    </xdr:from>
    <xdr:to>
      <xdr:col>5</xdr:col>
      <xdr:colOff>238125</xdr:colOff>
      <xdr:row>36</xdr:row>
      <xdr:rowOff>142875</xdr:rowOff>
    </xdr:to>
    <xdr:sp macro="" textlink="">
      <xdr:nvSpPr>
        <xdr:cNvPr id="3074" name="Text Box 2">
          <a:extLst>
            <a:ext uri="{FF2B5EF4-FFF2-40B4-BE49-F238E27FC236}">
              <a16:creationId xmlns:a16="http://schemas.microsoft.com/office/drawing/2014/main" id="{00000000-0008-0000-0400-0000020C0000}"/>
            </a:ext>
          </a:extLst>
        </xdr:cNvPr>
        <xdr:cNvSpPr txBox="1">
          <a:spLocks noChangeArrowheads="1"/>
        </xdr:cNvSpPr>
      </xdr:nvSpPr>
      <xdr:spPr bwMode="auto">
        <a:xfrm>
          <a:off x="2524125" y="6724650"/>
          <a:ext cx="1619250" cy="714375"/>
        </a:xfrm>
        <a:prstGeom prst="rect">
          <a:avLst/>
        </a:prstGeom>
        <a:solidFill>
          <a:schemeClr val="bg1">
            <a:lumMod val="95000"/>
          </a:schemeClr>
        </a:solidFill>
        <a:ln w="9525">
          <a:noFill/>
          <a:miter lim="800000"/>
          <a:headEnd/>
          <a:tailEnd/>
        </a:ln>
      </xdr:spPr>
      <xdr:txBody>
        <a:bodyPr vertOverflow="clip" wrap="square" lIns="27432" tIns="18288" rIns="0" bIns="0" anchor="t" upright="1"/>
        <a:lstStyle/>
        <a:p>
          <a:pPr algn="l" rtl="0">
            <a:defRPr sz="1000"/>
          </a:pPr>
          <a:r>
            <a:rPr lang="en-US" sz="700" b="0" i="0" u="none" strike="noStrike" baseline="0">
              <a:solidFill>
                <a:srgbClr val="000000"/>
              </a:solidFill>
              <a:latin typeface="Arial"/>
              <a:cs typeface="Arial"/>
            </a:rPr>
            <a:t>/B-DME, transponder with no altitude </a:t>
          </a:r>
        </a:p>
        <a:p>
          <a:pPr algn="l" rtl="0">
            <a:defRPr sz="1000"/>
          </a:pPr>
          <a:r>
            <a:rPr lang="en-US" sz="700" b="0" i="0" u="none" strike="noStrike" baseline="0">
              <a:solidFill>
                <a:srgbClr val="000000"/>
              </a:solidFill>
              <a:latin typeface="Arial"/>
              <a:cs typeface="Arial"/>
            </a:rPr>
            <a:t>       encoding capability</a:t>
          </a:r>
        </a:p>
        <a:p>
          <a:pPr algn="l" rtl="0">
            <a:defRPr sz="1000"/>
          </a:pPr>
          <a:r>
            <a:rPr lang="en-US" sz="700" b="0" i="0" u="none" strike="noStrike" baseline="0">
              <a:solidFill>
                <a:srgbClr val="000000"/>
              </a:solidFill>
              <a:latin typeface="Arial"/>
              <a:cs typeface="Arial"/>
            </a:rPr>
            <a:t>/A-DME, transponder with altitude </a:t>
          </a:r>
        </a:p>
        <a:p>
          <a:pPr algn="l" rtl="0">
            <a:defRPr sz="1000"/>
          </a:pPr>
          <a:r>
            <a:rPr lang="en-US" sz="700" b="0" i="0" u="none" strike="noStrike" baseline="0">
              <a:solidFill>
                <a:srgbClr val="000000"/>
              </a:solidFill>
              <a:latin typeface="Arial"/>
              <a:cs typeface="Arial"/>
            </a:rPr>
            <a:t>       encoding capability</a:t>
          </a:r>
        </a:p>
        <a:p>
          <a:pPr algn="l" rtl="0">
            <a:defRPr sz="1000"/>
          </a:pPr>
          <a:r>
            <a:rPr lang="en-US" sz="700" b="0" i="0" u="none" strike="noStrike" baseline="0">
              <a:solidFill>
                <a:srgbClr val="000000"/>
              </a:solidFill>
              <a:latin typeface="Arial"/>
              <a:cs typeface="Arial"/>
            </a:rPr>
            <a:t>/C-RNAV, transponder with no altitude </a:t>
          </a:r>
        </a:p>
        <a:p>
          <a:pPr algn="l" rtl="0">
            <a:defRPr sz="1000"/>
          </a:pPr>
          <a:r>
            <a:rPr lang="en-US" sz="700" b="0" i="0" u="none" strike="noStrike" baseline="0">
              <a:solidFill>
                <a:srgbClr val="000000"/>
              </a:solidFill>
              <a:latin typeface="Arial"/>
              <a:cs typeface="Arial"/>
            </a:rPr>
            <a:t>       encoding capability</a:t>
          </a:r>
        </a:p>
      </xdr:txBody>
    </xdr:sp>
    <xdr:clientData/>
  </xdr:twoCellAnchor>
  <xdr:twoCellAnchor>
    <xdr:from>
      <xdr:col>5</xdr:col>
      <xdr:colOff>247650</xdr:colOff>
      <xdr:row>32</xdr:row>
      <xdr:rowOff>0</xdr:rowOff>
    </xdr:from>
    <xdr:to>
      <xdr:col>9</xdr:col>
      <xdr:colOff>9525</xdr:colOff>
      <xdr:row>37</xdr:row>
      <xdr:rowOff>9525</xdr:rowOff>
    </xdr:to>
    <xdr:sp macro="" textlink="">
      <xdr:nvSpPr>
        <xdr:cNvPr id="3075" name="Text Box 3">
          <a:extLst>
            <a:ext uri="{FF2B5EF4-FFF2-40B4-BE49-F238E27FC236}">
              <a16:creationId xmlns:a16="http://schemas.microsoft.com/office/drawing/2014/main" id="{00000000-0008-0000-0400-0000030C0000}"/>
            </a:ext>
          </a:extLst>
        </xdr:cNvPr>
        <xdr:cNvSpPr txBox="1">
          <a:spLocks noChangeArrowheads="1"/>
        </xdr:cNvSpPr>
      </xdr:nvSpPr>
      <xdr:spPr bwMode="auto">
        <a:xfrm>
          <a:off x="4152900" y="6686550"/>
          <a:ext cx="2305050" cy="771525"/>
        </a:xfrm>
        <a:prstGeom prst="rect">
          <a:avLst/>
        </a:prstGeom>
        <a:solidFill>
          <a:schemeClr val="bg1">
            <a:lumMod val="95000"/>
          </a:schemeClr>
        </a:solidFill>
        <a:ln w="9525">
          <a:noFill/>
          <a:miter lim="800000"/>
          <a:headEnd/>
          <a:tailEnd/>
        </a:ln>
      </xdr:spPr>
      <xdr:txBody>
        <a:bodyPr vertOverflow="clip" wrap="square" lIns="27432" tIns="18288" rIns="0" bIns="0" anchor="t" upright="1"/>
        <a:lstStyle/>
        <a:p>
          <a:pPr algn="l" rtl="0">
            <a:defRPr sz="1000"/>
          </a:pPr>
          <a:r>
            <a:rPr lang="en-US" sz="700" b="0" i="0" u="none" strike="noStrike" baseline="0">
              <a:solidFill>
                <a:srgbClr val="000000"/>
              </a:solidFill>
              <a:latin typeface="Arial"/>
              <a:cs typeface="Arial"/>
            </a:rPr>
            <a:t>/R-RNAV, transponder with altitude encoding capability</a:t>
          </a:r>
        </a:p>
        <a:p>
          <a:pPr algn="l" rtl="0">
            <a:defRPr sz="1000"/>
          </a:pPr>
          <a:r>
            <a:rPr lang="en-US" sz="700" b="0" i="0" u="none" strike="noStrike" baseline="0">
              <a:solidFill>
                <a:srgbClr val="000000"/>
              </a:solidFill>
              <a:latin typeface="Arial"/>
              <a:cs typeface="Arial"/>
            </a:rPr>
            <a:t>/W-RNAV, no transponder</a:t>
          </a:r>
        </a:p>
        <a:p>
          <a:pPr algn="l" rtl="0">
            <a:defRPr sz="1000"/>
          </a:pPr>
          <a:r>
            <a:rPr lang="en-US" sz="700" b="0" i="0" u="none" strike="noStrike" baseline="0">
              <a:solidFill>
                <a:srgbClr val="000000"/>
              </a:solidFill>
              <a:latin typeface="Arial"/>
              <a:cs typeface="Arial"/>
            </a:rPr>
            <a:t>/G-Flight Management System(FMS) and Electronic </a:t>
          </a:r>
        </a:p>
        <a:p>
          <a:pPr algn="l" rtl="0">
            <a:lnSpc>
              <a:spcPts val="700"/>
            </a:lnSpc>
            <a:defRPr sz="1000"/>
          </a:pPr>
          <a:r>
            <a:rPr lang="en-US" sz="700" b="0" i="0" u="none" strike="noStrike" baseline="0">
              <a:solidFill>
                <a:srgbClr val="000000"/>
              </a:solidFill>
              <a:latin typeface="Arial"/>
              <a:cs typeface="Arial"/>
            </a:rPr>
            <a:t>     Flight Instrument System(EFIS) equipped aircraft with</a:t>
          </a:r>
          <a:br>
            <a:rPr lang="en-US" sz="700" b="0" i="0" u="none" strike="noStrike" baseline="0">
              <a:solidFill>
                <a:srgbClr val="000000"/>
              </a:solidFill>
              <a:latin typeface="Arial"/>
              <a:cs typeface="Arial"/>
            </a:rPr>
          </a:br>
          <a:r>
            <a:rPr lang="en-US" sz="700" b="0" i="0" u="none" strike="noStrike" baseline="0">
              <a:solidFill>
                <a:srgbClr val="000000"/>
              </a:solidFill>
              <a:latin typeface="Arial"/>
              <a:cs typeface="Arial"/>
            </a:rPr>
            <a:t>     /R capability having a "Special Aircraft and Aircrew </a:t>
          </a:r>
        </a:p>
        <a:p>
          <a:pPr algn="l" rtl="0">
            <a:lnSpc>
              <a:spcPts val="700"/>
            </a:lnSpc>
            <a:defRPr sz="1000"/>
          </a:pPr>
          <a:r>
            <a:rPr lang="en-US" sz="700" b="0" i="0" u="none" strike="noStrike" baseline="0">
              <a:solidFill>
                <a:srgbClr val="000000"/>
              </a:solidFill>
              <a:latin typeface="Arial"/>
              <a:cs typeface="Arial"/>
            </a:rPr>
            <a:t>     Authorization" issued by the FAA</a:t>
          </a:r>
        </a:p>
      </xdr:txBody>
    </xdr:sp>
    <xdr:clientData/>
  </xdr:twoCellAnchor>
  <mc:AlternateContent xmlns:mc="http://schemas.openxmlformats.org/markup-compatibility/2006">
    <mc:Choice xmlns:a14="http://schemas.microsoft.com/office/drawing/2010/main" Requires="a14">
      <xdr:twoCellAnchor>
        <xdr:from>
          <xdr:col>0</xdr:col>
          <xdr:colOff>0</xdr:colOff>
          <xdr:row>12</xdr:row>
          <xdr:rowOff>152400</xdr:rowOff>
        </xdr:from>
        <xdr:to>
          <xdr:col>1</xdr:col>
          <xdr:colOff>139700</xdr:colOff>
          <xdr:row>14</xdr:row>
          <xdr:rowOff>38100</xdr:rowOff>
        </xdr:to>
        <xdr:sp macro="" textlink="">
          <xdr:nvSpPr>
            <xdr:cNvPr id="3076" name="Check Box 4" hidden="1">
              <a:extLst>
                <a:ext uri="{63B3BB69-23CF-44E3-9099-C40C66FF867C}">
                  <a14:compatExt spid="_x0000_s3076"/>
                </a:ext>
                <a:ext uri="{FF2B5EF4-FFF2-40B4-BE49-F238E27FC236}">
                  <a16:creationId xmlns:a16="http://schemas.microsoft.com/office/drawing/2014/main" id="{00000000-0008-0000-0400-00000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0</xdr:colOff>
          <xdr:row>13</xdr:row>
          <xdr:rowOff>152400</xdr:rowOff>
        </xdr:from>
        <xdr:to>
          <xdr:col>1</xdr:col>
          <xdr:colOff>139700</xdr:colOff>
          <xdr:row>15</xdr:row>
          <xdr:rowOff>38100</xdr:rowOff>
        </xdr:to>
        <xdr:sp macro="" textlink="">
          <xdr:nvSpPr>
            <xdr:cNvPr id="3077" name="Check Box 5" hidden="1">
              <a:extLst>
                <a:ext uri="{63B3BB69-23CF-44E3-9099-C40C66FF867C}">
                  <a14:compatExt spid="_x0000_s3077"/>
                </a:ext>
                <a:ext uri="{FF2B5EF4-FFF2-40B4-BE49-F238E27FC236}">
                  <a16:creationId xmlns:a16="http://schemas.microsoft.com/office/drawing/2014/main" id="{00000000-0008-0000-04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0</xdr:col>
          <xdr:colOff>0</xdr:colOff>
          <xdr:row>14</xdr:row>
          <xdr:rowOff>152400</xdr:rowOff>
        </xdr:from>
        <xdr:to>
          <xdr:col>1</xdr:col>
          <xdr:colOff>139700</xdr:colOff>
          <xdr:row>16</xdr:row>
          <xdr:rowOff>38100</xdr:rowOff>
        </xdr:to>
        <xdr:sp macro="" textlink="">
          <xdr:nvSpPr>
            <xdr:cNvPr id="3078" name="Check Box 6" hidden="1">
              <a:extLst>
                <a:ext uri="{63B3BB69-23CF-44E3-9099-C40C66FF867C}">
                  <a14:compatExt spid="_x0000_s3078"/>
                </a:ext>
                <a:ext uri="{FF2B5EF4-FFF2-40B4-BE49-F238E27FC236}">
                  <a16:creationId xmlns:a16="http://schemas.microsoft.com/office/drawing/2014/main" id="{00000000-0008-0000-04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25400</xdr:colOff>
          <xdr:row>1</xdr:row>
          <xdr:rowOff>381000</xdr:rowOff>
        </xdr:from>
        <xdr:to>
          <xdr:col>5</xdr:col>
          <xdr:colOff>647700</xdr:colOff>
          <xdr:row>2</xdr:row>
          <xdr:rowOff>0</xdr:rowOff>
        </xdr:to>
        <xdr:sp macro="" textlink="">
          <xdr:nvSpPr>
            <xdr:cNvPr id="3079" name="Check Box 7" hidden="1">
              <a:extLst>
                <a:ext uri="{63B3BB69-23CF-44E3-9099-C40C66FF867C}">
                  <a14:compatExt spid="_x0000_s3079"/>
                </a:ext>
                <a:ext uri="{FF2B5EF4-FFF2-40B4-BE49-F238E27FC236}">
                  <a16:creationId xmlns:a16="http://schemas.microsoft.com/office/drawing/2014/main" id="{00000000-0008-0000-0400-0000070C0000}"/>
                </a:ext>
              </a:extLst>
            </xdr:cNvPr>
            <xdr:cNvSpPr/>
          </xdr:nvSpPr>
          <xdr:spPr bwMode="auto">
            <a:xfrm>
              <a:off x="0" y="0"/>
              <a:ext cx="0" cy="0"/>
            </a:xfrm>
            <a:prstGeom prst="rect">
              <a:avLst/>
            </a:prstGeom>
            <a:solidFill>
              <a:srgbClr val="F2F2F2"/>
            </a:solidFill>
            <a:ln>
              <a:noFill/>
            </a:ln>
            <a:extLst>
              <a:ext uri="{91240B29-F687-4F45-9708-019B960494DF}">
                <a14:hiddenLine w="9525">
                  <a:solidFill>
                    <a:srgbClr val="000000"/>
                  </a:solidFill>
                  <a:miter lim="800000"/>
                  <a:headEnd/>
                  <a:tailEnd/>
                </a14:hiddenLine>
              </a:ext>
            </a:extLst>
          </xdr:spPr>
          <xdr:txBody>
            <a:bodyPr vertOverflow="clip" wrap="square" lIns="18288" tIns="18288" rIns="0" bIns="18288" anchor="ctr" upright="1"/>
            <a:lstStyle/>
            <a:p>
              <a:pPr algn="l" rtl="0">
                <a:defRPr sz="1000"/>
              </a:pPr>
              <a:r>
                <a:rPr lang="en-GB" sz="800" b="0" i="0" u="none" strike="noStrike" baseline="0">
                  <a:solidFill>
                    <a:srgbClr val="000000"/>
                  </a:solidFill>
                  <a:latin typeface="Tahoma" pitchFamily="2" charset="0"/>
                  <a:ea typeface="Tahoma" pitchFamily="2" charset="0"/>
                  <a:cs typeface="Tahoma" pitchFamily="2" charset="0"/>
                </a:rPr>
                <a:t>VFR not recommended?</a:t>
              </a:r>
            </a:p>
          </xdr:txBody>
        </xdr:sp>
        <xdr:clientData/>
      </xdr:twoCellAnchor>
    </mc:Choice>
    <mc:Fallback/>
  </mc:AlternateContent>
</xdr:wsDr>
</file>

<file path=xl/drawings/drawing4.xml><?xml version="1.0" encoding="utf-8"?>
<xdr:wsDr xmlns:xdr="http://schemas.openxmlformats.org/drawingml/2006/spreadsheetDrawing" xmlns:a="http://schemas.openxmlformats.org/drawingml/2006/main">
  <xdr:twoCellAnchor>
    <xdr:from>
      <xdr:col>3</xdr:col>
      <xdr:colOff>0</xdr:colOff>
      <xdr:row>18</xdr:row>
      <xdr:rowOff>19050</xdr:rowOff>
    </xdr:from>
    <xdr:to>
      <xdr:col>3</xdr:col>
      <xdr:colOff>114300</xdr:colOff>
      <xdr:row>19</xdr:row>
      <xdr:rowOff>247650</xdr:rowOff>
    </xdr:to>
    <xdr:sp macro="" textlink="">
      <xdr:nvSpPr>
        <xdr:cNvPr id="12419" name="AutoShape 3" descr="1">
          <a:extLst>
            <a:ext uri="{FF2B5EF4-FFF2-40B4-BE49-F238E27FC236}">
              <a16:creationId xmlns:a16="http://schemas.microsoft.com/office/drawing/2014/main" id="{00000000-0008-0000-0500-000083300000}"/>
            </a:ext>
          </a:extLst>
        </xdr:cNvPr>
        <xdr:cNvSpPr>
          <a:spLocks noChangeArrowheads="1"/>
        </xdr:cNvSpPr>
      </xdr:nvSpPr>
      <xdr:spPr bwMode="auto">
        <a:xfrm rot="5400000">
          <a:off x="1281112" y="3062288"/>
          <a:ext cx="485775" cy="114300"/>
        </a:xfrm>
        <a:prstGeom prst="flowChartExtract">
          <a:avLst/>
        </a:prstGeom>
        <a:solidFill>
          <a:srgbClr val="000000"/>
        </a:solidFill>
        <a:ln w="9525">
          <a:solidFill>
            <a:srgbClr val="000000"/>
          </a:solidFill>
          <a:miter lim="800000"/>
          <a:headEnd/>
          <a:tailEnd/>
        </a:ln>
      </xdr:spPr>
    </xdr:sp>
    <xdr:clientData/>
  </xdr:twoCellAnchor>
  <xdr:twoCellAnchor>
    <xdr:from>
      <xdr:col>3</xdr:col>
      <xdr:colOff>9525</xdr:colOff>
      <xdr:row>20</xdr:row>
      <xdr:rowOff>0</xdr:rowOff>
    </xdr:from>
    <xdr:to>
      <xdr:col>4</xdr:col>
      <xdr:colOff>0</xdr:colOff>
      <xdr:row>21</xdr:row>
      <xdr:rowOff>228600</xdr:rowOff>
    </xdr:to>
    <xdr:sp macro="" textlink="">
      <xdr:nvSpPr>
        <xdr:cNvPr id="12420" name="AutoShape 4">
          <a:extLst>
            <a:ext uri="{FF2B5EF4-FFF2-40B4-BE49-F238E27FC236}">
              <a16:creationId xmlns:a16="http://schemas.microsoft.com/office/drawing/2014/main" id="{00000000-0008-0000-0500-000084300000}"/>
            </a:ext>
          </a:extLst>
        </xdr:cNvPr>
        <xdr:cNvSpPr>
          <a:spLocks noChangeArrowheads="1"/>
        </xdr:cNvSpPr>
      </xdr:nvSpPr>
      <xdr:spPr bwMode="auto">
        <a:xfrm rot="5400000">
          <a:off x="1290637" y="3557588"/>
          <a:ext cx="485775" cy="114300"/>
        </a:xfrm>
        <a:prstGeom prst="flowChartExtract">
          <a:avLst/>
        </a:prstGeom>
        <a:solidFill>
          <a:srgbClr val="000000"/>
        </a:solidFill>
        <a:ln w="9525">
          <a:solidFill>
            <a:srgbClr val="000000"/>
          </a:solidFill>
          <a:miter lim="800000"/>
          <a:headEnd/>
          <a:tailEnd/>
        </a:ln>
      </xdr:spPr>
    </xdr:sp>
    <xdr:clientData/>
  </xdr:twoCellAnchor>
  <xdr:twoCellAnchor>
    <xdr:from>
      <xdr:col>3</xdr:col>
      <xdr:colOff>9525</xdr:colOff>
      <xdr:row>22</xdr:row>
      <xdr:rowOff>19050</xdr:rowOff>
    </xdr:from>
    <xdr:to>
      <xdr:col>4</xdr:col>
      <xdr:colOff>0</xdr:colOff>
      <xdr:row>23</xdr:row>
      <xdr:rowOff>247650</xdr:rowOff>
    </xdr:to>
    <xdr:sp macro="" textlink="">
      <xdr:nvSpPr>
        <xdr:cNvPr id="12421" name="AutoShape 5">
          <a:extLst>
            <a:ext uri="{FF2B5EF4-FFF2-40B4-BE49-F238E27FC236}">
              <a16:creationId xmlns:a16="http://schemas.microsoft.com/office/drawing/2014/main" id="{00000000-0008-0000-0500-000085300000}"/>
            </a:ext>
          </a:extLst>
        </xdr:cNvPr>
        <xdr:cNvSpPr>
          <a:spLocks noChangeArrowheads="1"/>
        </xdr:cNvSpPr>
      </xdr:nvSpPr>
      <xdr:spPr bwMode="auto">
        <a:xfrm rot="5400000">
          <a:off x="1290637" y="4090988"/>
          <a:ext cx="485775" cy="114300"/>
        </a:xfrm>
        <a:prstGeom prst="flowChartExtract">
          <a:avLst/>
        </a:prstGeom>
        <a:solidFill>
          <a:srgbClr val="000000"/>
        </a:solidFill>
        <a:ln w="9525">
          <a:solidFill>
            <a:srgbClr val="000000"/>
          </a:solidFill>
          <a:miter lim="800000"/>
          <a:headEnd/>
          <a:tailEnd/>
        </a:ln>
      </xdr:spPr>
    </xdr:sp>
    <xdr:clientData/>
  </xdr:twoCellAnchor>
  <xdr:twoCellAnchor>
    <xdr:from>
      <xdr:col>3</xdr:col>
      <xdr:colOff>0</xdr:colOff>
      <xdr:row>24</xdr:row>
      <xdr:rowOff>9525</xdr:rowOff>
    </xdr:from>
    <xdr:to>
      <xdr:col>3</xdr:col>
      <xdr:colOff>114300</xdr:colOff>
      <xdr:row>25</xdr:row>
      <xdr:rowOff>238125</xdr:rowOff>
    </xdr:to>
    <xdr:sp macro="" textlink="">
      <xdr:nvSpPr>
        <xdr:cNvPr id="12422" name="AutoShape 6">
          <a:extLst>
            <a:ext uri="{FF2B5EF4-FFF2-40B4-BE49-F238E27FC236}">
              <a16:creationId xmlns:a16="http://schemas.microsoft.com/office/drawing/2014/main" id="{00000000-0008-0000-0500-000086300000}"/>
            </a:ext>
          </a:extLst>
        </xdr:cNvPr>
        <xdr:cNvSpPr>
          <a:spLocks noChangeArrowheads="1"/>
        </xdr:cNvSpPr>
      </xdr:nvSpPr>
      <xdr:spPr bwMode="auto">
        <a:xfrm rot="5400000">
          <a:off x="1281112" y="4595813"/>
          <a:ext cx="485775" cy="114300"/>
        </a:xfrm>
        <a:prstGeom prst="flowChartExtract">
          <a:avLst/>
        </a:prstGeom>
        <a:solidFill>
          <a:srgbClr val="000000"/>
        </a:solidFill>
        <a:ln w="9525">
          <a:solidFill>
            <a:srgbClr val="000000"/>
          </a:solidFill>
          <a:miter lim="800000"/>
          <a:headEnd/>
          <a:tailEnd/>
        </a:ln>
      </xdr:spPr>
    </xdr:sp>
    <xdr:clientData/>
  </xdr:twoCellAnchor>
  <xdr:twoCellAnchor>
    <xdr:from>
      <xdr:col>3</xdr:col>
      <xdr:colOff>0</xdr:colOff>
      <xdr:row>26</xdr:row>
      <xdr:rowOff>0</xdr:rowOff>
    </xdr:from>
    <xdr:to>
      <xdr:col>3</xdr:col>
      <xdr:colOff>114300</xdr:colOff>
      <xdr:row>27</xdr:row>
      <xdr:rowOff>228600</xdr:rowOff>
    </xdr:to>
    <xdr:sp macro="" textlink="">
      <xdr:nvSpPr>
        <xdr:cNvPr id="12423" name="AutoShape 7">
          <a:extLst>
            <a:ext uri="{FF2B5EF4-FFF2-40B4-BE49-F238E27FC236}">
              <a16:creationId xmlns:a16="http://schemas.microsoft.com/office/drawing/2014/main" id="{00000000-0008-0000-0500-000087300000}"/>
            </a:ext>
          </a:extLst>
        </xdr:cNvPr>
        <xdr:cNvSpPr>
          <a:spLocks noChangeArrowheads="1"/>
        </xdr:cNvSpPr>
      </xdr:nvSpPr>
      <xdr:spPr bwMode="auto">
        <a:xfrm rot="5400000">
          <a:off x="1281112" y="5100638"/>
          <a:ext cx="485775" cy="114300"/>
        </a:xfrm>
        <a:prstGeom prst="flowChartExtract">
          <a:avLst/>
        </a:prstGeom>
        <a:solidFill>
          <a:srgbClr val="000000"/>
        </a:solidFill>
        <a:ln w="9525">
          <a:solidFill>
            <a:srgbClr val="000000"/>
          </a:solidFill>
          <a:miter lim="800000"/>
          <a:headEnd/>
          <a:tailEnd/>
        </a:ln>
      </xdr:spPr>
    </xdr:sp>
    <xdr:clientData/>
  </xdr:twoCellAnchor>
  <xdr:twoCellAnchor>
    <xdr:from>
      <xdr:col>3</xdr:col>
      <xdr:colOff>0</xdr:colOff>
      <xdr:row>28</xdr:row>
      <xdr:rowOff>19050</xdr:rowOff>
    </xdr:from>
    <xdr:to>
      <xdr:col>3</xdr:col>
      <xdr:colOff>114300</xdr:colOff>
      <xdr:row>29</xdr:row>
      <xdr:rowOff>247650</xdr:rowOff>
    </xdr:to>
    <xdr:sp macro="" textlink="">
      <xdr:nvSpPr>
        <xdr:cNvPr id="12424" name="AutoShape 8">
          <a:extLst>
            <a:ext uri="{FF2B5EF4-FFF2-40B4-BE49-F238E27FC236}">
              <a16:creationId xmlns:a16="http://schemas.microsoft.com/office/drawing/2014/main" id="{00000000-0008-0000-0500-000088300000}"/>
            </a:ext>
          </a:extLst>
        </xdr:cNvPr>
        <xdr:cNvSpPr>
          <a:spLocks noChangeArrowheads="1"/>
        </xdr:cNvSpPr>
      </xdr:nvSpPr>
      <xdr:spPr bwMode="auto">
        <a:xfrm rot="5400000">
          <a:off x="1281112" y="5634038"/>
          <a:ext cx="485775" cy="114300"/>
        </a:xfrm>
        <a:prstGeom prst="flowChartExtract">
          <a:avLst/>
        </a:prstGeom>
        <a:solidFill>
          <a:srgbClr val="000000"/>
        </a:solidFill>
        <a:ln w="9525">
          <a:solidFill>
            <a:srgbClr val="000000"/>
          </a:solidFill>
          <a:miter lim="800000"/>
          <a:headEnd/>
          <a:tailEnd/>
        </a:ln>
      </xdr:spPr>
    </xdr:sp>
    <xdr:clientData/>
  </xdr:twoCellAnchor>
  <xdr:twoCellAnchor>
    <xdr:from>
      <xdr:col>3</xdr:col>
      <xdr:colOff>0</xdr:colOff>
      <xdr:row>30</xdr:row>
      <xdr:rowOff>19050</xdr:rowOff>
    </xdr:from>
    <xdr:to>
      <xdr:col>3</xdr:col>
      <xdr:colOff>114300</xdr:colOff>
      <xdr:row>31</xdr:row>
      <xdr:rowOff>247650</xdr:rowOff>
    </xdr:to>
    <xdr:sp macro="" textlink="">
      <xdr:nvSpPr>
        <xdr:cNvPr id="12425" name="AutoShape 9">
          <a:extLst>
            <a:ext uri="{FF2B5EF4-FFF2-40B4-BE49-F238E27FC236}">
              <a16:creationId xmlns:a16="http://schemas.microsoft.com/office/drawing/2014/main" id="{00000000-0008-0000-0500-000089300000}"/>
            </a:ext>
          </a:extLst>
        </xdr:cNvPr>
        <xdr:cNvSpPr>
          <a:spLocks noChangeArrowheads="1"/>
        </xdr:cNvSpPr>
      </xdr:nvSpPr>
      <xdr:spPr bwMode="auto">
        <a:xfrm rot="5400000">
          <a:off x="1281112" y="6148388"/>
          <a:ext cx="485775" cy="114300"/>
        </a:xfrm>
        <a:prstGeom prst="flowChartExtract">
          <a:avLst/>
        </a:prstGeom>
        <a:solidFill>
          <a:srgbClr val="000000"/>
        </a:solidFill>
        <a:ln w="9525">
          <a:solidFill>
            <a:srgbClr val="000000"/>
          </a:solidFill>
          <a:miter lim="800000"/>
          <a:headEnd/>
          <a:tailEnd/>
        </a:ln>
      </xdr:spPr>
    </xdr:sp>
    <xdr:clientData/>
  </xdr:twoCellAnchor>
  <xdr:twoCellAnchor>
    <xdr:from>
      <xdr:col>3</xdr:col>
      <xdr:colOff>0</xdr:colOff>
      <xdr:row>36</xdr:row>
      <xdr:rowOff>9525</xdr:rowOff>
    </xdr:from>
    <xdr:to>
      <xdr:col>3</xdr:col>
      <xdr:colOff>114300</xdr:colOff>
      <xdr:row>37</xdr:row>
      <xdr:rowOff>238125</xdr:rowOff>
    </xdr:to>
    <xdr:sp macro="" textlink="">
      <xdr:nvSpPr>
        <xdr:cNvPr id="12426" name="AutoShape 10">
          <a:extLst>
            <a:ext uri="{FF2B5EF4-FFF2-40B4-BE49-F238E27FC236}">
              <a16:creationId xmlns:a16="http://schemas.microsoft.com/office/drawing/2014/main" id="{00000000-0008-0000-0500-00008A300000}"/>
            </a:ext>
          </a:extLst>
        </xdr:cNvPr>
        <xdr:cNvSpPr>
          <a:spLocks noChangeArrowheads="1"/>
        </xdr:cNvSpPr>
      </xdr:nvSpPr>
      <xdr:spPr bwMode="auto">
        <a:xfrm rot="5400000">
          <a:off x="1281112" y="7681913"/>
          <a:ext cx="485775" cy="114300"/>
        </a:xfrm>
        <a:prstGeom prst="flowChartExtract">
          <a:avLst/>
        </a:prstGeom>
        <a:solidFill>
          <a:srgbClr val="000000"/>
        </a:solidFill>
        <a:ln w="9525">
          <a:solidFill>
            <a:srgbClr val="000000"/>
          </a:solidFill>
          <a:miter lim="800000"/>
          <a:headEnd/>
          <a:tailEnd/>
        </a:ln>
      </xdr:spPr>
    </xdr:sp>
    <xdr:clientData/>
  </xdr:twoCellAnchor>
  <xdr:twoCellAnchor>
    <xdr:from>
      <xdr:col>3</xdr:col>
      <xdr:colOff>0</xdr:colOff>
      <xdr:row>32</xdr:row>
      <xdr:rowOff>19050</xdr:rowOff>
    </xdr:from>
    <xdr:to>
      <xdr:col>3</xdr:col>
      <xdr:colOff>114300</xdr:colOff>
      <xdr:row>33</xdr:row>
      <xdr:rowOff>247650</xdr:rowOff>
    </xdr:to>
    <xdr:sp macro="" textlink="">
      <xdr:nvSpPr>
        <xdr:cNvPr id="12427" name="AutoShape 16">
          <a:extLst>
            <a:ext uri="{FF2B5EF4-FFF2-40B4-BE49-F238E27FC236}">
              <a16:creationId xmlns:a16="http://schemas.microsoft.com/office/drawing/2014/main" id="{00000000-0008-0000-0500-00008B300000}"/>
            </a:ext>
          </a:extLst>
        </xdr:cNvPr>
        <xdr:cNvSpPr>
          <a:spLocks noChangeArrowheads="1"/>
        </xdr:cNvSpPr>
      </xdr:nvSpPr>
      <xdr:spPr bwMode="auto">
        <a:xfrm rot="5400000">
          <a:off x="1281112" y="6662738"/>
          <a:ext cx="485775" cy="114300"/>
        </a:xfrm>
        <a:prstGeom prst="flowChartExtract">
          <a:avLst/>
        </a:prstGeom>
        <a:solidFill>
          <a:srgbClr val="000000"/>
        </a:solidFill>
        <a:ln w="9525">
          <a:solidFill>
            <a:srgbClr val="000000"/>
          </a:solidFill>
          <a:miter lim="800000"/>
          <a:headEnd/>
          <a:tailEnd/>
        </a:ln>
      </xdr:spPr>
    </xdr:sp>
    <xdr:clientData/>
  </xdr:twoCellAnchor>
  <xdr:twoCellAnchor>
    <xdr:from>
      <xdr:col>3</xdr:col>
      <xdr:colOff>0</xdr:colOff>
      <xdr:row>34</xdr:row>
      <xdr:rowOff>19050</xdr:rowOff>
    </xdr:from>
    <xdr:to>
      <xdr:col>3</xdr:col>
      <xdr:colOff>114300</xdr:colOff>
      <xdr:row>35</xdr:row>
      <xdr:rowOff>247650</xdr:rowOff>
    </xdr:to>
    <xdr:sp macro="" textlink="">
      <xdr:nvSpPr>
        <xdr:cNvPr id="12428" name="AutoShape 17">
          <a:extLst>
            <a:ext uri="{FF2B5EF4-FFF2-40B4-BE49-F238E27FC236}">
              <a16:creationId xmlns:a16="http://schemas.microsoft.com/office/drawing/2014/main" id="{00000000-0008-0000-0500-00008C300000}"/>
            </a:ext>
          </a:extLst>
        </xdr:cNvPr>
        <xdr:cNvSpPr>
          <a:spLocks noChangeArrowheads="1"/>
        </xdr:cNvSpPr>
      </xdr:nvSpPr>
      <xdr:spPr bwMode="auto">
        <a:xfrm rot="5400000">
          <a:off x="1281112" y="7177088"/>
          <a:ext cx="485775" cy="114300"/>
        </a:xfrm>
        <a:prstGeom prst="flowChartExtract">
          <a:avLst/>
        </a:prstGeom>
        <a:solidFill>
          <a:srgbClr val="000000"/>
        </a:solidFill>
        <a:ln w="9525">
          <a:solidFill>
            <a:srgbClr val="000000"/>
          </a:solidFill>
          <a:miter lim="800000"/>
          <a:headEnd/>
          <a:tailEnd/>
        </a:ln>
      </xdr:spPr>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0</xdr:colOff>
      <xdr:row>18</xdr:row>
      <xdr:rowOff>19050</xdr:rowOff>
    </xdr:from>
    <xdr:to>
      <xdr:col>3</xdr:col>
      <xdr:colOff>114300</xdr:colOff>
      <xdr:row>19</xdr:row>
      <xdr:rowOff>247650</xdr:rowOff>
    </xdr:to>
    <xdr:sp macro="" textlink="">
      <xdr:nvSpPr>
        <xdr:cNvPr id="2" name="AutoShape 3" descr="1">
          <a:extLst>
            <a:ext uri="{FF2B5EF4-FFF2-40B4-BE49-F238E27FC236}">
              <a16:creationId xmlns:a16="http://schemas.microsoft.com/office/drawing/2014/main" id="{00000000-0008-0000-0600-000002000000}"/>
            </a:ext>
          </a:extLst>
        </xdr:cNvPr>
        <xdr:cNvSpPr>
          <a:spLocks noChangeArrowheads="1"/>
        </xdr:cNvSpPr>
      </xdr:nvSpPr>
      <xdr:spPr bwMode="auto">
        <a:xfrm rot="5400000">
          <a:off x="1881187" y="3233738"/>
          <a:ext cx="485775" cy="114300"/>
        </a:xfrm>
        <a:prstGeom prst="flowChartExtract">
          <a:avLst/>
        </a:prstGeom>
        <a:solidFill>
          <a:srgbClr val="000000"/>
        </a:solidFill>
        <a:ln w="9525">
          <a:solidFill>
            <a:srgbClr val="000000"/>
          </a:solidFill>
          <a:miter lim="800000"/>
          <a:headEnd/>
          <a:tailEnd/>
        </a:ln>
      </xdr:spPr>
    </xdr:sp>
    <xdr:clientData/>
  </xdr:twoCellAnchor>
  <xdr:twoCellAnchor>
    <xdr:from>
      <xdr:col>3</xdr:col>
      <xdr:colOff>9525</xdr:colOff>
      <xdr:row>20</xdr:row>
      <xdr:rowOff>0</xdr:rowOff>
    </xdr:from>
    <xdr:to>
      <xdr:col>4</xdr:col>
      <xdr:colOff>0</xdr:colOff>
      <xdr:row>21</xdr:row>
      <xdr:rowOff>228600</xdr:rowOff>
    </xdr:to>
    <xdr:sp macro="" textlink="">
      <xdr:nvSpPr>
        <xdr:cNvPr id="3" name="AutoShape 4">
          <a:extLst>
            <a:ext uri="{FF2B5EF4-FFF2-40B4-BE49-F238E27FC236}">
              <a16:creationId xmlns:a16="http://schemas.microsoft.com/office/drawing/2014/main" id="{00000000-0008-0000-0600-000003000000}"/>
            </a:ext>
          </a:extLst>
        </xdr:cNvPr>
        <xdr:cNvSpPr>
          <a:spLocks noChangeArrowheads="1"/>
        </xdr:cNvSpPr>
      </xdr:nvSpPr>
      <xdr:spPr bwMode="auto">
        <a:xfrm rot="5400000">
          <a:off x="1890712" y="3729038"/>
          <a:ext cx="485775" cy="114300"/>
        </a:xfrm>
        <a:prstGeom prst="flowChartExtract">
          <a:avLst/>
        </a:prstGeom>
        <a:solidFill>
          <a:srgbClr val="000000"/>
        </a:solidFill>
        <a:ln w="9525">
          <a:solidFill>
            <a:srgbClr val="000000"/>
          </a:solidFill>
          <a:miter lim="800000"/>
          <a:headEnd/>
          <a:tailEnd/>
        </a:ln>
      </xdr:spPr>
    </xdr:sp>
    <xdr:clientData/>
  </xdr:twoCellAnchor>
  <xdr:twoCellAnchor>
    <xdr:from>
      <xdr:col>3</xdr:col>
      <xdr:colOff>9525</xdr:colOff>
      <xdr:row>22</xdr:row>
      <xdr:rowOff>19050</xdr:rowOff>
    </xdr:from>
    <xdr:to>
      <xdr:col>4</xdr:col>
      <xdr:colOff>0</xdr:colOff>
      <xdr:row>23</xdr:row>
      <xdr:rowOff>247650</xdr:rowOff>
    </xdr:to>
    <xdr:sp macro="" textlink="">
      <xdr:nvSpPr>
        <xdr:cNvPr id="4" name="AutoShape 5">
          <a:extLst>
            <a:ext uri="{FF2B5EF4-FFF2-40B4-BE49-F238E27FC236}">
              <a16:creationId xmlns:a16="http://schemas.microsoft.com/office/drawing/2014/main" id="{00000000-0008-0000-0600-000004000000}"/>
            </a:ext>
          </a:extLst>
        </xdr:cNvPr>
        <xdr:cNvSpPr>
          <a:spLocks noChangeArrowheads="1"/>
        </xdr:cNvSpPr>
      </xdr:nvSpPr>
      <xdr:spPr bwMode="auto">
        <a:xfrm rot="5400000">
          <a:off x="1890712" y="4262438"/>
          <a:ext cx="485775" cy="114300"/>
        </a:xfrm>
        <a:prstGeom prst="flowChartExtract">
          <a:avLst/>
        </a:prstGeom>
        <a:solidFill>
          <a:srgbClr val="000000"/>
        </a:solidFill>
        <a:ln w="9525">
          <a:solidFill>
            <a:srgbClr val="000000"/>
          </a:solidFill>
          <a:miter lim="800000"/>
          <a:headEnd/>
          <a:tailEnd/>
        </a:ln>
      </xdr:spPr>
    </xdr:sp>
    <xdr:clientData/>
  </xdr:twoCellAnchor>
  <xdr:twoCellAnchor>
    <xdr:from>
      <xdr:col>3</xdr:col>
      <xdr:colOff>0</xdr:colOff>
      <xdr:row>24</xdr:row>
      <xdr:rowOff>9525</xdr:rowOff>
    </xdr:from>
    <xdr:to>
      <xdr:col>3</xdr:col>
      <xdr:colOff>114300</xdr:colOff>
      <xdr:row>25</xdr:row>
      <xdr:rowOff>238125</xdr:rowOff>
    </xdr:to>
    <xdr:sp macro="" textlink="">
      <xdr:nvSpPr>
        <xdr:cNvPr id="5" name="AutoShape 6">
          <a:extLst>
            <a:ext uri="{FF2B5EF4-FFF2-40B4-BE49-F238E27FC236}">
              <a16:creationId xmlns:a16="http://schemas.microsoft.com/office/drawing/2014/main" id="{00000000-0008-0000-0600-000005000000}"/>
            </a:ext>
          </a:extLst>
        </xdr:cNvPr>
        <xdr:cNvSpPr>
          <a:spLocks noChangeArrowheads="1"/>
        </xdr:cNvSpPr>
      </xdr:nvSpPr>
      <xdr:spPr bwMode="auto">
        <a:xfrm rot="5400000">
          <a:off x="1881187" y="4767263"/>
          <a:ext cx="485775" cy="114300"/>
        </a:xfrm>
        <a:prstGeom prst="flowChartExtract">
          <a:avLst/>
        </a:prstGeom>
        <a:solidFill>
          <a:srgbClr val="000000"/>
        </a:solidFill>
        <a:ln w="9525">
          <a:solidFill>
            <a:srgbClr val="000000"/>
          </a:solidFill>
          <a:miter lim="800000"/>
          <a:headEnd/>
          <a:tailEnd/>
        </a:ln>
      </xdr:spPr>
    </xdr:sp>
    <xdr:clientData/>
  </xdr:twoCellAnchor>
  <xdr:twoCellAnchor>
    <xdr:from>
      <xdr:col>3</xdr:col>
      <xdr:colOff>0</xdr:colOff>
      <xdr:row>26</xdr:row>
      <xdr:rowOff>0</xdr:rowOff>
    </xdr:from>
    <xdr:to>
      <xdr:col>3</xdr:col>
      <xdr:colOff>114300</xdr:colOff>
      <xdr:row>27</xdr:row>
      <xdr:rowOff>228600</xdr:rowOff>
    </xdr:to>
    <xdr:sp macro="" textlink="">
      <xdr:nvSpPr>
        <xdr:cNvPr id="6" name="AutoShape 7">
          <a:extLst>
            <a:ext uri="{FF2B5EF4-FFF2-40B4-BE49-F238E27FC236}">
              <a16:creationId xmlns:a16="http://schemas.microsoft.com/office/drawing/2014/main" id="{00000000-0008-0000-0600-000006000000}"/>
            </a:ext>
          </a:extLst>
        </xdr:cNvPr>
        <xdr:cNvSpPr>
          <a:spLocks noChangeArrowheads="1"/>
        </xdr:cNvSpPr>
      </xdr:nvSpPr>
      <xdr:spPr bwMode="auto">
        <a:xfrm rot="5400000">
          <a:off x="1881187" y="5272088"/>
          <a:ext cx="485775" cy="114300"/>
        </a:xfrm>
        <a:prstGeom prst="flowChartExtract">
          <a:avLst/>
        </a:prstGeom>
        <a:solidFill>
          <a:srgbClr val="000000"/>
        </a:solidFill>
        <a:ln w="9525">
          <a:solidFill>
            <a:srgbClr val="000000"/>
          </a:solidFill>
          <a:miter lim="800000"/>
          <a:headEnd/>
          <a:tailEnd/>
        </a:ln>
      </xdr:spPr>
    </xdr:sp>
    <xdr:clientData/>
  </xdr:twoCellAnchor>
  <xdr:twoCellAnchor>
    <xdr:from>
      <xdr:col>3</xdr:col>
      <xdr:colOff>0</xdr:colOff>
      <xdr:row>28</xdr:row>
      <xdr:rowOff>19050</xdr:rowOff>
    </xdr:from>
    <xdr:to>
      <xdr:col>3</xdr:col>
      <xdr:colOff>114300</xdr:colOff>
      <xdr:row>29</xdr:row>
      <xdr:rowOff>247650</xdr:rowOff>
    </xdr:to>
    <xdr:sp macro="" textlink="">
      <xdr:nvSpPr>
        <xdr:cNvPr id="7" name="AutoShape 8">
          <a:extLst>
            <a:ext uri="{FF2B5EF4-FFF2-40B4-BE49-F238E27FC236}">
              <a16:creationId xmlns:a16="http://schemas.microsoft.com/office/drawing/2014/main" id="{00000000-0008-0000-0600-000007000000}"/>
            </a:ext>
          </a:extLst>
        </xdr:cNvPr>
        <xdr:cNvSpPr>
          <a:spLocks noChangeArrowheads="1"/>
        </xdr:cNvSpPr>
      </xdr:nvSpPr>
      <xdr:spPr bwMode="auto">
        <a:xfrm rot="5400000">
          <a:off x="1881187" y="5805488"/>
          <a:ext cx="485775" cy="114300"/>
        </a:xfrm>
        <a:prstGeom prst="flowChartExtract">
          <a:avLst/>
        </a:prstGeom>
        <a:solidFill>
          <a:srgbClr val="000000"/>
        </a:solidFill>
        <a:ln w="9525">
          <a:solidFill>
            <a:srgbClr val="000000"/>
          </a:solidFill>
          <a:miter lim="800000"/>
          <a:headEnd/>
          <a:tailEnd/>
        </a:ln>
      </xdr:spPr>
    </xdr:sp>
    <xdr:clientData/>
  </xdr:twoCellAnchor>
  <xdr:twoCellAnchor>
    <xdr:from>
      <xdr:col>3</xdr:col>
      <xdr:colOff>0</xdr:colOff>
      <xdr:row>30</xdr:row>
      <xdr:rowOff>19050</xdr:rowOff>
    </xdr:from>
    <xdr:to>
      <xdr:col>3</xdr:col>
      <xdr:colOff>114300</xdr:colOff>
      <xdr:row>31</xdr:row>
      <xdr:rowOff>247650</xdr:rowOff>
    </xdr:to>
    <xdr:sp macro="" textlink="">
      <xdr:nvSpPr>
        <xdr:cNvPr id="8" name="AutoShape 9">
          <a:extLst>
            <a:ext uri="{FF2B5EF4-FFF2-40B4-BE49-F238E27FC236}">
              <a16:creationId xmlns:a16="http://schemas.microsoft.com/office/drawing/2014/main" id="{00000000-0008-0000-0600-000008000000}"/>
            </a:ext>
          </a:extLst>
        </xdr:cNvPr>
        <xdr:cNvSpPr>
          <a:spLocks noChangeArrowheads="1"/>
        </xdr:cNvSpPr>
      </xdr:nvSpPr>
      <xdr:spPr bwMode="auto">
        <a:xfrm rot="5400000">
          <a:off x="1881187" y="6319838"/>
          <a:ext cx="485775" cy="114300"/>
        </a:xfrm>
        <a:prstGeom prst="flowChartExtract">
          <a:avLst/>
        </a:prstGeom>
        <a:solidFill>
          <a:srgbClr val="000000"/>
        </a:solidFill>
        <a:ln w="9525">
          <a:solidFill>
            <a:srgbClr val="000000"/>
          </a:solidFill>
          <a:miter lim="800000"/>
          <a:headEnd/>
          <a:tailEnd/>
        </a:ln>
      </xdr:spPr>
    </xdr:sp>
    <xdr:clientData/>
  </xdr:twoCellAnchor>
  <xdr:twoCellAnchor>
    <xdr:from>
      <xdr:col>3</xdr:col>
      <xdr:colOff>0</xdr:colOff>
      <xdr:row>36</xdr:row>
      <xdr:rowOff>9525</xdr:rowOff>
    </xdr:from>
    <xdr:to>
      <xdr:col>3</xdr:col>
      <xdr:colOff>114300</xdr:colOff>
      <xdr:row>37</xdr:row>
      <xdr:rowOff>238125</xdr:rowOff>
    </xdr:to>
    <xdr:sp macro="" textlink="">
      <xdr:nvSpPr>
        <xdr:cNvPr id="9" name="AutoShape 10">
          <a:extLst>
            <a:ext uri="{FF2B5EF4-FFF2-40B4-BE49-F238E27FC236}">
              <a16:creationId xmlns:a16="http://schemas.microsoft.com/office/drawing/2014/main" id="{00000000-0008-0000-0600-000009000000}"/>
            </a:ext>
          </a:extLst>
        </xdr:cNvPr>
        <xdr:cNvSpPr>
          <a:spLocks noChangeArrowheads="1"/>
        </xdr:cNvSpPr>
      </xdr:nvSpPr>
      <xdr:spPr bwMode="auto">
        <a:xfrm rot="5400000">
          <a:off x="1881187" y="7853363"/>
          <a:ext cx="485775" cy="114300"/>
        </a:xfrm>
        <a:prstGeom prst="flowChartExtract">
          <a:avLst/>
        </a:prstGeom>
        <a:solidFill>
          <a:srgbClr val="000000"/>
        </a:solidFill>
        <a:ln w="9525">
          <a:solidFill>
            <a:srgbClr val="000000"/>
          </a:solidFill>
          <a:miter lim="800000"/>
          <a:headEnd/>
          <a:tailEnd/>
        </a:ln>
      </xdr:spPr>
    </xdr:sp>
    <xdr:clientData/>
  </xdr:twoCellAnchor>
  <xdr:twoCellAnchor>
    <xdr:from>
      <xdr:col>3</xdr:col>
      <xdr:colOff>0</xdr:colOff>
      <xdr:row>32</xdr:row>
      <xdr:rowOff>19050</xdr:rowOff>
    </xdr:from>
    <xdr:to>
      <xdr:col>3</xdr:col>
      <xdr:colOff>114300</xdr:colOff>
      <xdr:row>33</xdr:row>
      <xdr:rowOff>247650</xdr:rowOff>
    </xdr:to>
    <xdr:sp macro="" textlink="">
      <xdr:nvSpPr>
        <xdr:cNvPr id="10" name="AutoShape 16">
          <a:extLst>
            <a:ext uri="{FF2B5EF4-FFF2-40B4-BE49-F238E27FC236}">
              <a16:creationId xmlns:a16="http://schemas.microsoft.com/office/drawing/2014/main" id="{00000000-0008-0000-0600-00000A000000}"/>
            </a:ext>
          </a:extLst>
        </xdr:cNvPr>
        <xdr:cNvSpPr>
          <a:spLocks noChangeArrowheads="1"/>
        </xdr:cNvSpPr>
      </xdr:nvSpPr>
      <xdr:spPr bwMode="auto">
        <a:xfrm rot="5400000">
          <a:off x="1881187" y="6834188"/>
          <a:ext cx="485775" cy="114300"/>
        </a:xfrm>
        <a:prstGeom prst="flowChartExtract">
          <a:avLst/>
        </a:prstGeom>
        <a:solidFill>
          <a:srgbClr val="000000"/>
        </a:solidFill>
        <a:ln w="9525">
          <a:solidFill>
            <a:srgbClr val="000000"/>
          </a:solidFill>
          <a:miter lim="800000"/>
          <a:headEnd/>
          <a:tailEnd/>
        </a:ln>
      </xdr:spPr>
    </xdr:sp>
    <xdr:clientData/>
  </xdr:twoCellAnchor>
  <xdr:twoCellAnchor>
    <xdr:from>
      <xdr:col>3</xdr:col>
      <xdr:colOff>0</xdr:colOff>
      <xdr:row>34</xdr:row>
      <xdr:rowOff>19050</xdr:rowOff>
    </xdr:from>
    <xdr:to>
      <xdr:col>3</xdr:col>
      <xdr:colOff>114300</xdr:colOff>
      <xdr:row>35</xdr:row>
      <xdr:rowOff>247650</xdr:rowOff>
    </xdr:to>
    <xdr:sp macro="" textlink="">
      <xdr:nvSpPr>
        <xdr:cNvPr id="11" name="AutoShape 17">
          <a:extLst>
            <a:ext uri="{FF2B5EF4-FFF2-40B4-BE49-F238E27FC236}">
              <a16:creationId xmlns:a16="http://schemas.microsoft.com/office/drawing/2014/main" id="{00000000-0008-0000-0600-00000B000000}"/>
            </a:ext>
          </a:extLst>
        </xdr:cNvPr>
        <xdr:cNvSpPr>
          <a:spLocks noChangeArrowheads="1"/>
        </xdr:cNvSpPr>
      </xdr:nvSpPr>
      <xdr:spPr bwMode="auto">
        <a:xfrm rot="5400000">
          <a:off x="1881187" y="7348538"/>
          <a:ext cx="485775" cy="114300"/>
        </a:xfrm>
        <a:prstGeom prst="flowChartExtract">
          <a:avLst/>
        </a:prstGeom>
        <a:solidFill>
          <a:srgbClr val="000000"/>
        </a:solidFill>
        <a:ln w="9525">
          <a:solidFill>
            <a:srgbClr val="000000"/>
          </a:solidFill>
          <a:miter lim="800000"/>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elseyworld.com/nick" TargetMode="External"/><Relationship Id="rId1" Type="http://schemas.openxmlformats.org/officeDocument/2006/relationships/hyperlink" Target="http://www.elseyworld.com/flying" TargetMode="External"/></Relationships>
</file>

<file path=xl/worksheets/_rels/sheet4.xml.rels><?xml version="1.0" encoding="UTF-8" standalone="yes"?>
<Relationships xmlns="http://schemas.openxmlformats.org/package/2006/relationships"><Relationship Id="rId13" Type="http://schemas.openxmlformats.org/officeDocument/2006/relationships/ctrlProp" Target="../ctrlProps/ctrlProp11.xml"/><Relationship Id="rId18" Type="http://schemas.openxmlformats.org/officeDocument/2006/relationships/ctrlProp" Target="../ctrlProps/ctrlProp16.xml"/><Relationship Id="rId26" Type="http://schemas.openxmlformats.org/officeDocument/2006/relationships/ctrlProp" Target="../ctrlProps/ctrlProp24.xml"/><Relationship Id="rId39" Type="http://schemas.openxmlformats.org/officeDocument/2006/relationships/ctrlProp" Target="../ctrlProps/ctrlProp37.xml"/><Relationship Id="rId21" Type="http://schemas.openxmlformats.org/officeDocument/2006/relationships/ctrlProp" Target="../ctrlProps/ctrlProp19.xml"/><Relationship Id="rId34" Type="http://schemas.openxmlformats.org/officeDocument/2006/relationships/ctrlProp" Target="../ctrlProps/ctrlProp32.xml"/><Relationship Id="rId42" Type="http://schemas.openxmlformats.org/officeDocument/2006/relationships/ctrlProp" Target="../ctrlProps/ctrlProp40.xml"/><Relationship Id="rId7" Type="http://schemas.openxmlformats.org/officeDocument/2006/relationships/ctrlProp" Target="../ctrlProps/ctrlProp5.xml"/><Relationship Id="rId2" Type="http://schemas.openxmlformats.org/officeDocument/2006/relationships/drawing" Target="../drawings/drawing2.xml"/><Relationship Id="rId16" Type="http://schemas.openxmlformats.org/officeDocument/2006/relationships/ctrlProp" Target="../ctrlProps/ctrlProp14.xml"/><Relationship Id="rId20" Type="http://schemas.openxmlformats.org/officeDocument/2006/relationships/ctrlProp" Target="../ctrlProps/ctrlProp18.xml"/><Relationship Id="rId29" Type="http://schemas.openxmlformats.org/officeDocument/2006/relationships/ctrlProp" Target="../ctrlProps/ctrlProp27.xml"/><Relationship Id="rId41" Type="http://schemas.openxmlformats.org/officeDocument/2006/relationships/ctrlProp" Target="../ctrlProps/ctrlProp39.xml"/><Relationship Id="rId1" Type="http://schemas.openxmlformats.org/officeDocument/2006/relationships/printerSettings" Target="../printerSettings/printerSettings3.bin"/><Relationship Id="rId6" Type="http://schemas.openxmlformats.org/officeDocument/2006/relationships/ctrlProp" Target="../ctrlProps/ctrlProp4.xml"/><Relationship Id="rId11" Type="http://schemas.openxmlformats.org/officeDocument/2006/relationships/ctrlProp" Target="../ctrlProps/ctrlProp9.xml"/><Relationship Id="rId24" Type="http://schemas.openxmlformats.org/officeDocument/2006/relationships/ctrlProp" Target="../ctrlProps/ctrlProp22.xml"/><Relationship Id="rId32" Type="http://schemas.openxmlformats.org/officeDocument/2006/relationships/ctrlProp" Target="../ctrlProps/ctrlProp30.xml"/><Relationship Id="rId37" Type="http://schemas.openxmlformats.org/officeDocument/2006/relationships/ctrlProp" Target="../ctrlProps/ctrlProp35.xml"/><Relationship Id="rId40" Type="http://schemas.openxmlformats.org/officeDocument/2006/relationships/ctrlProp" Target="../ctrlProps/ctrlProp38.xml"/><Relationship Id="rId5" Type="http://schemas.openxmlformats.org/officeDocument/2006/relationships/ctrlProp" Target="../ctrlProps/ctrlProp3.xml"/><Relationship Id="rId15" Type="http://schemas.openxmlformats.org/officeDocument/2006/relationships/ctrlProp" Target="../ctrlProps/ctrlProp13.xml"/><Relationship Id="rId23" Type="http://schemas.openxmlformats.org/officeDocument/2006/relationships/ctrlProp" Target="../ctrlProps/ctrlProp21.xml"/><Relationship Id="rId28" Type="http://schemas.openxmlformats.org/officeDocument/2006/relationships/ctrlProp" Target="../ctrlProps/ctrlProp26.xml"/><Relationship Id="rId36" Type="http://schemas.openxmlformats.org/officeDocument/2006/relationships/ctrlProp" Target="../ctrlProps/ctrlProp34.xml"/><Relationship Id="rId10" Type="http://schemas.openxmlformats.org/officeDocument/2006/relationships/ctrlProp" Target="../ctrlProps/ctrlProp8.xml"/><Relationship Id="rId19" Type="http://schemas.openxmlformats.org/officeDocument/2006/relationships/ctrlProp" Target="../ctrlProps/ctrlProp17.xml"/><Relationship Id="rId31" Type="http://schemas.openxmlformats.org/officeDocument/2006/relationships/ctrlProp" Target="../ctrlProps/ctrlProp29.xml"/><Relationship Id="rId44" Type="http://schemas.openxmlformats.org/officeDocument/2006/relationships/ctrlProp" Target="../ctrlProps/ctrlProp42.xml"/><Relationship Id="rId4" Type="http://schemas.openxmlformats.org/officeDocument/2006/relationships/ctrlProp" Target="../ctrlProps/ctrlProp2.xml"/><Relationship Id="rId9" Type="http://schemas.openxmlformats.org/officeDocument/2006/relationships/ctrlProp" Target="../ctrlProps/ctrlProp7.xml"/><Relationship Id="rId14" Type="http://schemas.openxmlformats.org/officeDocument/2006/relationships/ctrlProp" Target="../ctrlProps/ctrlProp12.xml"/><Relationship Id="rId22" Type="http://schemas.openxmlformats.org/officeDocument/2006/relationships/ctrlProp" Target="../ctrlProps/ctrlProp20.xml"/><Relationship Id="rId27" Type="http://schemas.openxmlformats.org/officeDocument/2006/relationships/ctrlProp" Target="../ctrlProps/ctrlProp25.xml"/><Relationship Id="rId30" Type="http://schemas.openxmlformats.org/officeDocument/2006/relationships/ctrlProp" Target="../ctrlProps/ctrlProp28.xml"/><Relationship Id="rId35" Type="http://schemas.openxmlformats.org/officeDocument/2006/relationships/ctrlProp" Target="../ctrlProps/ctrlProp33.xml"/><Relationship Id="rId43" Type="http://schemas.openxmlformats.org/officeDocument/2006/relationships/ctrlProp" Target="../ctrlProps/ctrlProp41.xml"/><Relationship Id="rId8" Type="http://schemas.openxmlformats.org/officeDocument/2006/relationships/ctrlProp" Target="../ctrlProps/ctrlProp6.xml"/><Relationship Id="rId3" Type="http://schemas.openxmlformats.org/officeDocument/2006/relationships/vmlDrawing" Target="../drawings/vmlDrawing2.vml"/><Relationship Id="rId12" Type="http://schemas.openxmlformats.org/officeDocument/2006/relationships/ctrlProp" Target="../ctrlProps/ctrlProp10.xml"/><Relationship Id="rId17" Type="http://schemas.openxmlformats.org/officeDocument/2006/relationships/ctrlProp" Target="../ctrlProps/ctrlProp15.xml"/><Relationship Id="rId25" Type="http://schemas.openxmlformats.org/officeDocument/2006/relationships/ctrlProp" Target="../ctrlProps/ctrlProp23.xml"/><Relationship Id="rId33" Type="http://schemas.openxmlformats.org/officeDocument/2006/relationships/ctrlProp" Target="../ctrlProps/ctrlProp31.xml"/><Relationship Id="rId38" Type="http://schemas.openxmlformats.org/officeDocument/2006/relationships/ctrlProp" Target="../ctrlProps/ctrlProp36.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7" Type="http://schemas.openxmlformats.org/officeDocument/2006/relationships/ctrlProp" Target="../ctrlProps/ctrlProp46.xml"/><Relationship Id="rId2" Type="http://schemas.openxmlformats.org/officeDocument/2006/relationships/drawing" Target="../drawings/drawing3.xml"/><Relationship Id="rId1" Type="http://schemas.openxmlformats.org/officeDocument/2006/relationships/printerSettings" Target="../printerSettings/printerSettings4.bin"/><Relationship Id="rId6" Type="http://schemas.openxmlformats.org/officeDocument/2006/relationships/ctrlProp" Target="../ctrlProps/ctrlProp45.xml"/><Relationship Id="rId5" Type="http://schemas.openxmlformats.org/officeDocument/2006/relationships/ctrlProp" Target="../ctrlProps/ctrlProp44.xml"/><Relationship Id="rId4" Type="http://schemas.openxmlformats.org/officeDocument/2006/relationships/ctrlProp" Target="../ctrlProps/ctrlProp43.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E46F6B-B773-4BAC-8CA2-B16AA312206C}">
  <sheetPr codeName="Sheet11"/>
  <dimension ref="A1:B5"/>
  <sheetViews>
    <sheetView showGridLines="0" showRowColHeaders="0" tabSelected="1" workbookViewId="0"/>
  </sheetViews>
  <sheetFormatPr baseColWidth="10" defaultColWidth="0" defaultRowHeight="14" zeroHeight="1" x14ac:dyDescent="0.2"/>
  <cols>
    <col min="1" max="1" width="109.19921875" customWidth="1"/>
    <col min="2" max="2" width="0" hidden="1" customWidth="1"/>
    <col min="3" max="16384" width="9.19921875" hidden="1"/>
  </cols>
  <sheetData>
    <row r="1" spans="1:1" ht="1.5" customHeight="1" x14ac:dyDescent="0.2"/>
    <row r="2" spans="1:1" ht="19" x14ac:dyDescent="0.2">
      <c r="A2" s="286" t="s">
        <v>336</v>
      </c>
    </row>
    <row r="3" spans="1:1" x14ac:dyDescent="0.2"/>
    <row r="4" spans="1:1" s="1" customFormat="1" ht="177.75" customHeight="1" x14ac:dyDescent="0.2">
      <c r="A4" s="287" t="s">
        <v>332</v>
      </c>
    </row>
    <row r="5" spans="1:1" x14ac:dyDescent="0.2"/>
  </sheetData>
  <sheetProtection algorithmName="SHA-512" hashValue="4eTdJD9jhly5bfVq9Yk/mKNydDJxxB0nQ1gB/zCL5AVP5W5drwSHyW9rP4Lt7LOs5R0/gCLy2TQr9WCUHVhyWw==" saltValue="xTuC7xbC/xntiaGUXZxdWA==" spinCount="100000" sheet="1" objects="1" scenarios="1"/>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9">
    <pageSetUpPr fitToPage="1"/>
  </sheetPr>
  <dimension ref="A1:D22"/>
  <sheetViews>
    <sheetView showGridLines="0" showRowColHeaders="0" topLeftCell="B1" workbookViewId="0"/>
  </sheetViews>
  <sheetFormatPr baseColWidth="10" defaultColWidth="0" defaultRowHeight="14" zeroHeight="1" x14ac:dyDescent="0.2"/>
  <cols>
    <col min="1" max="1" width="7" hidden="1" customWidth="1"/>
    <col min="2" max="2" width="4.3984375" customWidth="1"/>
    <col min="3" max="3" width="97.796875" customWidth="1"/>
    <col min="4" max="4" width="5.59765625" hidden="1" customWidth="1"/>
  </cols>
  <sheetData>
    <row r="1" spans="1:3" ht="19" x14ac:dyDescent="0.2">
      <c r="A1" s="51"/>
      <c r="B1" s="288" t="s">
        <v>159</v>
      </c>
      <c r="C1" s="288"/>
    </row>
    <row r="2" spans="1:3" s="32" customFormat="1" ht="15" customHeight="1" x14ac:dyDescent="0.2">
      <c r="A2"/>
      <c r="B2" s="276" t="s">
        <v>146</v>
      </c>
      <c r="C2" s="33"/>
    </row>
    <row r="3" spans="1:3" s="48" customFormat="1" ht="45" x14ac:dyDescent="0.2">
      <c r="C3" s="52" t="str">
        <f>Instructions!B3</f>
        <v xml:space="preserve">This VFR flight planning spread sheet is provided 'as is'. I make no warranty, explicit or implied, as to the reliability, accuracy or usefulness of this tool. You are the pilot in command and as such are responsible for ensuring that all calculations are correct and all data have been correctly entered. </v>
      </c>
    </row>
    <row r="4" spans="1:3" ht="19.5" customHeight="1" x14ac:dyDescent="0.2">
      <c r="B4" s="276" t="s">
        <v>160</v>
      </c>
      <c r="C4" s="33"/>
    </row>
    <row r="5" spans="1:3" s="53" customFormat="1" ht="15.75" customHeight="1" x14ac:dyDescent="0.2">
      <c r="B5" s="46" t="s">
        <v>337</v>
      </c>
      <c r="C5" s="47" t="s">
        <v>334</v>
      </c>
    </row>
    <row r="6" spans="1:3" s="53" customFormat="1" ht="15.75" customHeight="1" x14ac:dyDescent="0.2">
      <c r="B6" s="46" t="s">
        <v>337</v>
      </c>
      <c r="C6" s="47" t="s">
        <v>335</v>
      </c>
    </row>
    <row r="7" spans="1:3" s="53" customFormat="1" ht="33" customHeight="1" x14ac:dyDescent="0.2">
      <c r="B7" s="46" t="s">
        <v>337</v>
      </c>
      <c r="C7" s="47" t="str">
        <f>"After the template has been installed, navigate to " &amp; RefNewDocumentSequence &amp; " to create a new VFR Flight Planner document."</f>
        <v>After the template has been installed, navigate to File &gt;&gt; New from Template… &gt;&gt; Personal &gt;&gt; VFR-Flight-Planner to create a new VFR Flight Planner document.</v>
      </c>
    </row>
    <row r="8" spans="1:3" x14ac:dyDescent="0.2"/>
    <row r="9" spans="1:3" x14ac:dyDescent="0.2"/>
    <row r="10" spans="1:3" x14ac:dyDescent="0.2"/>
    <row r="11" spans="1:3" x14ac:dyDescent="0.2"/>
    <row r="12" spans="1:3" x14ac:dyDescent="0.2"/>
    <row r="13" spans="1:3" ht="15" x14ac:dyDescent="0.2">
      <c r="C13" s="275" t="str">
        <f>CONCATENATE(CopyrightIDString,".  ",VersionIDString)</f>
        <v>©2025 Nick Elsey.  Version 3.53</v>
      </c>
    </row>
    <row r="14" spans="1:3" ht="9.75" customHeight="1" x14ac:dyDescent="0.2"/>
    <row r="16" spans="1:3" x14ac:dyDescent="0.2"/>
    <row r="20" spans="3:3" hidden="1" x14ac:dyDescent="0.2">
      <c r="C20" s="10"/>
    </row>
    <row r="21" spans="3:3" x14ac:dyDescent="0.2"/>
    <row r="22" spans="3:3" x14ac:dyDescent="0.2"/>
  </sheetData>
  <sheetProtection algorithmName="SHA-512" hashValue="688L79MC2+Y/GdX8w0cQGLaOCACGRvkUW79YodeepyOk0eRQK0CAfPsu59TP2A6jCdwU/w6Elzcu0UZnmQa8Ew==" saltValue="RW/aZHWYIOXB0b51ttAtow==" spinCount="100000" sheet="1" objects="1" scenarios="1"/>
  <dataConsolidate/>
  <mergeCells count="1">
    <mergeCell ref="B1:C1"/>
  </mergeCells>
  <phoneticPr fontId="0" type="noConversion"/>
  <conditionalFormatting sqref="C5">
    <cfRule type="beginsWith" dxfId="38" priority="1" operator="beginsWith" text="ERROR">
      <formula>LEFT(C5,LEN("ERROR"))="ERROR"</formula>
    </cfRule>
  </conditionalFormatting>
  <pageMargins left="0.19685039370078741" right="0.19685039370078741" top="0.31496062992125984" bottom="0.31496062992125984" header="0.19685039370078741" footer="0.19685039370078741"/>
  <pageSetup paperSize="9" orientation="landscape" horizontalDpi="4294967292"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8194" r:id="rId4" name="bInstall">
              <controlPr defaultSize="0" print="0" autoFill="0" autoPict="0" macro="[0]!InstallTemplate">
                <anchor moveWithCells="1" sizeWithCells="1">
                  <from>
                    <xdr:col>2</xdr:col>
                    <xdr:colOff>2120900</xdr:colOff>
                    <xdr:row>7</xdr:row>
                    <xdr:rowOff>114300</xdr:rowOff>
                  </from>
                  <to>
                    <xdr:col>2</xdr:col>
                    <xdr:colOff>4267200</xdr:colOff>
                    <xdr:row>10</xdr:row>
                    <xdr:rowOff>101600</xdr:rowOff>
                  </to>
                </anchor>
              </controlPr>
            </control>
          </mc:Choice>
        </mc:AlternateContent>
      </controls>
    </mc:Choice>
  </mc:AlternateContent>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C22"/>
  <sheetViews>
    <sheetView showGridLines="0" showRowColHeaders="0" zoomScaleNormal="100" zoomScalePageLayoutView="76" workbookViewId="0">
      <selection sqref="A1:B1"/>
    </sheetView>
  </sheetViews>
  <sheetFormatPr baseColWidth="10" defaultColWidth="0" defaultRowHeight="14" zeroHeight="1" x14ac:dyDescent="0.2"/>
  <cols>
    <col min="1" max="1" width="4.3984375" style="277" customWidth="1"/>
    <col min="2" max="2" width="150.59765625" customWidth="1"/>
    <col min="3" max="3" width="2.59765625" customWidth="1"/>
  </cols>
  <sheetData>
    <row r="1" spans="1:3" ht="19" x14ac:dyDescent="0.2">
      <c r="A1" s="288" t="s">
        <v>158</v>
      </c>
      <c r="B1" s="288"/>
    </row>
    <row r="2" spans="1:3" ht="15" customHeight="1" x14ac:dyDescent="0.2">
      <c r="A2" s="276" t="s">
        <v>146</v>
      </c>
      <c r="B2" s="34"/>
    </row>
    <row r="3" spans="1:3" ht="30" x14ac:dyDescent="0.2">
      <c r="B3" s="45" t="s">
        <v>277</v>
      </c>
    </row>
    <row r="4" spans="1:3" ht="15" customHeight="1" x14ac:dyDescent="0.2">
      <c r="A4" s="276" t="s">
        <v>147</v>
      </c>
      <c r="B4" s="34"/>
    </row>
    <row r="5" spans="1:3" s="48" customFormat="1" ht="15" x14ac:dyDescent="0.2">
      <c r="A5" s="46" t="s">
        <v>337</v>
      </c>
      <c r="B5" s="47" t="s">
        <v>338</v>
      </c>
    </row>
    <row r="6" spans="1:3" s="48" customFormat="1" ht="15" x14ac:dyDescent="0.2">
      <c r="A6" s="46" t="s">
        <v>337</v>
      </c>
      <c r="B6" s="47" t="s">
        <v>333</v>
      </c>
    </row>
    <row r="7" spans="1:3" s="48" customFormat="1" ht="30" x14ac:dyDescent="0.2">
      <c r="A7" s="46" t="s">
        <v>337</v>
      </c>
      <c r="B7" s="47" t="s">
        <v>301</v>
      </c>
    </row>
    <row r="8" spans="1:3" s="48" customFormat="1" ht="30" x14ac:dyDescent="0.2">
      <c r="A8" s="46" t="s">
        <v>337</v>
      </c>
      <c r="B8" s="47" t="s">
        <v>302</v>
      </c>
    </row>
    <row r="9" spans="1:3" s="48" customFormat="1" ht="30" x14ac:dyDescent="0.2">
      <c r="A9" s="46" t="s">
        <v>337</v>
      </c>
      <c r="B9" s="47" t="s">
        <v>321</v>
      </c>
    </row>
    <row r="10" spans="1:3" s="48" customFormat="1" ht="30" x14ac:dyDescent="0.2">
      <c r="A10" s="46" t="s">
        <v>337</v>
      </c>
      <c r="B10" s="47" t="s">
        <v>328</v>
      </c>
    </row>
    <row r="11" spans="1:3" s="48" customFormat="1" ht="30" x14ac:dyDescent="0.2">
      <c r="A11" s="46" t="s">
        <v>337</v>
      </c>
      <c r="B11" s="47" t="s">
        <v>184</v>
      </c>
      <c r="C11" s="48" t="s">
        <v>169</v>
      </c>
    </row>
    <row r="12" spans="1:3" s="48" customFormat="1" ht="30" x14ac:dyDescent="0.2">
      <c r="A12" s="46" t="s">
        <v>337</v>
      </c>
      <c r="B12" s="47" t="s">
        <v>327</v>
      </c>
    </row>
    <row r="13" spans="1:3" s="48" customFormat="1" ht="30" x14ac:dyDescent="0.2">
      <c r="A13" s="46" t="s">
        <v>337</v>
      </c>
      <c r="B13" s="47" t="s">
        <v>157</v>
      </c>
    </row>
    <row r="14" spans="1:3" ht="17" x14ac:dyDescent="0.2">
      <c r="A14" s="276" t="s">
        <v>149</v>
      </c>
      <c r="B14" s="34"/>
    </row>
    <row r="15" spans="1:3" s="48" customFormat="1" ht="15" x14ac:dyDescent="0.2">
      <c r="A15" s="277"/>
      <c r="B15" s="49" t="s">
        <v>281</v>
      </c>
    </row>
    <row r="16" spans="1:3" s="48" customFormat="1" x14ac:dyDescent="0.2">
      <c r="A16" s="277"/>
      <c r="B16" s="50" t="s">
        <v>192</v>
      </c>
    </row>
    <row r="17" spans="1:2" ht="16.5" customHeight="1" x14ac:dyDescent="0.2">
      <c r="A17" s="276" t="s">
        <v>148</v>
      </c>
      <c r="B17" s="34"/>
    </row>
    <row r="18" spans="1:2" s="48" customFormat="1" ht="15" x14ac:dyDescent="0.2">
      <c r="A18" s="277"/>
      <c r="B18" s="49" t="s">
        <v>278</v>
      </c>
    </row>
    <row r="19" spans="1:2" s="48" customFormat="1" x14ac:dyDescent="0.2">
      <c r="A19" s="277"/>
      <c r="B19" s="285" t="s">
        <v>331</v>
      </c>
    </row>
    <row r="20" spans="1:2" s="48" customFormat="1" x14ac:dyDescent="0.2">
      <c r="A20" s="277"/>
      <c r="B20" s="284" t="str">
        <f>CONCATENATE(CopyrightIDString,".  ",VersionIDString)</f>
        <v>©2025 Nick Elsey.  Version 3.53</v>
      </c>
    </row>
    <row r="21" spans="1:2" s="44" customFormat="1" ht="15" x14ac:dyDescent="0.2">
      <c r="A21" s="278"/>
    </row>
    <row r="22" spans="1:2" x14ac:dyDescent="0.2"/>
  </sheetData>
  <sheetProtection algorithmName="SHA-512" hashValue="HikdG5EMtES1e1w8ETbbbT+KYY3zDBorURl7gP/BJynpb0BfWIGdmGzV0x84P+udOQWcezv7prHc38sgphOXrw==" saltValue="MzBc3m297ds949/eGlC29Q==" spinCount="100000" sheet="1" objects="1" scenarios="1"/>
  <mergeCells count="1">
    <mergeCell ref="A1:B1"/>
  </mergeCells>
  <phoneticPr fontId="0" type="noConversion"/>
  <hyperlinks>
    <hyperlink ref="B16" r:id="rId1" xr:uid="{00000000-0004-0000-0100-000000000000}"/>
    <hyperlink ref="B19" r:id="rId2" xr:uid="{00000000-0004-0000-0100-000001000000}"/>
  </hyperlinks>
  <pageMargins left="0.19685039370078741" right="0.19685039370078741" top="0.31496062992125984" bottom="0.31496062992125984" header="0.19685039370078741" footer="0.19685039370078741"/>
  <pageSetup paperSize="9" orientation="landscape" horizontalDpi="4294967292" r:id="rId3"/>
  <headerFooter alignWithMargins="0"/>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pageSetUpPr fitToPage="1"/>
  </sheetPr>
  <dimension ref="A1:Q67"/>
  <sheetViews>
    <sheetView showGridLines="0" showRowColHeaders="0" zoomScaleNormal="100" workbookViewId="0">
      <selection sqref="A1:P1"/>
    </sheetView>
  </sheetViews>
  <sheetFormatPr baseColWidth="10" defaultColWidth="0" defaultRowHeight="14" zeroHeight="1" x14ac:dyDescent="0.2"/>
  <cols>
    <col min="1" max="1" width="3.796875" customWidth="1"/>
    <col min="2" max="2" width="16.59765625" customWidth="1"/>
    <col min="3" max="3" width="9" customWidth="1"/>
    <col min="4" max="5" width="10.3984375" customWidth="1"/>
    <col min="6" max="6" width="9" customWidth="1"/>
    <col min="7" max="7" width="3.3984375" customWidth="1"/>
    <col min="8" max="8" width="3.796875" customWidth="1"/>
    <col min="9" max="9" width="18.3984375" customWidth="1"/>
    <col min="10" max="10" width="3.3984375" customWidth="1"/>
    <col min="11" max="11" width="16.59765625" customWidth="1"/>
    <col min="12" max="12" width="3.3984375" customWidth="1"/>
    <col min="13" max="13" width="11.3984375" customWidth="1"/>
    <col min="14" max="14" width="3.59765625" customWidth="1"/>
    <col min="15" max="16" width="9" customWidth="1"/>
    <col min="17" max="17" width="2.3984375" customWidth="1"/>
    <col min="18" max="16384" width="9" hidden="1"/>
  </cols>
  <sheetData>
    <row r="1" spans="1:16" ht="25.5" customHeight="1" x14ac:dyDescent="0.2">
      <c r="A1" s="336" t="str">
        <f>IF(TripDescription="","Weight, Balance and Check Lists",CONCATENATE("W&amp;B and Check Lists for ",TripDescription))</f>
        <v>Weight, Balance and Check Lists</v>
      </c>
      <c r="B1" s="336"/>
      <c r="C1" s="336"/>
      <c r="D1" s="336"/>
      <c r="E1" s="336"/>
      <c r="F1" s="336"/>
      <c r="G1" s="336"/>
      <c r="H1" s="336"/>
      <c r="I1" s="336"/>
      <c r="J1" s="336"/>
      <c r="K1" s="336"/>
      <c r="L1" s="336"/>
      <c r="M1" s="336"/>
      <c r="N1" s="336"/>
      <c r="O1" s="336"/>
      <c r="P1" s="336"/>
    </row>
    <row r="2" spans="1:16" ht="15" customHeight="1" x14ac:dyDescent="0.2">
      <c r="A2" s="69" t="s">
        <v>282</v>
      </c>
      <c r="B2" s="70"/>
      <c r="C2" s="72"/>
      <c r="D2" s="72"/>
      <c r="E2" s="72"/>
      <c r="F2" s="72"/>
      <c r="H2" s="69" t="s">
        <v>283</v>
      </c>
      <c r="I2" s="70"/>
      <c r="J2" s="72"/>
      <c r="K2" s="72"/>
      <c r="L2" s="72"/>
      <c r="M2" s="72"/>
      <c r="N2" s="72"/>
      <c r="O2" s="72"/>
      <c r="P2" s="72"/>
    </row>
    <row r="3" spans="1:16" ht="15" customHeight="1" x14ac:dyDescent="0.2">
      <c r="A3" s="29"/>
      <c r="B3" s="306" t="s">
        <v>156</v>
      </c>
      <c r="C3" s="306"/>
      <c r="D3" s="306"/>
      <c r="E3" s="306"/>
      <c r="F3" s="306"/>
      <c r="H3" s="29"/>
      <c r="I3" s="337" t="s">
        <v>119</v>
      </c>
      <c r="J3" s="337"/>
      <c r="K3" s="337"/>
      <c r="L3" s="337"/>
      <c r="M3" s="337"/>
      <c r="N3" s="337"/>
      <c r="O3" s="337"/>
      <c r="P3" s="337"/>
    </row>
    <row r="4" spans="1:16" ht="15" customHeight="1" x14ac:dyDescent="0.2">
      <c r="A4" s="29"/>
      <c r="B4" s="306" t="s">
        <v>155</v>
      </c>
      <c r="C4" s="306"/>
      <c r="D4" s="306"/>
      <c r="E4" s="306"/>
      <c r="F4" s="306"/>
      <c r="H4" s="29"/>
      <c r="I4" s="337" t="s">
        <v>98</v>
      </c>
      <c r="J4" s="337"/>
      <c r="K4" s="337"/>
      <c r="L4" s="337"/>
      <c r="M4" s="337"/>
      <c r="N4" s="337"/>
      <c r="O4" s="337"/>
      <c r="P4" s="337"/>
    </row>
    <row r="5" spans="1:16" ht="15" customHeight="1" x14ac:dyDescent="0.2">
      <c r="A5" s="29"/>
      <c r="B5" s="306" t="s">
        <v>128</v>
      </c>
      <c r="C5" s="306"/>
      <c r="D5" s="306"/>
      <c r="E5" s="306"/>
      <c r="F5" s="306"/>
      <c r="H5" s="29"/>
      <c r="I5" s="337" t="s">
        <v>136</v>
      </c>
      <c r="J5" s="337"/>
      <c r="K5" s="337"/>
      <c r="L5" s="337"/>
      <c r="M5" s="337"/>
      <c r="N5" s="337"/>
      <c r="O5" s="337"/>
      <c r="P5" s="337"/>
    </row>
    <row r="6" spans="1:16" ht="15" customHeight="1" x14ac:dyDescent="0.2">
      <c r="A6" s="29"/>
      <c r="B6" s="306" t="s">
        <v>154</v>
      </c>
      <c r="C6" s="306"/>
      <c r="D6" s="306"/>
      <c r="E6" s="306"/>
      <c r="F6" s="306"/>
      <c r="I6" s="3"/>
      <c r="J6" s="3"/>
      <c r="K6" s="3"/>
      <c r="L6" s="3"/>
      <c r="M6" s="3"/>
      <c r="N6" s="3"/>
      <c r="O6" s="3"/>
      <c r="P6" s="3"/>
    </row>
    <row r="7" spans="1:16" ht="15" customHeight="1" x14ac:dyDescent="0.2">
      <c r="A7" s="29"/>
      <c r="B7" s="313" t="s">
        <v>135</v>
      </c>
      <c r="C7" s="313"/>
      <c r="D7" s="313"/>
      <c r="E7" s="313"/>
      <c r="F7" s="313"/>
      <c r="H7" s="69" t="s">
        <v>284</v>
      </c>
      <c r="I7" s="72"/>
      <c r="J7" s="72"/>
      <c r="K7" s="72"/>
      <c r="L7" s="72"/>
      <c r="M7" s="72"/>
      <c r="N7" s="72"/>
      <c r="O7" s="72"/>
      <c r="P7" s="72"/>
    </row>
    <row r="8" spans="1:16" ht="15" customHeight="1" x14ac:dyDescent="0.2">
      <c r="A8" s="29"/>
      <c r="B8" s="313" t="s">
        <v>129</v>
      </c>
      <c r="C8" s="313"/>
      <c r="D8" s="313"/>
      <c r="E8" s="313"/>
      <c r="F8" s="313"/>
      <c r="H8" s="29"/>
      <c r="I8" s="337" t="s">
        <v>123</v>
      </c>
      <c r="J8" s="337"/>
      <c r="K8" s="337"/>
      <c r="L8" s="337"/>
      <c r="M8" s="337"/>
      <c r="N8" s="337"/>
      <c r="O8" s="337"/>
      <c r="P8" s="337"/>
    </row>
    <row r="9" spans="1:16" ht="15" customHeight="1" x14ac:dyDescent="0.2">
      <c r="A9" s="3"/>
      <c r="B9" s="306" t="s">
        <v>131</v>
      </c>
      <c r="C9" s="306"/>
      <c r="D9" s="306"/>
      <c r="E9" s="306"/>
      <c r="F9" s="306"/>
      <c r="H9" s="29"/>
      <c r="I9" s="337" t="s">
        <v>124</v>
      </c>
      <c r="J9" s="337"/>
      <c r="K9" s="337"/>
      <c r="L9" s="337"/>
      <c r="M9" s="337"/>
      <c r="N9" s="337"/>
      <c r="O9" s="337"/>
      <c r="P9" s="337"/>
    </row>
    <row r="10" spans="1:16" ht="15" customHeight="1" x14ac:dyDescent="0.2">
      <c r="A10" s="29"/>
      <c r="B10" s="334" t="s">
        <v>130</v>
      </c>
      <c r="C10" s="334"/>
      <c r="D10" s="334"/>
      <c r="E10" s="334"/>
      <c r="F10" s="334"/>
      <c r="H10" s="29"/>
      <c r="I10" s="306" t="s">
        <v>120</v>
      </c>
      <c r="J10" s="306"/>
      <c r="K10" s="306"/>
      <c r="L10" s="306"/>
      <c r="M10" s="306"/>
      <c r="N10" s="306"/>
      <c r="O10" s="306"/>
      <c r="P10" s="306"/>
    </row>
    <row r="11" spans="1:16" ht="15" customHeight="1" x14ac:dyDescent="0.2">
      <c r="A11" s="29"/>
      <c r="B11" s="313" t="s">
        <v>86</v>
      </c>
      <c r="C11" s="313"/>
      <c r="D11" s="313"/>
      <c r="E11" s="313"/>
      <c r="F11" s="313"/>
      <c r="I11" s="334" t="s">
        <v>138</v>
      </c>
      <c r="J11" s="337"/>
      <c r="K11" s="337"/>
      <c r="L11" s="337"/>
      <c r="M11" s="337"/>
      <c r="N11" s="337"/>
      <c r="O11" s="337"/>
      <c r="P11" s="337"/>
    </row>
    <row r="12" spans="1:16" ht="15" customHeight="1" x14ac:dyDescent="0.2">
      <c r="A12" s="29"/>
      <c r="B12" s="306" t="s">
        <v>87</v>
      </c>
      <c r="C12" s="306"/>
      <c r="D12" s="306"/>
      <c r="E12" s="306"/>
      <c r="F12" s="306"/>
      <c r="H12" s="3"/>
      <c r="I12" s="334" t="s">
        <v>137</v>
      </c>
      <c r="J12" s="337"/>
      <c r="K12" s="337"/>
      <c r="L12" s="337"/>
      <c r="M12" s="337"/>
      <c r="N12" s="337"/>
      <c r="O12" s="337"/>
      <c r="P12" s="337"/>
    </row>
    <row r="13" spans="1:16" ht="15" customHeight="1" x14ac:dyDescent="0.2">
      <c r="A13" s="3"/>
      <c r="B13" s="306" t="s">
        <v>132</v>
      </c>
      <c r="C13" s="306"/>
      <c r="D13" s="306"/>
      <c r="E13" s="306"/>
      <c r="F13" s="306"/>
      <c r="H13" s="3"/>
      <c r="I13" s="334" t="s">
        <v>121</v>
      </c>
      <c r="J13" s="337"/>
      <c r="K13" s="337"/>
      <c r="L13" s="337"/>
      <c r="M13" s="337"/>
      <c r="N13" s="337"/>
      <c r="O13" s="337"/>
      <c r="P13" s="337"/>
    </row>
    <row r="14" spans="1:16" ht="15" customHeight="1" x14ac:dyDescent="0.2">
      <c r="A14" s="29"/>
      <c r="B14" s="334" t="s">
        <v>133</v>
      </c>
      <c r="C14" s="334"/>
      <c r="D14" s="334"/>
      <c r="E14" s="334"/>
      <c r="F14" s="334"/>
      <c r="H14" s="3"/>
      <c r="I14" s="334" t="s">
        <v>122</v>
      </c>
      <c r="J14" s="337"/>
      <c r="K14" s="337"/>
      <c r="L14" s="337"/>
      <c r="M14" s="337"/>
      <c r="N14" s="337"/>
      <c r="O14" s="337"/>
      <c r="P14" s="337"/>
    </row>
    <row r="15" spans="1:16" ht="15" customHeight="1" x14ac:dyDescent="0.2">
      <c r="A15" s="29"/>
      <c r="B15" s="306" t="s">
        <v>85</v>
      </c>
      <c r="C15" s="306"/>
      <c r="D15" s="306"/>
      <c r="E15" s="306"/>
      <c r="F15" s="306"/>
      <c r="H15" s="29"/>
    </row>
    <row r="16" spans="1:16" ht="15" customHeight="1" x14ac:dyDescent="0.2">
      <c r="A16" s="29"/>
      <c r="B16" s="55"/>
      <c r="C16" s="55"/>
      <c r="D16" s="55"/>
      <c r="E16" s="55"/>
      <c r="F16" s="55"/>
      <c r="H16" s="69" t="s">
        <v>285</v>
      </c>
      <c r="I16" s="70"/>
      <c r="J16" s="71"/>
      <c r="K16" s="71"/>
      <c r="L16" s="71"/>
      <c r="M16" s="71"/>
      <c r="N16" s="71"/>
      <c r="O16" s="71"/>
      <c r="P16" s="71"/>
    </row>
    <row r="17" spans="1:16" ht="15" customHeight="1" x14ac:dyDescent="0.2">
      <c r="H17" s="29"/>
      <c r="I17" s="339" t="s">
        <v>96</v>
      </c>
      <c r="J17" s="339"/>
      <c r="K17" s="339"/>
      <c r="L17" s="339"/>
      <c r="M17" s="339"/>
      <c r="N17" s="339"/>
      <c r="O17" s="339"/>
      <c r="P17" s="339"/>
    </row>
    <row r="18" spans="1:16" ht="15" customHeight="1" x14ac:dyDescent="0.2">
      <c r="A18" s="342" t="s">
        <v>89</v>
      </c>
      <c r="B18" s="342"/>
      <c r="C18" s="342"/>
      <c r="D18" s="342"/>
      <c r="E18" s="342"/>
      <c r="F18" s="342"/>
      <c r="H18" s="36"/>
      <c r="I18" s="327" t="s">
        <v>97</v>
      </c>
      <c r="J18" s="327"/>
      <c r="K18" s="327"/>
      <c r="L18" s="327"/>
      <c r="M18" s="327"/>
      <c r="N18" s="327"/>
      <c r="O18" s="327"/>
      <c r="P18" s="327"/>
    </row>
    <row r="19" spans="1:16" ht="15" customHeight="1" x14ac:dyDescent="0.2">
      <c r="A19" s="335" t="s">
        <v>164</v>
      </c>
      <c r="B19" s="335"/>
      <c r="C19" s="335"/>
      <c r="D19" s="335"/>
      <c r="E19" s="332"/>
      <c r="F19" s="332"/>
      <c r="G19" s="30"/>
      <c r="H19" s="29"/>
      <c r="I19" s="327" t="s">
        <v>182</v>
      </c>
      <c r="J19" s="327"/>
      <c r="K19" s="327"/>
      <c r="L19" s="327"/>
      <c r="M19" s="327"/>
      <c r="N19" s="327"/>
      <c r="O19" s="327"/>
      <c r="P19" s="327"/>
    </row>
    <row r="20" spans="1:16" ht="15" customHeight="1" x14ac:dyDescent="0.2">
      <c r="A20" s="37"/>
      <c r="B20" s="37"/>
      <c r="C20" s="37"/>
      <c r="D20" s="37"/>
      <c r="E20" s="38"/>
      <c r="F20" s="38"/>
      <c r="G20" s="30"/>
      <c r="H20" s="29"/>
      <c r="I20" s="10" t="s">
        <v>125</v>
      </c>
      <c r="J20" s="10"/>
      <c r="K20" s="10"/>
      <c r="L20" s="10"/>
      <c r="M20" s="10"/>
      <c r="N20" s="10"/>
      <c r="O20" s="10"/>
      <c r="P20" s="10"/>
    </row>
    <row r="21" spans="1:16" ht="15" customHeight="1" x14ac:dyDescent="0.2">
      <c r="A21" s="341"/>
      <c r="B21" s="339"/>
      <c r="C21" s="339"/>
      <c r="D21" s="339"/>
      <c r="E21" s="73" t="s">
        <v>90</v>
      </c>
      <c r="F21" s="74" t="s">
        <v>176</v>
      </c>
      <c r="H21" s="29"/>
      <c r="I21" s="10" t="s">
        <v>88</v>
      </c>
      <c r="J21" s="10"/>
      <c r="K21" s="10"/>
      <c r="L21" s="10"/>
      <c r="M21" s="10"/>
      <c r="N21" s="10"/>
      <c r="O21" s="10"/>
      <c r="P21" s="10"/>
    </row>
    <row r="22" spans="1:16" ht="15" customHeight="1" x14ac:dyDescent="0.2">
      <c r="A22" s="333" t="s">
        <v>161</v>
      </c>
      <c r="B22" s="333"/>
      <c r="C22" s="333"/>
      <c r="D22" s="318"/>
      <c r="E22" s="329">
        <f>BasicEmptyWeight</f>
        <v>-1</v>
      </c>
      <c r="F22" s="314">
        <f>E22*ArmAirplane/1000</f>
        <v>1E-3</v>
      </c>
      <c r="H22" s="29"/>
      <c r="I22" t="s">
        <v>126</v>
      </c>
    </row>
    <row r="23" spans="1:16" ht="15" customHeight="1" x14ac:dyDescent="0.2">
      <c r="A23" s="333"/>
      <c r="B23" s="333"/>
      <c r="C23" s="333"/>
      <c r="D23" s="318"/>
      <c r="E23" s="329"/>
      <c r="F23" s="314"/>
      <c r="H23" s="29"/>
      <c r="I23" s="54" t="s">
        <v>127</v>
      </c>
    </row>
    <row r="24" spans="1:16" ht="15" customHeight="1" x14ac:dyDescent="0.2">
      <c r="A24" s="305" t="s">
        <v>93</v>
      </c>
      <c r="B24" s="305"/>
      <c r="C24" s="305"/>
      <c r="D24" s="318"/>
      <c r="E24" s="322"/>
      <c r="F24" s="314">
        <f>E24*ArmPilot/1000</f>
        <v>0</v>
      </c>
      <c r="H24" s="3"/>
      <c r="I24" s="54" t="s">
        <v>139</v>
      </c>
    </row>
    <row r="25" spans="1:16" ht="15" customHeight="1" x14ac:dyDescent="0.2">
      <c r="A25" s="305"/>
      <c r="B25" s="305"/>
      <c r="C25" s="305"/>
      <c r="D25" s="318"/>
      <c r="E25" s="322"/>
      <c r="F25" s="314"/>
      <c r="H25" s="3"/>
      <c r="I25" s="54" t="s">
        <v>140</v>
      </c>
    </row>
    <row r="26" spans="1:16" ht="15" customHeight="1" x14ac:dyDescent="0.2">
      <c r="A26" s="305" t="s">
        <v>101</v>
      </c>
      <c r="B26" s="305"/>
      <c r="C26" s="305"/>
      <c r="D26" s="318"/>
      <c r="E26" s="322"/>
      <c r="F26" s="314">
        <f>E26*ArmPassengers/1000</f>
        <v>0</v>
      </c>
      <c r="I26" s="54" t="s">
        <v>142</v>
      </c>
    </row>
    <row r="27" spans="1:16" ht="15" customHeight="1" x14ac:dyDescent="0.2">
      <c r="A27" s="305"/>
      <c r="B27" s="305"/>
      <c r="C27" s="305"/>
      <c r="D27" s="318"/>
      <c r="E27" s="322"/>
      <c r="F27" s="314"/>
      <c r="I27" s="54" t="s">
        <v>141</v>
      </c>
    </row>
    <row r="28" spans="1:16" ht="15" customHeight="1" x14ac:dyDescent="0.2">
      <c r="A28" s="305" t="s">
        <v>92</v>
      </c>
      <c r="B28" s="305"/>
      <c r="C28" s="305"/>
      <c r="D28" s="318"/>
      <c r="E28" s="322"/>
      <c r="F28" s="314">
        <f>E28*ArmBaggageArea1/1000</f>
        <v>0</v>
      </c>
      <c r="I28" s="327" t="s">
        <v>183</v>
      </c>
      <c r="J28" s="327"/>
      <c r="K28" s="327"/>
      <c r="L28" s="327"/>
      <c r="M28" s="327"/>
      <c r="N28" s="327"/>
      <c r="O28" s="327"/>
      <c r="P28" s="327"/>
    </row>
    <row r="29" spans="1:16" ht="15" customHeight="1" x14ac:dyDescent="0.2">
      <c r="A29" s="305"/>
      <c r="B29" s="305"/>
      <c r="C29" s="305"/>
      <c r="D29" s="318"/>
      <c r="E29" s="322"/>
      <c r="F29" s="314"/>
      <c r="H29" s="36"/>
    </row>
    <row r="30" spans="1:16" ht="15" customHeight="1" x14ac:dyDescent="0.2">
      <c r="A30" s="305" t="s">
        <v>91</v>
      </c>
      <c r="B30" s="305"/>
      <c r="C30" s="305"/>
      <c r="D30" s="318"/>
      <c r="E30" s="322"/>
      <c r="F30" s="314">
        <f>E30*ArmBaggageArea2/1000</f>
        <v>0</v>
      </c>
    </row>
    <row r="31" spans="1:16" ht="15" customHeight="1" x14ac:dyDescent="0.2">
      <c r="A31" s="305"/>
      <c r="B31" s="305"/>
      <c r="C31" s="305"/>
      <c r="D31" s="318"/>
      <c r="E31" s="322"/>
      <c r="F31" s="314"/>
      <c r="H31" s="35" t="s">
        <v>286</v>
      </c>
      <c r="J31" s="6"/>
      <c r="K31" s="6"/>
      <c r="L31" s="6"/>
      <c r="M31" s="6"/>
      <c r="N31" s="6"/>
      <c r="O31" s="6"/>
      <c r="P31" s="6"/>
    </row>
    <row r="32" spans="1:16" ht="15" customHeight="1" x14ac:dyDescent="0.2">
      <c r="A32" s="317" t="s">
        <v>279</v>
      </c>
      <c r="B32" s="317"/>
      <c r="C32" s="317"/>
      <c r="D32" s="318"/>
      <c r="E32" s="315">
        <f>SUM(E22:E31)</f>
        <v>-1</v>
      </c>
      <c r="F32" s="314">
        <f>SUM(F22:F31)</f>
        <v>1E-3</v>
      </c>
      <c r="H32" s="29"/>
      <c r="I32" t="s">
        <v>99</v>
      </c>
      <c r="J32" s="29"/>
      <c r="K32" s="6" t="s">
        <v>76</v>
      </c>
      <c r="L32" s="29"/>
      <c r="M32" s="6" t="s">
        <v>79</v>
      </c>
      <c r="N32" s="29"/>
      <c r="O32" s="6" t="s">
        <v>280</v>
      </c>
    </row>
    <row r="33" spans="1:16" ht="15" customHeight="1" thickBot="1" x14ac:dyDescent="0.25">
      <c r="A33" s="319"/>
      <c r="B33" s="319"/>
      <c r="C33" s="319"/>
      <c r="D33" s="320"/>
      <c r="E33" s="316"/>
      <c r="F33" s="325"/>
      <c r="H33" s="29"/>
      <c r="I33" s="6" t="s">
        <v>74</v>
      </c>
      <c r="J33" s="29"/>
      <c r="K33" s="6" t="s">
        <v>78</v>
      </c>
      <c r="L33" s="29"/>
      <c r="M33" s="6" t="s">
        <v>80</v>
      </c>
      <c r="N33" s="29"/>
      <c r="O33" s="6" t="s">
        <v>143</v>
      </c>
    </row>
    <row r="34" spans="1:16" ht="15" customHeight="1" x14ac:dyDescent="0.2">
      <c r="A34" s="323" t="s">
        <v>95</v>
      </c>
      <c r="B34" s="323"/>
      <c r="C34" s="323"/>
      <c r="D34" s="324"/>
      <c r="E34" s="328">
        <f>MaxTakeOffWeight</f>
        <v>-1</v>
      </c>
      <c r="F34" s="330"/>
      <c r="H34" s="29"/>
      <c r="I34" s="6" t="s">
        <v>75</v>
      </c>
      <c r="J34" s="29"/>
      <c r="K34" s="6" t="s">
        <v>100</v>
      </c>
      <c r="L34" s="29"/>
      <c r="M34" s="6" t="s">
        <v>81</v>
      </c>
      <c r="N34" s="29"/>
      <c r="O34" s="6" t="s">
        <v>144</v>
      </c>
    </row>
    <row r="35" spans="1:16" ht="15" customHeight="1" x14ac:dyDescent="0.2">
      <c r="A35" s="305"/>
      <c r="B35" s="305"/>
      <c r="C35" s="305"/>
      <c r="D35" s="318"/>
      <c r="E35" s="329"/>
      <c r="F35" s="331"/>
      <c r="H35" s="29"/>
      <c r="I35" s="6" t="s">
        <v>84</v>
      </c>
      <c r="J35" s="29"/>
      <c r="K35" s="6" t="s">
        <v>77</v>
      </c>
      <c r="L35" s="29"/>
      <c r="M35" s="6" t="s">
        <v>82</v>
      </c>
      <c r="N35" s="29"/>
      <c r="O35" s="6" t="s">
        <v>83</v>
      </c>
    </row>
    <row r="36" spans="1:16" ht="15" customHeight="1" x14ac:dyDescent="0.2">
      <c r="A36" s="305" t="s">
        <v>242</v>
      </c>
      <c r="B36" s="305"/>
      <c r="C36" s="305"/>
      <c r="D36" s="295">
        <v>-1.1000000000000001</v>
      </c>
      <c r="E36" s="290">
        <f>D36*6</f>
        <v>-6.6000000000000005</v>
      </c>
      <c r="F36" s="314">
        <f>E36*ArmFuel/1000</f>
        <v>6.6000000000000008E-3</v>
      </c>
      <c r="H36" s="29"/>
      <c r="I36" s="6"/>
      <c r="J36" s="29"/>
      <c r="K36" s="6"/>
      <c r="L36" s="29"/>
      <c r="M36" s="6"/>
      <c r="N36" s="29"/>
      <c r="O36" s="6"/>
    </row>
    <row r="37" spans="1:16" ht="15" customHeight="1" x14ac:dyDescent="0.2">
      <c r="A37" s="305"/>
      <c r="B37" s="305"/>
      <c r="C37" s="305"/>
      <c r="D37" s="295"/>
      <c r="E37" s="290"/>
      <c r="F37" s="314"/>
      <c r="H37" s="312" t="s">
        <v>1</v>
      </c>
      <c r="I37" s="312"/>
      <c r="J37" s="312"/>
      <c r="K37" s="312"/>
      <c r="L37" s="312"/>
      <c r="M37" s="312"/>
      <c r="N37" s="312"/>
      <c r="O37" s="312"/>
      <c r="P37" s="312"/>
    </row>
    <row r="38" spans="1:16" ht="15" customHeight="1" x14ac:dyDescent="0.2">
      <c r="A38" s="305" t="s">
        <v>162</v>
      </c>
      <c r="B38" s="305"/>
      <c r="C38" s="305"/>
      <c r="D38" s="326">
        <f>E38/6</f>
        <v>0</v>
      </c>
      <c r="E38" s="290">
        <f>ROUND(MAX(0,MIN((E34-E36)-E32,6*MaxFuelCapacity)),0)</f>
        <v>0</v>
      </c>
      <c r="F38" s="321"/>
      <c r="H38" s="292"/>
      <c r="I38" s="292"/>
      <c r="J38" s="292"/>
      <c r="K38" s="292"/>
      <c r="L38" s="292"/>
      <c r="M38" s="292"/>
      <c r="N38" s="292"/>
      <c r="O38" s="292"/>
      <c r="P38" s="292"/>
    </row>
    <row r="39" spans="1:16" ht="15" customHeight="1" x14ac:dyDescent="0.2">
      <c r="A39" s="305"/>
      <c r="B39" s="305"/>
      <c r="C39" s="305"/>
      <c r="D39" s="326"/>
      <c r="E39" s="290"/>
      <c r="F39" s="321"/>
      <c r="H39" s="292"/>
      <c r="I39" s="292"/>
      <c r="J39" s="292"/>
      <c r="K39" s="292"/>
      <c r="L39" s="292"/>
      <c r="M39" s="292"/>
      <c r="N39" s="292"/>
      <c r="O39" s="292"/>
      <c r="P39" s="292"/>
    </row>
    <row r="40" spans="1:16" ht="15" customHeight="1" x14ac:dyDescent="0.2">
      <c r="A40" s="305" t="s">
        <v>175</v>
      </c>
      <c r="B40" s="305"/>
      <c r="C40" s="305"/>
      <c r="D40" s="295">
        <f>FLOOR(D38,0.5)</f>
        <v>0</v>
      </c>
      <c r="E40" s="290">
        <f>D40*6</f>
        <v>0</v>
      </c>
      <c r="F40" s="314">
        <f>E40*ArmFuel/1000</f>
        <v>0</v>
      </c>
      <c r="H40" s="292"/>
      <c r="I40" s="292"/>
      <c r="J40" s="292"/>
      <c r="K40" s="292"/>
      <c r="L40" s="292"/>
      <c r="M40" s="292"/>
      <c r="N40" s="292"/>
      <c r="O40" s="292"/>
      <c r="P40" s="292"/>
    </row>
    <row r="41" spans="1:16" ht="15" customHeight="1" thickBot="1" x14ac:dyDescent="0.25">
      <c r="A41" s="309"/>
      <c r="B41" s="309"/>
      <c r="C41" s="309"/>
      <c r="D41" s="296"/>
      <c r="E41" s="340"/>
      <c r="F41" s="325"/>
      <c r="H41" s="292"/>
      <c r="I41" s="292"/>
      <c r="J41" s="292"/>
      <c r="K41" s="292"/>
      <c r="L41" s="292"/>
      <c r="M41" s="292"/>
      <c r="N41" s="292"/>
      <c r="O41" s="292"/>
      <c r="P41" s="292"/>
    </row>
    <row r="42" spans="1:16" ht="15" customHeight="1" x14ac:dyDescent="0.2">
      <c r="A42" s="297" t="str">
        <f>IF(ROUND(E42,0)&gt;ROUND(E34,0),"Warning: Overweight!","Takeoff Configuration")</f>
        <v>Takeoff Configuration</v>
      </c>
      <c r="B42" s="297"/>
      <c r="C42" s="297"/>
      <c r="D42" s="298"/>
      <c r="E42" s="310">
        <f>E32+E36+E40</f>
        <v>-7.6000000000000005</v>
      </c>
      <c r="F42" s="307">
        <f>F32+F36+F40</f>
        <v>7.6000000000000009E-3</v>
      </c>
      <c r="H42" s="292"/>
      <c r="I42" s="292"/>
      <c r="J42" s="292"/>
      <c r="K42" s="292"/>
      <c r="L42" s="292"/>
      <c r="M42" s="292"/>
      <c r="N42" s="292"/>
      <c r="O42" s="292"/>
      <c r="P42" s="292"/>
    </row>
    <row r="43" spans="1:16" ht="15" customHeight="1" thickBot="1" x14ac:dyDescent="0.25">
      <c r="A43" s="299"/>
      <c r="B43" s="299"/>
      <c r="C43" s="299"/>
      <c r="D43" s="300"/>
      <c r="E43" s="311"/>
      <c r="F43" s="308"/>
      <c r="H43" s="292"/>
      <c r="I43" s="292"/>
      <c r="J43" s="292"/>
      <c r="K43" s="292"/>
      <c r="L43" s="292"/>
      <c r="M43" s="292"/>
      <c r="N43" s="292"/>
      <c r="O43" s="292"/>
      <c r="P43" s="292"/>
    </row>
    <row r="44" spans="1:16" ht="15" customHeight="1" x14ac:dyDescent="0.2">
      <c r="A44" s="40" t="str">
        <f>IF(AND(NOT(ISBLANK(AircraftNumber)),ISNA(VLOOKUP(AircraftNumber,AircraftData,1,FALSE))),"Warning: Aircraft Number not found on Aircraft Database sheet. You must manually enter Aircraft Data in table below","")</f>
        <v/>
      </c>
      <c r="B44" s="40"/>
      <c r="C44" s="40"/>
      <c r="D44" s="40"/>
      <c r="E44" s="40"/>
      <c r="H44" s="292"/>
      <c r="I44" s="292"/>
      <c r="J44" s="292"/>
      <c r="K44" s="292"/>
      <c r="L44" s="292"/>
      <c r="M44" s="292"/>
      <c r="N44" s="292"/>
      <c r="O44" s="292"/>
      <c r="P44" s="292"/>
    </row>
    <row r="45" spans="1:16" ht="15" customHeight="1" x14ac:dyDescent="0.2">
      <c r="A45" s="40"/>
      <c r="B45" s="302" t="s">
        <v>273</v>
      </c>
      <c r="C45" s="303"/>
      <c r="D45" s="304"/>
      <c r="E45" s="40"/>
      <c r="H45" s="292"/>
      <c r="I45" s="292"/>
      <c r="J45" s="292"/>
      <c r="K45" s="292"/>
      <c r="L45" s="292"/>
      <c r="M45" s="292"/>
      <c r="N45" s="292"/>
      <c r="O45" s="292"/>
      <c r="P45" s="292"/>
    </row>
    <row r="46" spans="1:16" ht="15" customHeight="1" x14ac:dyDescent="0.2">
      <c r="A46" s="30"/>
      <c r="B46" s="56" t="s">
        <v>274</v>
      </c>
      <c r="C46" s="57" t="str">
        <f>IF(ISBLANK(AircraftNumber),"",E42)</f>
        <v/>
      </c>
      <c r="D46" s="58" t="str">
        <f>IF(ISBLANK(AircraftNumber),"",F42/E42*1000)</f>
        <v/>
      </c>
      <c r="H46" s="292"/>
      <c r="I46" s="292"/>
      <c r="J46" s="292"/>
      <c r="K46" s="292"/>
      <c r="L46" s="292"/>
      <c r="M46" s="292"/>
      <c r="N46" s="292"/>
      <c r="O46" s="292"/>
      <c r="P46" s="292"/>
    </row>
    <row r="47" spans="1:16" ht="15" customHeight="1" x14ac:dyDescent="0.2">
      <c r="B47" s="56" t="s">
        <v>275</v>
      </c>
      <c r="C47" s="57" t="str">
        <f>IF(OR(IsNavLogFilled=FALSE,ISBLANK(AircraftNumber)),"",E42-(TotalFuelConsumed*6))</f>
        <v/>
      </c>
      <c r="D47" s="58" t="str">
        <f>IF(OR(IsNavLogFilled=FALSE,ISBLANK(AircraftNumber)),"",(F42-(TotalFuelConsumed*6*ArmFuel/1000))/(E42-(TotalFuelConsumed*6))*1000)</f>
        <v/>
      </c>
      <c r="E47" s="6" t="str">
        <f>IF(UsableFuelGallons&gt;0,CONCATENATE("Fill each tank to ",(UsableFuelGallons+UnusableFuelGallons)/2," gal."),"")</f>
        <v/>
      </c>
      <c r="H47" s="292"/>
      <c r="I47" s="292"/>
      <c r="J47" s="292"/>
      <c r="K47" s="292"/>
      <c r="L47" s="292"/>
      <c r="M47" s="292"/>
      <c r="N47" s="292"/>
      <c r="O47" s="292"/>
      <c r="P47" s="292"/>
    </row>
    <row r="48" spans="1:16" ht="15" customHeight="1" x14ac:dyDescent="0.2">
      <c r="B48" s="56" t="s">
        <v>276</v>
      </c>
      <c r="C48" s="57" t="str">
        <f>IF(ISBLANK(AircraftNumber),"",E32)</f>
        <v/>
      </c>
      <c r="D48" s="58" t="str">
        <f>IF(ISBLANK(AircraftNumber),"",F32/E32*1000)</f>
        <v/>
      </c>
      <c r="E48" s="6"/>
      <c r="H48" s="293"/>
      <c r="I48" s="293"/>
      <c r="J48" s="293"/>
      <c r="K48" s="293"/>
      <c r="L48" s="293"/>
      <c r="M48" s="293"/>
      <c r="N48" s="293"/>
      <c r="O48" s="293"/>
      <c r="P48" s="293"/>
    </row>
    <row r="49" spans="1:16" ht="15" customHeight="1" x14ac:dyDescent="0.2">
      <c r="E49" s="6"/>
      <c r="H49" s="293"/>
      <c r="I49" s="293"/>
      <c r="J49" s="293"/>
      <c r="K49" s="293"/>
      <c r="L49" s="293"/>
      <c r="M49" s="293"/>
      <c r="N49" s="293"/>
      <c r="O49" s="293"/>
      <c r="P49" s="293"/>
    </row>
    <row r="50" spans="1:16" ht="15" customHeight="1" x14ac:dyDescent="0.2">
      <c r="A50" s="28" t="str">
        <f ca="1">CONCATENATE(CopyrightIDString,".  ",VersionIDString,".  Printed: ",TEXT(TODAY(),"mmmm dd, yyyy"))</f>
        <v>©2025 Nick Elsey.  Version 3.53.  Printed: March 07, 2025</v>
      </c>
      <c r="H50" s="31" t="s">
        <v>169</v>
      </c>
    </row>
    <row r="51" spans="1:16" ht="16" x14ac:dyDescent="0.2">
      <c r="A51" s="291"/>
      <c r="B51" s="291"/>
      <c r="C51" s="291"/>
      <c r="D51" s="291"/>
      <c r="E51" s="291"/>
      <c r="F51" s="291"/>
      <c r="G51" s="291"/>
      <c r="H51" s="291"/>
      <c r="I51" s="291"/>
      <c r="J51" s="291"/>
      <c r="K51" s="291"/>
      <c r="L51" s="291"/>
      <c r="M51" s="291"/>
      <c r="N51" s="291"/>
      <c r="O51" s="291"/>
      <c r="P51" s="291"/>
    </row>
    <row r="52" spans="1:16" ht="16" x14ac:dyDescent="0.2">
      <c r="A52" s="338" t="s">
        <v>152</v>
      </c>
      <c r="B52" s="338"/>
      <c r="C52" s="338"/>
      <c r="D52" s="338"/>
      <c r="E52" s="338"/>
      <c r="F52" s="338"/>
      <c r="G52" s="39"/>
      <c r="H52" s="338" t="s">
        <v>326</v>
      </c>
      <c r="I52" s="338"/>
      <c r="J52" s="338"/>
      <c r="K52" s="338"/>
      <c r="L52" s="338"/>
      <c r="M52" s="338"/>
      <c r="N52" s="338"/>
      <c r="O52" s="338"/>
      <c r="P52" s="338"/>
    </row>
    <row r="53" spans="1:16" ht="15" x14ac:dyDescent="0.2">
      <c r="A53" s="289" t="s">
        <v>153</v>
      </c>
      <c r="B53" s="289"/>
      <c r="C53" s="289"/>
      <c r="D53" s="289"/>
      <c r="E53" s="59" t="str">
        <f>IF(ISNA(VLOOKUP(AircraftNumber,AircraftData,1,FALSE)),"No","Yes")</f>
        <v>No</v>
      </c>
      <c r="F53" s="60"/>
      <c r="H53" s="294" t="s">
        <v>109</v>
      </c>
      <c r="I53" s="294"/>
      <c r="J53" s="294"/>
      <c r="K53" s="66">
        <f>IF(AND(CruiseFuelGPH&gt;0,ISNUMBER(ClimbFuel)),MAX(0,(UsableFuelGallons-ClimbFuel))/CruiseFuelGPH*60,0)</f>
        <v>0</v>
      </c>
      <c r="L53" s="301" t="s">
        <v>110</v>
      </c>
      <c r="M53" s="301"/>
      <c r="N53" s="301"/>
      <c r="O53" s="301"/>
      <c r="P53" s="301"/>
    </row>
    <row r="54" spans="1:16" ht="15" x14ac:dyDescent="0.2">
      <c r="A54" s="289" t="s">
        <v>94</v>
      </c>
      <c r="B54" s="289"/>
      <c r="C54" s="289"/>
      <c r="D54" s="289"/>
      <c r="E54" s="59">
        <f>IF(LocatedAircraft="Yes",VLOOKUP(AircraftNumber,AircraftData,5,FALSE),-1)</f>
        <v>-1</v>
      </c>
      <c r="F54" s="61" t="s">
        <v>118</v>
      </c>
      <c r="H54" s="294" t="s">
        <v>150</v>
      </c>
      <c r="I54" s="294"/>
      <c r="J54" s="294"/>
      <c r="K54" s="62">
        <f>CEILING(TotalETE,15)+15</f>
        <v>15</v>
      </c>
      <c r="L54" s="294" t="s">
        <v>300</v>
      </c>
      <c r="M54" s="294"/>
      <c r="N54" s="294"/>
      <c r="O54" s="294"/>
      <c r="P54" s="294"/>
    </row>
    <row r="55" spans="1:16" ht="15" x14ac:dyDescent="0.2">
      <c r="A55" s="289" t="s">
        <v>117</v>
      </c>
      <c r="B55" s="289"/>
      <c r="C55" s="289"/>
      <c r="D55" s="289"/>
      <c r="E55" s="62">
        <f>IF(LocatedAircraft="Yes",VLOOKUP(AircraftNumber,AircraftData,6,FALSE),-1)</f>
        <v>-1</v>
      </c>
      <c r="F55" s="61" t="s">
        <v>118</v>
      </c>
      <c r="H55" s="294"/>
      <c r="I55" s="294"/>
      <c r="J55" s="294"/>
      <c r="L55" s="294"/>
      <c r="M55" s="294"/>
      <c r="N55" s="294"/>
      <c r="O55" s="294"/>
      <c r="P55" s="294"/>
    </row>
    <row r="56" spans="1:16" ht="15" x14ac:dyDescent="0.2">
      <c r="A56" s="289" t="s">
        <v>104</v>
      </c>
      <c r="B56" s="289"/>
      <c r="C56" s="289"/>
      <c r="D56" s="289"/>
      <c r="E56" s="63">
        <f>IF(LocatedAircraft="Yes",VLOOKUP(AircraftNumber,AircraftData,7,FALSE),-1)</f>
        <v>-1</v>
      </c>
      <c r="F56" s="61" t="s">
        <v>180</v>
      </c>
      <c r="H56" s="294"/>
      <c r="I56" s="294"/>
      <c r="J56" s="294"/>
      <c r="K56" s="68"/>
      <c r="L56" s="67"/>
      <c r="M56" s="67"/>
      <c r="N56" s="67"/>
      <c r="O56" s="67"/>
      <c r="P56" s="67"/>
    </row>
    <row r="57" spans="1:16" ht="15" x14ac:dyDescent="0.2">
      <c r="A57" s="289" t="s">
        <v>103</v>
      </c>
      <c r="B57" s="289"/>
      <c r="C57" s="289"/>
      <c r="D57" s="289"/>
      <c r="E57" s="63">
        <f>IF(LocatedAircraft="Yes",VLOOKUP(AircraftNumber,AircraftData,8,FALSE),-1)</f>
        <v>-1</v>
      </c>
      <c r="F57" s="61" t="s">
        <v>180</v>
      </c>
      <c r="H57" s="294"/>
      <c r="I57" s="294"/>
      <c r="J57" s="294"/>
      <c r="K57" s="68"/>
      <c r="L57" s="67"/>
      <c r="M57" s="67"/>
      <c r="N57" s="67"/>
      <c r="O57" s="67"/>
      <c r="P57" s="67"/>
    </row>
    <row r="58" spans="1:16" ht="15" x14ac:dyDescent="0.2">
      <c r="A58" s="289" t="s">
        <v>105</v>
      </c>
      <c r="B58" s="289"/>
      <c r="C58" s="289"/>
      <c r="D58" s="289"/>
      <c r="E58" s="63">
        <f>IF(LocatedAircraft="Yes",VLOOKUP(AircraftNumber,AircraftData,9,FALSE),-1)</f>
        <v>-1</v>
      </c>
      <c r="F58" s="61" t="s">
        <v>180</v>
      </c>
      <c r="H58" s="294"/>
      <c r="I58" s="294"/>
      <c r="J58" s="294"/>
      <c r="K58" s="68"/>
      <c r="L58" s="67"/>
      <c r="M58" s="67"/>
      <c r="N58" s="67"/>
      <c r="O58" s="67"/>
      <c r="P58" s="67"/>
    </row>
    <row r="59" spans="1:16" ht="15" x14ac:dyDescent="0.2">
      <c r="A59" s="289" t="s">
        <v>106</v>
      </c>
      <c r="B59" s="289"/>
      <c r="C59" s="289"/>
      <c r="D59" s="289"/>
      <c r="E59" s="63">
        <f>IF(LocatedAircraft="Yes",VLOOKUP(AircraftNumber,AircraftData,10,FALSE),-1)</f>
        <v>-1</v>
      </c>
      <c r="F59" s="61" t="s">
        <v>180</v>
      </c>
      <c r="H59" s="294"/>
      <c r="I59" s="294"/>
      <c r="J59" s="294"/>
      <c r="K59" s="68"/>
      <c r="L59" s="67"/>
      <c r="M59" s="67"/>
      <c r="N59" s="67"/>
      <c r="O59" s="67"/>
      <c r="P59" s="67"/>
    </row>
    <row r="60" spans="1:16" ht="15" x14ac:dyDescent="0.2">
      <c r="A60" s="289" t="s">
        <v>107</v>
      </c>
      <c r="B60" s="289"/>
      <c r="C60" s="289"/>
      <c r="D60" s="289"/>
      <c r="E60" s="63">
        <f>IF(LocatedAircraft="Yes",VLOOKUP(AircraftNumber,AircraftData,11,FALSE),-1)</f>
        <v>-1</v>
      </c>
      <c r="F60" s="61" t="s">
        <v>180</v>
      </c>
      <c r="H60" s="67"/>
      <c r="I60" s="67"/>
      <c r="J60" s="67"/>
      <c r="K60" s="68"/>
      <c r="L60" s="67"/>
      <c r="M60" s="67"/>
      <c r="N60" s="67"/>
      <c r="O60" s="67"/>
      <c r="P60" s="67"/>
    </row>
    <row r="61" spans="1:16" ht="15" x14ac:dyDescent="0.2">
      <c r="A61" s="289" t="s">
        <v>108</v>
      </c>
      <c r="B61" s="289"/>
      <c r="C61" s="289"/>
      <c r="D61" s="289"/>
      <c r="E61" s="63">
        <f>IF(LocatedAircraft="Yes",VLOOKUP(AircraftNumber,AircraftData,12,FALSE),-1)</f>
        <v>-1</v>
      </c>
      <c r="F61" s="61" t="s">
        <v>180</v>
      </c>
      <c r="H61" s="67"/>
      <c r="I61" s="67"/>
      <c r="J61" s="67"/>
      <c r="K61" s="61"/>
      <c r="L61" s="67"/>
      <c r="M61" s="67"/>
      <c r="N61" s="67"/>
      <c r="O61" s="67"/>
      <c r="P61" s="67"/>
    </row>
    <row r="62" spans="1:16" ht="15" x14ac:dyDescent="0.2">
      <c r="A62" s="289" t="s">
        <v>163</v>
      </c>
      <c r="B62" s="289"/>
      <c r="C62" s="289"/>
      <c r="D62" s="289"/>
      <c r="E62" s="63">
        <f>IF(LocatedAircraft="Yes",VLOOKUP(AircraftNumber,AircraftData,13,FALSE),-1)</f>
        <v>-1</v>
      </c>
      <c r="F62" s="61" t="s">
        <v>181</v>
      </c>
      <c r="H62" s="67"/>
      <c r="I62" s="67"/>
      <c r="J62" s="67"/>
      <c r="K62" s="61"/>
      <c r="L62" s="67"/>
      <c r="M62" s="67"/>
      <c r="N62" s="67"/>
      <c r="O62" s="67"/>
      <c r="P62" s="67"/>
    </row>
    <row r="63" spans="1:16" ht="15" x14ac:dyDescent="0.2">
      <c r="A63" s="289" t="s">
        <v>111</v>
      </c>
      <c r="B63" s="289"/>
      <c r="C63" s="289"/>
      <c r="D63" s="289"/>
      <c r="E63" s="63">
        <f>IF(LocatedAircraft="Yes",VLOOKUP(AircraftNumber,AircraftData,14,FALSE),-1)</f>
        <v>-1</v>
      </c>
      <c r="F63" s="61" t="s">
        <v>181</v>
      </c>
      <c r="H63" s="67"/>
      <c r="I63" s="67"/>
      <c r="J63" s="67"/>
      <c r="K63" s="61"/>
      <c r="L63" s="67"/>
      <c r="M63" s="67"/>
      <c r="N63" s="67"/>
      <c r="O63" s="67"/>
      <c r="P63" s="67"/>
    </row>
    <row r="64" spans="1:16" ht="15" x14ac:dyDescent="0.2">
      <c r="A64" s="289" t="s">
        <v>177</v>
      </c>
      <c r="B64" s="289"/>
      <c r="C64" s="289"/>
      <c r="D64" s="289"/>
      <c r="E64" s="64" t="str">
        <f>IF(LocatedAircraft="Yes",VLOOKUP(AircraftNumber,AircraftData,3,FALSE),"")</f>
        <v/>
      </c>
      <c r="F64" s="61"/>
      <c r="H64" s="67"/>
      <c r="I64" s="67"/>
      <c r="J64" s="67"/>
      <c r="K64" s="61"/>
      <c r="L64" s="67"/>
      <c r="M64" s="67"/>
      <c r="N64" s="67"/>
      <c r="O64" s="67"/>
      <c r="P64" s="67"/>
    </row>
    <row r="65" spans="1:16" ht="15" x14ac:dyDescent="0.2">
      <c r="A65" s="289" t="s">
        <v>178</v>
      </c>
      <c r="B65" s="289"/>
      <c r="C65" s="289"/>
      <c r="D65" s="289"/>
      <c r="E65" s="65" t="str">
        <f>IF(LocatedAircraft="Yes",VLOOKUP(AircraftNumber,AircraftData,2,FALSE),"")</f>
        <v/>
      </c>
      <c r="F65" s="61"/>
      <c r="H65" s="67"/>
      <c r="I65" s="67"/>
      <c r="J65" s="67"/>
      <c r="K65" s="61"/>
      <c r="L65" s="67"/>
      <c r="M65" s="67"/>
      <c r="N65" s="67"/>
      <c r="O65" s="67"/>
      <c r="P65" s="67"/>
    </row>
    <row r="66" spans="1:16" ht="15" x14ac:dyDescent="0.2">
      <c r="A66" s="289" t="s">
        <v>179</v>
      </c>
      <c r="B66" s="289"/>
      <c r="C66" s="289"/>
      <c r="D66" s="289"/>
      <c r="E66" s="64" t="str">
        <f>IF(LocatedAircraft="Yes",VLOOKUP(AircraftNumber,AircraftData,4,FALSE),"")</f>
        <v/>
      </c>
      <c r="F66" s="61"/>
      <c r="H66" s="67"/>
      <c r="I66" s="67"/>
      <c r="J66" s="67"/>
      <c r="K66" s="61"/>
      <c r="L66" s="67"/>
      <c r="M66" s="67"/>
      <c r="N66" s="67"/>
      <c r="O66" s="67"/>
      <c r="P66" s="67"/>
    </row>
    <row r="67" spans="1:16" x14ac:dyDescent="0.2"/>
  </sheetData>
  <sheetProtection algorithmName="SHA-512" hashValue="+UlyLlhWyEB3ElshA5LpRL7JD5XTZ7XxxGyOldPxg5Ve2xyj+QXZSIXfwep73ViJH73yGXzM6wihDBLuVoLiKA==" saltValue="e4mGfOuYqcmLHQDz3mJNQA==" spinCount="100000" sheet="1" objects="1" scenarios="1"/>
  <mergeCells count="103">
    <mergeCell ref="A66:D66"/>
    <mergeCell ref="A61:D61"/>
    <mergeCell ref="A62:D62"/>
    <mergeCell ref="A63:D63"/>
    <mergeCell ref="A64:D64"/>
    <mergeCell ref="H57:J57"/>
    <mergeCell ref="I19:P19"/>
    <mergeCell ref="A52:F52"/>
    <mergeCell ref="I14:P14"/>
    <mergeCell ref="I17:P17"/>
    <mergeCell ref="H53:J53"/>
    <mergeCell ref="H40:P41"/>
    <mergeCell ref="H42:P43"/>
    <mergeCell ref="H44:P45"/>
    <mergeCell ref="H46:P47"/>
    <mergeCell ref="F40:F41"/>
    <mergeCell ref="E40:E41"/>
    <mergeCell ref="H52:P52"/>
    <mergeCell ref="A53:D53"/>
    <mergeCell ref="A21:D21"/>
    <mergeCell ref="A28:D29"/>
    <mergeCell ref="A26:D27"/>
    <mergeCell ref="A18:F18"/>
    <mergeCell ref="E28:E29"/>
    <mergeCell ref="A1:P1"/>
    <mergeCell ref="B6:F6"/>
    <mergeCell ref="B3:F3"/>
    <mergeCell ref="B4:F4"/>
    <mergeCell ref="B5:F5"/>
    <mergeCell ref="I3:P3"/>
    <mergeCell ref="I4:P4"/>
    <mergeCell ref="I5:P5"/>
    <mergeCell ref="B13:F13"/>
    <mergeCell ref="I13:P13"/>
    <mergeCell ref="I10:P10"/>
    <mergeCell ref="I11:P11"/>
    <mergeCell ref="I12:P12"/>
    <mergeCell ref="I8:P8"/>
    <mergeCell ref="I9:P9"/>
    <mergeCell ref="B7:F7"/>
    <mergeCell ref="B10:F10"/>
    <mergeCell ref="B11:F11"/>
    <mergeCell ref="B12:F12"/>
    <mergeCell ref="E19:F19"/>
    <mergeCell ref="F28:F29"/>
    <mergeCell ref="A22:D23"/>
    <mergeCell ref="A24:D25"/>
    <mergeCell ref="F22:F23"/>
    <mergeCell ref="E26:E27"/>
    <mergeCell ref="B14:F14"/>
    <mergeCell ref="A19:D19"/>
    <mergeCell ref="B15:F15"/>
    <mergeCell ref="E24:E25"/>
    <mergeCell ref="F24:F25"/>
    <mergeCell ref="E22:E23"/>
    <mergeCell ref="F26:F27"/>
    <mergeCell ref="A36:C37"/>
    <mergeCell ref="B9:F9"/>
    <mergeCell ref="F42:F43"/>
    <mergeCell ref="A40:C41"/>
    <mergeCell ref="E42:E43"/>
    <mergeCell ref="D36:D37"/>
    <mergeCell ref="E36:E37"/>
    <mergeCell ref="H37:P37"/>
    <mergeCell ref="B8:F8"/>
    <mergeCell ref="F36:F37"/>
    <mergeCell ref="A38:C39"/>
    <mergeCell ref="E32:E33"/>
    <mergeCell ref="A32:D33"/>
    <mergeCell ref="F38:F39"/>
    <mergeCell ref="E30:E31"/>
    <mergeCell ref="F30:F31"/>
    <mergeCell ref="A30:D31"/>
    <mergeCell ref="A34:D35"/>
    <mergeCell ref="F32:F33"/>
    <mergeCell ref="D38:D39"/>
    <mergeCell ref="I28:P28"/>
    <mergeCell ref="I18:P18"/>
    <mergeCell ref="E34:E35"/>
    <mergeCell ref="F34:F35"/>
    <mergeCell ref="A57:D57"/>
    <mergeCell ref="A58:D58"/>
    <mergeCell ref="A59:D59"/>
    <mergeCell ref="A60:D60"/>
    <mergeCell ref="A65:D65"/>
    <mergeCell ref="E38:E39"/>
    <mergeCell ref="A51:P51"/>
    <mergeCell ref="H38:P39"/>
    <mergeCell ref="H48:P49"/>
    <mergeCell ref="H58:J58"/>
    <mergeCell ref="H59:J59"/>
    <mergeCell ref="D40:D41"/>
    <mergeCell ref="A42:D43"/>
    <mergeCell ref="L55:P55"/>
    <mergeCell ref="H55:J55"/>
    <mergeCell ref="H54:J54"/>
    <mergeCell ref="L53:P53"/>
    <mergeCell ref="L54:P54"/>
    <mergeCell ref="A55:D55"/>
    <mergeCell ref="A56:D56"/>
    <mergeCell ref="H56:J56"/>
    <mergeCell ref="A54:D54"/>
    <mergeCell ref="B45:D45"/>
  </mergeCells>
  <phoneticPr fontId="0" type="noConversion"/>
  <conditionalFormatting sqref="E22:E23 F24:F31">
    <cfRule type="cellIs" dxfId="37" priority="1" stopIfTrue="1" operator="lessThanOrEqual">
      <formula>0</formula>
    </cfRule>
  </conditionalFormatting>
  <conditionalFormatting sqref="E32:F33 D36:D41 E34:E41 F36:F37 F40:F43">
    <cfRule type="expression" dxfId="36" priority="2" stopIfTrue="1">
      <formula>BasicEmptyWeight=-1</formula>
    </cfRule>
  </conditionalFormatting>
  <conditionalFormatting sqref="E42:E43">
    <cfRule type="expression" dxfId="35" priority="3" stopIfTrue="1">
      <formula>BasicEmptyWeight=-1</formula>
    </cfRule>
    <cfRule type="expression" dxfId="34" priority="4" stopIfTrue="1">
      <formula>ROUND($E$42,0)&gt;ROUND($E$34,0)</formula>
    </cfRule>
  </conditionalFormatting>
  <conditionalFormatting sqref="F22:F23">
    <cfRule type="expression" dxfId="33" priority="5" stopIfTrue="1">
      <formula>E22&lt;0</formula>
    </cfRule>
  </conditionalFormatting>
  <dataValidations xWindow="266" yWindow="599" count="22">
    <dataValidation type="decimal" allowBlank="1" showInputMessage="1" showErrorMessage="1" errorTitle="Actual Usable Fuel" error="Please enter a valid decimal number." promptTitle="Actual Usable Fuel" prompt="Input the actual number of gallons on board at take off (excluding unusable fuel)." sqref="D40:D41" xr:uid="{00000000-0002-0000-0200-000000000000}">
      <formula1>0</formula1>
      <formula2>D38</formula2>
    </dataValidation>
    <dataValidation allowBlank="1" showInputMessage="1" showErrorMessage="1" promptTitle="Calculated Empty CG" prompt="This is the center of gravity after using all usable fuel. Ensure this value in within the CG envelope. " sqref="D48" xr:uid="{00000000-0002-0000-0200-000001000000}"/>
    <dataValidation allowBlank="1" showInputMessage="1" showErrorMessage="1" promptTitle="Actual Fuel Weight" prompt="This is calculated from the actual number of usable gallons you entered." sqref="E40:E41" xr:uid="{00000000-0002-0000-0200-000002000000}"/>
    <dataValidation allowBlank="1" showInputMessage="1" showErrorMessage="1" errorTitle="Basic Empty Weight" error="You must enter a valid weight (whole number)." promptTitle="Referenced Basic Empty Weight" prompt="Enter the basic empty weight of your airplane, referenced from the aircraft data table." sqref="E22:E23" xr:uid="{00000000-0002-0000-0200-000003000000}"/>
    <dataValidation type="whole" allowBlank="1" showInputMessage="1" showErrorMessage="1" errorTitle="Pilot &amp; Passenger" error="You must enter a valid weight (whole number)." promptTitle="Pilot &amp; Passenger" prompt="Enter the weight of the pilot, passanger and anything else in the front seats." sqref="E24:E25" xr:uid="{00000000-0002-0000-0200-000004000000}">
      <formula1>1</formula1>
      <formula2>MaxTakeOffWeight</formula2>
    </dataValidation>
    <dataValidation allowBlank="1" showInputMessage="1" showErrorMessage="1" promptTitle="Calculated Moment" prompt="You do not need to enter anything here" sqref="F22:F31" xr:uid="{00000000-0002-0000-0200-000005000000}"/>
    <dataValidation type="whole" allowBlank="1" showInputMessage="1" showErrorMessage="1" errorTitle="Rear Passengers" error="You must enter a valid weight (whole number)." promptTitle="Rear Passengers" prompt="Enter the weight of the rear passangers, if any and anything else in the front seats." sqref="E26:E27" xr:uid="{00000000-0002-0000-0200-000006000000}">
      <formula1>0</formula1>
      <formula2>MaxTakeOffWeight</formula2>
    </dataValidation>
    <dataValidation type="whole" allowBlank="1" showInputMessage="1" showErrorMessage="1" errorTitle="Baggage Area 1" error="You must enter a valid weight (whole number)." promptTitle="Baggage Area 1" prompt="Input the weight of anything in baggage area 1" sqref="E28:E29" xr:uid="{00000000-0002-0000-0200-000007000000}">
      <formula1>0</formula1>
      <formula2>MaxTakeOffWeight</formula2>
    </dataValidation>
    <dataValidation type="whole" allowBlank="1" showInputMessage="1" showErrorMessage="1" errorTitle="Baggage Area 2" error="You must enter a valid weight (whole number)." promptTitle="Baggage Area 2" prompt="Input the weight of anything in baggage area 2" sqref="E30:E31" xr:uid="{00000000-0002-0000-0200-000008000000}">
      <formula1>0</formula1>
      <formula2>MaxTakeOffWeight</formula2>
    </dataValidation>
    <dataValidation allowBlank="1" showInputMessage="1" showErrorMessage="1" promptTitle="Calculated Total Takeoff Weight" prompt="You do not need to enter anything here" sqref="E32:E33" xr:uid="{00000000-0002-0000-0200-000009000000}"/>
    <dataValidation allowBlank="1" showInputMessage="1" showErrorMessage="1" promptTitle="Calculated Sub-Total Moment" prompt="You do not need to enter anything here" sqref="F32:F33" xr:uid="{00000000-0002-0000-0200-00000A000000}"/>
    <dataValidation allowBlank="1" showInputMessage="1" showErrorMessage="1" promptTitle="Referenced Max Takeoff Weight" prompt="This is the max possible takeoff weight, referenced from the aircraft data table." sqref="E34:E35" xr:uid="{00000000-0002-0000-0200-00000B000000}"/>
    <dataValidation allowBlank="1" showInputMessage="1" showErrorMessage="1" promptTitle="Calculated Max Fuel" prompt="This is the difference between the max takeoff weight and the calculated takeoff weight (no fuel) above." sqref="E36:E39" xr:uid="{00000000-0002-0000-0200-00000C000000}"/>
    <dataValidation allowBlank="1" showInputMessage="1" showErrorMessage="1" promptTitle="Calculated Fuel Moment" prompt="You do not need to enter anything here" sqref="F40:F41 F36:F37" xr:uid="{00000000-0002-0000-0200-00000D000000}"/>
    <dataValidation allowBlank="1" showInputMessage="1" showErrorMessage="1" promptTitle="Calculated Takeoff Moment" prompt="You do not need to enter anything here" sqref="F42:F43" xr:uid="{00000000-0002-0000-0200-00000E000000}"/>
    <dataValidation allowBlank="1" showInputMessage="1" showErrorMessage="1" promptTitle="Calculated Takeoff Weight" prompt="You do not need to enter anything here" sqref="E42:E43" xr:uid="{00000000-0002-0000-0200-00000F000000}"/>
    <dataValidation allowBlank="1" showInputMessage="1" showErrorMessage="1" promptTitle="Calculated Takeoff CG" prompt="This is the center of gravity at take off. Ensure this value in within the CG envelope. " sqref="D46" xr:uid="{00000000-0002-0000-0200-000010000000}"/>
    <dataValidation allowBlank="1" showInputMessage="1" showErrorMessage="1" promptTitle="Calculated Landing CG" prompt="This is the center of gravity at the end of the flight plan. Ensure this value in within the CG envelope. " sqref="D47" xr:uid="{00000000-0002-0000-0200-000011000000}"/>
    <dataValidation type="list" errorStyle="warning" allowBlank="1" showInputMessage="1" showErrorMessage="1" errorTitle="Select Aircraft" error="The number entered is not listed in the Aircraft Database..." promptTitle="Aircraft Number" prompt="Enter the tail number or use drop-down to pick one listed in the Aircraft Database." sqref="E19:F20" xr:uid="{00000000-0002-0000-0200-000012000000}">
      <formula1>AircraftNumbers</formula1>
    </dataValidation>
    <dataValidation allowBlank="1" showInputMessage="1" showErrorMessage="1" promptTitle="Aircraft Data" prompt="If this equals -1 or blank, the aircraft tail number you entered above wasn't found in the Aircraft Database. Edit the database, or manually change this number." sqref="E54:E66" xr:uid="{00000000-0002-0000-0200-000013000000}"/>
    <dataValidation type="decimal" allowBlank="1" showInputMessage="1" showErrorMessage="1" errorTitle="Taxi and runup fuel" error="Please enter a valid decimal number between -100 and 0." promptTitle="Taxi and runup fuel" prompt="Input a negative number of gallons indicating fuel to be burnt before takeoff." sqref="D36:D37" xr:uid="{00000000-0002-0000-0200-000014000000}">
      <formula1>-100</formula1>
      <formula2>0</formula2>
    </dataValidation>
    <dataValidation allowBlank="1" showInputMessage="1" showErrorMessage="1" promptTitle="Calculation Cell" prompt="This cell is used to perform intermediate calculations and should not be modified." sqref="K53:K54" xr:uid="{00000000-0002-0000-0200-000015000000}"/>
  </dataValidations>
  <hyperlinks>
    <hyperlink ref="B3:F3" location="AircraftNumber" display="Pick an aircraft from the database, or manually edit data" xr:uid="{00000000-0004-0000-0200-000000000000}"/>
    <hyperlink ref="B4:F4" location="TableWeightAndBalance" display="Calculate weight, balance &amp; fuel load " xr:uid="{00000000-0004-0000-0200-000001000000}"/>
    <hyperlink ref="B5:F5" location="TableCGLimits" display="Ensure starting &amp; ending CG within limits" xr:uid="{00000000-0004-0000-0200-000002000000}"/>
    <hyperlink ref="B6:F6" location="TableAirportSelections" display="Select airports &amp; alternates -&gt; NavLog &amp; F/P" xr:uid="{00000000-0004-0000-0200-000003000000}"/>
    <hyperlink ref="B9:F9" location="TableCheckPoints" display="Select best route -&gt; F/P" xr:uid="{00000000-0004-0000-0200-000004000000}"/>
    <hyperlink ref="B12:F12" location="TableNavLogNotes" display="Note emergency landing areas" xr:uid="{00000000-0004-0000-0200-000005000000}"/>
    <hyperlink ref="B13:F13" location="CruiseAltitude" display="Select altitude (high for glide, low for oxygen). " xr:uid="{00000000-0004-0000-0200-000006000000}"/>
    <hyperlink ref="B15:F15" location="TableNavLogNotes" display="Controlled airspace? Note freq &amp; W/P" xr:uid="{00000000-0004-0000-0200-000007000000}"/>
    <hyperlink ref="I10:P10" location="ClimbDistance" display="Calculate top of climb: " xr:uid="{00000000-0004-0000-0200-000008000000}"/>
    <hyperlink ref="I18:P18" location="CruiseAirspeed" display="Enter TAS in NavLog legs" xr:uid="{00000000-0004-0000-0200-000009000000}"/>
    <hyperlink ref="I19:P19" location="TableGroundSpeed" display="Review GS in NavLog" xr:uid="{00000000-0004-0000-0200-00000A000000}"/>
    <hyperlink ref="I20:P20" location="TableCheckPoints" display="Select waypoints (15-25 miles apart on left side), inc top of climb" xr:uid="{00000000-0004-0000-0200-00000B000000}"/>
    <hyperlink ref="I21:P21" location="TableVORData" display="Select radio navigation W/P (with freq)" xr:uid="{00000000-0004-0000-0200-00000C000000}"/>
    <hyperlink ref="I28:P28" location="TableFuelUsed" display="Review fuel used per leg plus 30 min (day) / 45 min night reserve" xr:uid="{00000000-0004-0000-0200-00000D000000}"/>
  </hyperlinks>
  <pageMargins left="0.19685039370078741" right="0.19685039370078741" top="0.31496062992125984" bottom="0.31496062992125984" header="0.19685039370078741" footer="0.19685039370078741"/>
  <pageSetup paperSize="9" scale="70" orientation="landscape" r:id="rId1"/>
  <headerFooter alignWithMargins="0"/>
  <ignoredErrors>
    <ignoredError sqref="D40"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4097" r:id="rId4" name="Check Box 1">
              <controlPr defaultSize="0" autoFill="0" autoLine="0" autoPict="0">
                <anchor moveWithCells="1">
                  <from>
                    <xdr:col>0</xdr:col>
                    <xdr:colOff>38100</xdr:colOff>
                    <xdr:row>5</xdr:row>
                    <xdr:rowOff>0</xdr:rowOff>
                  </from>
                  <to>
                    <xdr:col>1</xdr:col>
                    <xdr:colOff>88900</xdr:colOff>
                    <xdr:row>6</xdr:row>
                    <xdr:rowOff>25400</xdr:rowOff>
                  </to>
                </anchor>
              </controlPr>
            </control>
          </mc:Choice>
        </mc:AlternateContent>
        <mc:AlternateContent xmlns:mc="http://schemas.openxmlformats.org/markup-compatibility/2006">
          <mc:Choice Requires="x14">
            <control shapeId="4098" r:id="rId5" name="Check Box 2">
              <controlPr defaultSize="0" autoFill="0" autoLine="0" autoPict="0">
                <anchor moveWithCells="1">
                  <from>
                    <xdr:col>0</xdr:col>
                    <xdr:colOff>38100</xdr:colOff>
                    <xdr:row>2</xdr:row>
                    <xdr:rowOff>190500</xdr:rowOff>
                  </from>
                  <to>
                    <xdr:col>1</xdr:col>
                    <xdr:colOff>88900</xdr:colOff>
                    <xdr:row>4</xdr:row>
                    <xdr:rowOff>0</xdr:rowOff>
                  </to>
                </anchor>
              </controlPr>
            </control>
          </mc:Choice>
        </mc:AlternateContent>
        <mc:AlternateContent xmlns:mc="http://schemas.openxmlformats.org/markup-compatibility/2006">
          <mc:Choice Requires="x14">
            <control shapeId="4099" r:id="rId6" name="Check Box 3">
              <controlPr defaultSize="0" autoFill="0" autoLine="0" autoPict="0">
                <anchor moveWithCells="1">
                  <from>
                    <xdr:col>0</xdr:col>
                    <xdr:colOff>38100</xdr:colOff>
                    <xdr:row>6</xdr:row>
                    <xdr:rowOff>0</xdr:rowOff>
                  </from>
                  <to>
                    <xdr:col>1</xdr:col>
                    <xdr:colOff>88900</xdr:colOff>
                    <xdr:row>7</xdr:row>
                    <xdr:rowOff>25400</xdr:rowOff>
                  </to>
                </anchor>
              </controlPr>
            </control>
          </mc:Choice>
        </mc:AlternateContent>
        <mc:AlternateContent xmlns:mc="http://schemas.openxmlformats.org/markup-compatibility/2006">
          <mc:Choice Requires="x14">
            <control shapeId="4100" r:id="rId7" name="Check Box 4">
              <controlPr defaultSize="0" autoFill="0" autoLine="0" autoPict="0">
                <anchor moveWithCells="1">
                  <from>
                    <xdr:col>0</xdr:col>
                    <xdr:colOff>38100</xdr:colOff>
                    <xdr:row>7</xdr:row>
                    <xdr:rowOff>0</xdr:rowOff>
                  </from>
                  <to>
                    <xdr:col>1</xdr:col>
                    <xdr:colOff>88900</xdr:colOff>
                    <xdr:row>8</xdr:row>
                    <xdr:rowOff>25400</xdr:rowOff>
                  </to>
                </anchor>
              </controlPr>
            </control>
          </mc:Choice>
        </mc:AlternateContent>
        <mc:AlternateContent xmlns:mc="http://schemas.openxmlformats.org/markup-compatibility/2006">
          <mc:Choice Requires="x14">
            <control shapeId="4101" r:id="rId8" name="Check Box 5">
              <controlPr defaultSize="0" autoFill="0" autoLine="0" autoPict="0">
                <anchor moveWithCells="1">
                  <from>
                    <xdr:col>0</xdr:col>
                    <xdr:colOff>38100</xdr:colOff>
                    <xdr:row>8</xdr:row>
                    <xdr:rowOff>0</xdr:rowOff>
                  </from>
                  <to>
                    <xdr:col>1</xdr:col>
                    <xdr:colOff>88900</xdr:colOff>
                    <xdr:row>9</xdr:row>
                    <xdr:rowOff>25400</xdr:rowOff>
                  </to>
                </anchor>
              </controlPr>
            </control>
          </mc:Choice>
        </mc:AlternateContent>
        <mc:AlternateContent xmlns:mc="http://schemas.openxmlformats.org/markup-compatibility/2006">
          <mc:Choice Requires="x14">
            <control shapeId="4102" r:id="rId9" name="Check Box 6">
              <controlPr defaultSize="0" autoFill="0" autoLine="0" autoPict="0">
                <anchor moveWithCells="1">
                  <from>
                    <xdr:col>0</xdr:col>
                    <xdr:colOff>38100</xdr:colOff>
                    <xdr:row>10</xdr:row>
                    <xdr:rowOff>0</xdr:rowOff>
                  </from>
                  <to>
                    <xdr:col>1</xdr:col>
                    <xdr:colOff>88900</xdr:colOff>
                    <xdr:row>11</xdr:row>
                    <xdr:rowOff>25400</xdr:rowOff>
                  </to>
                </anchor>
              </controlPr>
            </control>
          </mc:Choice>
        </mc:AlternateContent>
        <mc:AlternateContent xmlns:mc="http://schemas.openxmlformats.org/markup-compatibility/2006">
          <mc:Choice Requires="x14">
            <control shapeId="4103" r:id="rId10" name="Check Box 7">
              <controlPr defaultSize="0" autoFill="0" autoLine="0" autoPict="0">
                <anchor moveWithCells="1">
                  <from>
                    <xdr:col>0</xdr:col>
                    <xdr:colOff>38100</xdr:colOff>
                    <xdr:row>11</xdr:row>
                    <xdr:rowOff>0</xdr:rowOff>
                  </from>
                  <to>
                    <xdr:col>1</xdr:col>
                    <xdr:colOff>88900</xdr:colOff>
                    <xdr:row>12</xdr:row>
                    <xdr:rowOff>25400</xdr:rowOff>
                  </to>
                </anchor>
              </controlPr>
            </control>
          </mc:Choice>
        </mc:AlternateContent>
        <mc:AlternateContent xmlns:mc="http://schemas.openxmlformats.org/markup-compatibility/2006">
          <mc:Choice Requires="x14">
            <control shapeId="4107" r:id="rId11" name="Check Box 11">
              <controlPr defaultSize="0" autoFill="0" autoLine="0" autoPict="0">
                <anchor moveWithCells="1">
                  <from>
                    <xdr:col>7</xdr:col>
                    <xdr:colOff>76200</xdr:colOff>
                    <xdr:row>3</xdr:row>
                    <xdr:rowOff>190500</xdr:rowOff>
                  </from>
                  <to>
                    <xdr:col>8</xdr:col>
                    <xdr:colOff>114300</xdr:colOff>
                    <xdr:row>5</xdr:row>
                    <xdr:rowOff>0</xdr:rowOff>
                  </to>
                </anchor>
              </controlPr>
            </control>
          </mc:Choice>
        </mc:AlternateContent>
        <mc:AlternateContent xmlns:mc="http://schemas.openxmlformats.org/markup-compatibility/2006">
          <mc:Choice Requires="x14">
            <control shapeId="4108" r:id="rId12" name="Check Box 12">
              <controlPr defaultSize="0" autoFill="0" autoLine="0" autoPict="0">
                <anchor moveWithCells="1">
                  <from>
                    <xdr:col>7</xdr:col>
                    <xdr:colOff>76200</xdr:colOff>
                    <xdr:row>3</xdr:row>
                    <xdr:rowOff>0</xdr:rowOff>
                  </from>
                  <to>
                    <xdr:col>8</xdr:col>
                    <xdr:colOff>114300</xdr:colOff>
                    <xdr:row>4</xdr:row>
                    <xdr:rowOff>25400</xdr:rowOff>
                  </to>
                </anchor>
              </controlPr>
            </control>
          </mc:Choice>
        </mc:AlternateContent>
        <mc:AlternateContent xmlns:mc="http://schemas.openxmlformats.org/markup-compatibility/2006">
          <mc:Choice Requires="x14">
            <control shapeId="4115" r:id="rId13" name="Check Box 19">
              <controlPr defaultSize="0" autoFill="0" autoLine="0" autoPict="0">
                <anchor moveWithCells="1">
                  <from>
                    <xdr:col>7</xdr:col>
                    <xdr:colOff>38100</xdr:colOff>
                    <xdr:row>17</xdr:row>
                    <xdr:rowOff>190500</xdr:rowOff>
                  </from>
                  <to>
                    <xdr:col>8</xdr:col>
                    <xdr:colOff>76200</xdr:colOff>
                    <xdr:row>19</xdr:row>
                    <xdr:rowOff>38100</xdr:rowOff>
                  </to>
                </anchor>
              </controlPr>
            </control>
          </mc:Choice>
        </mc:AlternateContent>
        <mc:AlternateContent xmlns:mc="http://schemas.openxmlformats.org/markup-compatibility/2006">
          <mc:Choice Requires="x14">
            <control shapeId="4117" r:id="rId14" name="Check Box 21">
              <controlPr defaultSize="0" autoFill="0" autoLine="0" autoPict="0">
                <anchor moveWithCells="1">
                  <from>
                    <xdr:col>7</xdr:col>
                    <xdr:colOff>38100</xdr:colOff>
                    <xdr:row>16</xdr:row>
                    <xdr:rowOff>190500</xdr:rowOff>
                  </from>
                  <to>
                    <xdr:col>8</xdr:col>
                    <xdr:colOff>76200</xdr:colOff>
                    <xdr:row>18</xdr:row>
                    <xdr:rowOff>0</xdr:rowOff>
                  </to>
                </anchor>
              </controlPr>
            </control>
          </mc:Choice>
        </mc:AlternateContent>
        <mc:AlternateContent xmlns:mc="http://schemas.openxmlformats.org/markup-compatibility/2006">
          <mc:Choice Requires="x14">
            <control shapeId="4118" r:id="rId15" name="Check Box 22">
              <controlPr defaultSize="0" autoFill="0" autoLine="0" autoPict="0">
                <anchor moveWithCells="1">
                  <from>
                    <xdr:col>7</xdr:col>
                    <xdr:colOff>38100</xdr:colOff>
                    <xdr:row>17</xdr:row>
                    <xdr:rowOff>190500</xdr:rowOff>
                  </from>
                  <to>
                    <xdr:col>8</xdr:col>
                    <xdr:colOff>76200</xdr:colOff>
                    <xdr:row>19</xdr:row>
                    <xdr:rowOff>25400</xdr:rowOff>
                  </to>
                </anchor>
              </controlPr>
            </control>
          </mc:Choice>
        </mc:AlternateContent>
        <mc:AlternateContent xmlns:mc="http://schemas.openxmlformats.org/markup-compatibility/2006">
          <mc:Choice Requires="x14">
            <control shapeId="4119" r:id="rId16" name="Check Box 23">
              <controlPr defaultSize="0" autoFill="0" autoLine="0" autoPict="0">
                <anchor moveWithCells="1">
                  <from>
                    <xdr:col>7</xdr:col>
                    <xdr:colOff>38100</xdr:colOff>
                    <xdr:row>27</xdr:row>
                    <xdr:rowOff>0</xdr:rowOff>
                  </from>
                  <to>
                    <xdr:col>8</xdr:col>
                    <xdr:colOff>76200</xdr:colOff>
                    <xdr:row>28</xdr:row>
                    <xdr:rowOff>38100</xdr:rowOff>
                  </to>
                </anchor>
              </controlPr>
            </control>
          </mc:Choice>
        </mc:AlternateContent>
        <mc:AlternateContent xmlns:mc="http://schemas.openxmlformats.org/markup-compatibility/2006">
          <mc:Choice Requires="x14">
            <control shapeId="4120" r:id="rId17" name="Check Box 24">
              <controlPr defaultSize="0" autoFill="0" autoLine="0" autoPict="0">
                <anchor moveWithCells="1">
                  <from>
                    <xdr:col>7</xdr:col>
                    <xdr:colOff>38100</xdr:colOff>
                    <xdr:row>30</xdr:row>
                    <xdr:rowOff>190500</xdr:rowOff>
                  </from>
                  <to>
                    <xdr:col>8</xdr:col>
                    <xdr:colOff>88900</xdr:colOff>
                    <xdr:row>32</xdr:row>
                    <xdr:rowOff>38100</xdr:rowOff>
                  </to>
                </anchor>
              </controlPr>
            </control>
          </mc:Choice>
        </mc:AlternateContent>
        <mc:AlternateContent xmlns:mc="http://schemas.openxmlformats.org/markup-compatibility/2006">
          <mc:Choice Requires="x14">
            <control shapeId="4121" r:id="rId18" name="Check Box 25">
              <controlPr defaultSize="0" autoFill="0" autoLine="0" autoPict="0">
                <anchor moveWithCells="1">
                  <from>
                    <xdr:col>7</xdr:col>
                    <xdr:colOff>38100</xdr:colOff>
                    <xdr:row>31</xdr:row>
                    <xdr:rowOff>190500</xdr:rowOff>
                  </from>
                  <to>
                    <xdr:col>8</xdr:col>
                    <xdr:colOff>88900</xdr:colOff>
                    <xdr:row>33</xdr:row>
                    <xdr:rowOff>38100</xdr:rowOff>
                  </to>
                </anchor>
              </controlPr>
            </control>
          </mc:Choice>
        </mc:AlternateContent>
        <mc:AlternateContent xmlns:mc="http://schemas.openxmlformats.org/markup-compatibility/2006">
          <mc:Choice Requires="x14">
            <control shapeId="4122" r:id="rId19" name="Check Box 26">
              <controlPr defaultSize="0" autoFill="0" autoLine="0" autoPict="0">
                <anchor moveWithCells="1">
                  <from>
                    <xdr:col>7</xdr:col>
                    <xdr:colOff>38100</xdr:colOff>
                    <xdr:row>32</xdr:row>
                    <xdr:rowOff>190500</xdr:rowOff>
                  </from>
                  <to>
                    <xdr:col>8</xdr:col>
                    <xdr:colOff>88900</xdr:colOff>
                    <xdr:row>34</xdr:row>
                    <xdr:rowOff>38100</xdr:rowOff>
                  </to>
                </anchor>
              </controlPr>
            </control>
          </mc:Choice>
        </mc:AlternateContent>
        <mc:AlternateContent xmlns:mc="http://schemas.openxmlformats.org/markup-compatibility/2006">
          <mc:Choice Requires="x14">
            <control shapeId="4123" r:id="rId20" name="Check Box 27">
              <controlPr defaultSize="0" autoFill="0" autoLine="0" autoPict="0">
                <anchor moveWithCells="1">
                  <from>
                    <xdr:col>7</xdr:col>
                    <xdr:colOff>38100</xdr:colOff>
                    <xdr:row>33</xdr:row>
                    <xdr:rowOff>190500</xdr:rowOff>
                  </from>
                  <to>
                    <xdr:col>8</xdr:col>
                    <xdr:colOff>88900</xdr:colOff>
                    <xdr:row>35</xdr:row>
                    <xdr:rowOff>38100</xdr:rowOff>
                  </to>
                </anchor>
              </controlPr>
            </control>
          </mc:Choice>
        </mc:AlternateContent>
        <mc:AlternateContent xmlns:mc="http://schemas.openxmlformats.org/markup-compatibility/2006">
          <mc:Choice Requires="x14">
            <control shapeId="4124" r:id="rId21" name="Check Box 28">
              <controlPr defaultSize="0" autoFill="0" autoLine="0" autoPict="0">
                <anchor moveWithCells="1">
                  <from>
                    <xdr:col>9</xdr:col>
                    <xdr:colOff>38100</xdr:colOff>
                    <xdr:row>30</xdr:row>
                    <xdr:rowOff>190500</xdr:rowOff>
                  </from>
                  <to>
                    <xdr:col>10</xdr:col>
                    <xdr:colOff>114300</xdr:colOff>
                    <xdr:row>32</xdr:row>
                    <xdr:rowOff>38100</xdr:rowOff>
                  </to>
                </anchor>
              </controlPr>
            </control>
          </mc:Choice>
        </mc:AlternateContent>
        <mc:AlternateContent xmlns:mc="http://schemas.openxmlformats.org/markup-compatibility/2006">
          <mc:Choice Requires="x14">
            <control shapeId="4125" r:id="rId22" name="Check Box 29">
              <controlPr defaultSize="0" autoFill="0" autoLine="0" autoPict="0">
                <anchor moveWithCells="1">
                  <from>
                    <xdr:col>9</xdr:col>
                    <xdr:colOff>38100</xdr:colOff>
                    <xdr:row>31</xdr:row>
                    <xdr:rowOff>190500</xdr:rowOff>
                  </from>
                  <to>
                    <xdr:col>10</xdr:col>
                    <xdr:colOff>114300</xdr:colOff>
                    <xdr:row>33</xdr:row>
                    <xdr:rowOff>38100</xdr:rowOff>
                  </to>
                </anchor>
              </controlPr>
            </control>
          </mc:Choice>
        </mc:AlternateContent>
        <mc:AlternateContent xmlns:mc="http://schemas.openxmlformats.org/markup-compatibility/2006">
          <mc:Choice Requires="x14">
            <control shapeId="4126" r:id="rId23" name="Check Box 30">
              <controlPr defaultSize="0" autoFill="0" autoLine="0" autoPict="0">
                <anchor moveWithCells="1">
                  <from>
                    <xdr:col>9</xdr:col>
                    <xdr:colOff>38100</xdr:colOff>
                    <xdr:row>32</xdr:row>
                    <xdr:rowOff>190500</xdr:rowOff>
                  </from>
                  <to>
                    <xdr:col>10</xdr:col>
                    <xdr:colOff>114300</xdr:colOff>
                    <xdr:row>34</xdr:row>
                    <xdr:rowOff>38100</xdr:rowOff>
                  </to>
                </anchor>
              </controlPr>
            </control>
          </mc:Choice>
        </mc:AlternateContent>
        <mc:AlternateContent xmlns:mc="http://schemas.openxmlformats.org/markup-compatibility/2006">
          <mc:Choice Requires="x14">
            <control shapeId="4127" r:id="rId24" name="Check Box 31">
              <controlPr defaultSize="0" autoFill="0" autoLine="0" autoPict="0">
                <anchor moveWithCells="1">
                  <from>
                    <xdr:col>9</xdr:col>
                    <xdr:colOff>38100</xdr:colOff>
                    <xdr:row>33</xdr:row>
                    <xdr:rowOff>190500</xdr:rowOff>
                  </from>
                  <to>
                    <xdr:col>10</xdr:col>
                    <xdr:colOff>114300</xdr:colOff>
                    <xdr:row>35</xdr:row>
                    <xdr:rowOff>38100</xdr:rowOff>
                  </to>
                </anchor>
              </controlPr>
            </control>
          </mc:Choice>
        </mc:AlternateContent>
        <mc:AlternateContent xmlns:mc="http://schemas.openxmlformats.org/markup-compatibility/2006">
          <mc:Choice Requires="x14">
            <control shapeId="4128" r:id="rId25" name="Check Box 32">
              <controlPr defaultSize="0" autoFill="0" autoLine="0" autoPict="0">
                <anchor moveWithCells="1">
                  <from>
                    <xdr:col>11</xdr:col>
                    <xdr:colOff>38100</xdr:colOff>
                    <xdr:row>30</xdr:row>
                    <xdr:rowOff>190500</xdr:rowOff>
                  </from>
                  <to>
                    <xdr:col>12</xdr:col>
                    <xdr:colOff>114300</xdr:colOff>
                    <xdr:row>32</xdr:row>
                    <xdr:rowOff>38100</xdr:rowOff>
                  </to>
                </anchor>
              </controlPr>
            </control>
          </mc:Choice>
        </mc:AlternateContent>
        <mc:AlternateContent xmlns:mc="http://schemas.openxmlformats.org/markup-compatibility/2006">
          <mc:Choice Requires="x14">
            <control shapeId="4129" r:id="rId26" name="Check Box 33">
              <controlPr defaultSize="0" autoFill="0" autoLine="0" autoPict="0">
                <anchor moveWithCells="1">
                  <from>
                    <xdr:col>11</xdr:col>
                    <xdr:colOff>38100</xdr:colOff>
                    <xdr:row>31</xdr:row>
                    <xdr:rowOff>190500</xdr:rowOff>
                  </from>
                  <to>
                    <xdr:col>12</xdr:col>
                    <xdr:colOff>114300</xdr:colOff>
                    <xdr:row>33</xdr:row>
                    <xdr:rowOff>38100</xdr:rowOff>
                  </to>
                </anchor>
              </controlPr>
            </control>
          </mc:Choice>
        </mc:AlternateContent>
        <mc:AlternateContent xmlns:mc="http://schemas.openxmlformats.org/markup-compatibility/2006">
          <mc:Choice Requires="x14">
            <control shapeId="4130" r:id="rId27" name="Check Box 34">
              <controlPr defaultSize="0" autoFill="0" autoLine="0" autoPict="0">
                <anchor moveWithCells="1">
                  <from>
                    <xdr:col>11</xdr:col>
                    <xdr:colOff>38100</xdr:colOff>
                    <xdr:row>32</xdr:row>
                    <xdr:rowOff>190500</xdr:rowOff>
                  </from>
                  <to>
                    <xdr:col>12</xdr:col>
                    <xdr:colOff>114300</xdr:colOff>
                    <xdr:row>34</xdr:row>
                    <xdr:rowOff>38100</xdr:rowOff>
                  </to>
                </anchor>
              </controlPr>
            </control>
          </mc:Choice>
        </mc:AlternateContent>
        <mc:AlternateContent xmlns:mc="http://schemas.openxmlformats.org/markup-compatibility/2006">
          <mc:Choice Requires="x14">
            <control shapeId="4131" r:id="rId28" name="Check Box 35">
              <controlPr defaultSize="0" autoFill="0" autoLine="0" autoPict="0">
                <anchor moveWithCells="1">
                  <from>
                    <xdr:col>11</xdr:col>
                    <xdr:colOff>38100</xdr:colOff>
                    <xdr:row>33</xdr:row>
                    <xdr:rowOff>190500</xdr:rowOff>
                  </from>
                  <to>
                    <xdr:col>12</xdr:col>
                    <xdr:colOff>114300</xdr:colOff>
                    <xdr:row>35</xdr:row>
                    <xdr:rowOff>38100</xdr:rowOff>
                  </to>
                </anchor>
              </controlPr>
            </control>
          </mc:Choice>
        </mc:AlternateContent>
        <mc:AlternateContent xmlns:mc="http://schemas.openxmlformats.org/markup-compatibility/2006">
          <mc:Choice Requires="x14">
            <control shapeId="4132" r:id="rId29" name="Check Box 36">
              <controlPr defaultSize="0" autoFill="0" autoLine="0" autoPict="0">
                <anchor moveWithCells="1">
                  <from>
                    <xdr:col>13</xdr:col>
                    <xdr:colOff>38100</xdr:colOff>
                    <xdr:row>30</xdr:row>
                    <xdr:rowOff>190500</xdr:rowOff>
                  </from>
                  <to>
                    <xdr:col>14</xdr:col>
                    <xdr:colOff>101600</xdr:colOff>
                    <xdr:row>32</xdr:row>
                    <xdr:rowOff>38100</xdr:rowOff>
                  </to>
                </anchor>
              </controlPr>
            </control>
          </mc:Choice>
        </mc:AlternateContent>
        <mc:AlternateContent xmlns:mc="http://schemas.openxmlformats.org/markup-compatibility/2006">
          <mc:Choice Requires="x14">
            <control shapeId="4133" r:id="rId30" name="Check Box 37">
              <controlPr defaultSize="0" autoFill="0" autoLine="0" autoPict="0">
                <anchor moveWithCells="1">
                  <from>
                    <xdr:col>13</xdr:col>
                    <xdr:colOff>38100</xdr:colOff>
                    <xdr:row>31</xdr:row>
                    <xdr:rowOff>190500</xdr:rowOff>
                  </from>
                  <to>
                    <xdr:col>14</xdr:col>
                    <xdr:colOff>101600</xdr:colOff>
                    <xdr:row>33</xdr:row>
                    <xdr:rowOff>38100</xdr:rowOff>
                  </to>
                </anchor>
              </controlPr>
            </control>
          </mc:Choice>
        </mc:AlternateContent>
        <mc:AlternateContent xmlns:mc="http://schemas.openxmlformats.org/markup-compatibility/2006">
          <mc:Choice Requires="x14">
            <control shapeId="4136" r:id="rId31" name="Check Box 40">
              <controlPr defaultSize="0" autoFill="0" autoLine="0" autoPict="0">
                <anchor moveWithCells="1">
                  <from>
                    <xdr:col>0</xdr:col>
                    <xdr:colOff>38100</xdr:colOff>
                    <xdr:row>11</xdr:row>
                    <xdr:rowOff>190500</xdr:rowOff>
                  </from>
                  <to>
                    <xdr:col>1</xdr:col>
                    <xdr:colOff>88900</xdr:colOff>
                    <xdr:row>13</xdr:row>
                    <xdr:rowOff>0</xdr:rowOff>
                  </to>
                </anchor>
              </controlPr>
            </control>
          </mc:Choice>
        </mc:AlternateContent>
        <mc:AlternateContent xmlns:mc="http://schemas.openxmlformats.org/markup-compatibility/2006">
          <mc:Choice Requires="x14">
            <control shapeId="4137" r:id="rId32" name="Check Box 41">
              <controlPr defaultSize="0" autoFill="0" autoLine="0" autoPict="0">
                <anchor moveWithCells="1">
                  <from>
                    <xdr:col>0</xdr:col>
                    <xdr:colOff>63500</xdr:colOff>
                    <xdr:row>13</xdr:row>
                    <xdr:rowOff>177800</xdr:rowOff>
                  </from>
                  <to>
                    <xdr:col>1</xdr:col>
                    <xdr:colOff>88900</xdr:colOff>
                    <xdr:row>14</xdr:row>
                    <xdr:rowOff>190500</xdr:rowOff>
                  </to>
                </anchor>
              </controlPr>
            </control>
          </mc:Choice>
        </mc:AlternateContent>
        <mc:AlternateContent xmlns:mc="http://schemas.openxmlformats.org/markup-compatibility/2006">
          <mc:Choice Requires="x14">
            <control shapeId="4142" r:id="rId33" name="Check Box 46">
              <controlPr defaultSize="0" autoFill="0" autoLine="0" autoPict="0">
                <anchor moveWithCells="1">
                  <from>
                    <xdr:col>7</xdr:col>
                    <xdr:colOff>76200</xdr:colOff>
                    <xdr:row>2</xdr:row>
                    <xdr:rowOff>0</xdr:rowOff>
                  </from>
                  <to>
                    <xdr:col>8</xdr:col>
                    <xdr:colOff>114300</xdr:colOff>
                    <xdr:row>3</xdr:row>
                    <xdr:rowOff>38100</xdr:rowOff>
                  </to>
                </anchor>
              </controlPr>
            </control>
          </mc:Choice>
        </mc:AlternateContent>
        <mc:AlternateContent xmlns:mc="http://schemas.openxmlformats.org/markup-compatibility/2006">
          <mc:Choice Requires="x14">
            <control shapeId="4143" r:id="rId34" name="Check Box 47">
              <controlPr defaultSize="0" autoFill="0" autoLine="0" autoPict="0">
                <anchor moveWithCells="1">
                  <from>
                    <xdr:col>0</xdr:col>
                    <xdr:colOff>38100</xdr:colOff>
                    <xdr:row>3</xdr:row>
                    <xdr:rowOff>190500</xdr:rowOff>
                  </from>
                  <to>
                    <xdr:col>1</xdr:col>
                    <xdr:colOff>88900</xdr:colOff>
                    <xdr:row>5</xdr:row>
                    <xdr:rowOff>0</xdr:rowOff>
                  </to>
                </anchor>
              </controlPr>
            </control>
          </mc:Choice>
        </mc:AlternateContent>
        <mc:AlternateContent xmlns:mc="http://schemas.openxmlformats.org/markup-compatibility/2006">
          <mc:Choice Requires="x14">
            <control shapeId="4144" r:id="rId35" name="Check Box 48">
              <controlPr defaultSize="0" autoFill="0" autoLine="0" autoPict="0">
                <anchor moveWithCells="1">
                  <from>
                    <xdr:col>7</xdr:col>
                    <xdr:colOff>63500</xdr:colOff>
                    <xdr:row>6</xdr:row>
                    <xdr:rowOff>190500</xdr:rowOff>
                  </from>
                  <to>
                    <xdr:col>8</xdr:col>
                    <xdr:colOff>88900</xdr:colOff>
                    <xdr:row>7</xdr:row>
                    <xdr:rowOff>190500</xdr:rowOff>
                  </to>
                </anchor>
              </controlPr>
            </control>
          </mc:Choice>
        </mc:AlternateContent>
        <mc:AlternateContent xmlns:mc="http://schemas.openxmlformats.org/markup-compatibility/2006">
          <mc:Choice Requires="x14">
            <control shapeId="4145" r:id="rId36" name="Check Box 49">
              <controlPr defaultSize="0" autoFill="0" autoLine="0" autoPict="0">
                <anchor moveWithCells="1">
                  <from>
                    <xdr:col>7</xdr:col>
                    <xdr:colOff>63500</xdr:colOff>
                    <xdr:row>8</xdr:row>
                    <xdr:rowOff>0</xdr:rowOff>
                  </from>
                  <to>
                    <xdr:col>8</xdr:col>
                    <xdr:colOff>88900</xdr:colOff>
                    <xdr:row>9</xdr:row>
                    <xdr:rowOff>25400</xdr:rowOff>
                  </to>
                </anchor>
              </controlPr>
            </control>
          </mc:Choice>
        </mc:AlternateContent>
        <mc:AlternateContent xmlns:mc="http://schemas.openxmlformats.org/markup-compatibility/2006">
          <mc:Choice Requires="x14">
            <control shapeId="4146" r:id="rId37" name="Check Box 50">
              <controlPr defaultSize="0" autoFill="0" autoLine="0" autoPict="0">
                <anchor moveWithCells="1">
                  <from>
                    <xdr:col>7</xdr:col>
                    <xdr:colOff>38100</xdr:colOff>
                    <xdr:row>8</xdr:row>
                    <xdr:rowOff>190500</xdr:rowOff>
                  </from>
                  <to>
                    <xdr:col>8</xdr:col>
                    <xdr:colOff>88900</xdr:colOff>
                    <xdr:row>10</xdr:row>
                    <xdr:rowOff>0</xdr:rowOff>
                  </to>
                </anchor>
              </controlPr>
            </control>
          </mc:Choice>
        </mc:AlternateContent>
        <mc:AlternateContent xmlns:mc="http://schemas.openxmlformats.org/markup-compatibility/2006">
          <mc:Choice Requires="x14">
            <control shapeId="4149" r:id="rId38" name="Check Box 53">
              <controlPr defaultSize="0" autoFill="0" autoLine="0" autoPict="0">
                <anchor moveWithCells="1">
                  <from>
                    <xdr:col>7</xdr:col>
                    <xdr:colOff>38100</xdr:colOff>
                    <xdr:row>19</xdr:row>
                    <xdr:rowOff>0</xdr:rowOff>
                  </from>
                  <to>
                    <xdr:col>8</xdr:col>
                    <xdr:colOff>76200</xdr:colOff>
                    <xdr:row>20</xdr:row>
                    <xdr:rowOff>25400</xdr:rowOff>
                  </to>
                </anchor>
              </controlPr>
            </control>
          </mc:Choice>
        </mc:AlternateContent>
        <mc:AlternateContent xmlns:mc="http://schemas.openxmlformats.org/markup-compatibility/2006">
          <mc:Choice Requires="x14">
            <control shapeId="4151" r:id="rId39" name="Check Box 55">
              <controlPr defaultSize="0" autoFill="0" autoLine="0" autoPict="0">
                <anchor moveWithCells="1">
                  <from>
                    <xdr:col>7</xdr:col>
                    <xdr:colOff>38100</xdr:colOff>
                    <xdr:row>20</xdr:row>
                    <xdr:rowOff>25400</xdr:rowOff>
                  </from>
                  <to>
                    <xdr:col>8</xdr:col>
                    <xdr:colOff>76200</xdr:colOff>
                    <xdr:row>21</xdr:row>
                    <xdr:rowOff>50800</xdr:rowOff>
                  </to>
                </anchor>
              </controlPr>
            </control>
          </mc:Choice>
        </mc:AlternateContent>
        <mc:AlternateContent xmlns:mc="http://schemas.openxmlformats.org/markup-compatibility/2006">
          <mc:Choice Requires="x14">
            <control shapeId="4153" r:id="rId40" name="Check Box 57">
              <controlPr defaultSize="0" autoFill="0" autoLine="0" autoPict="0">
                <anchor moveWithCells="1">
                  <from>
                    <xdr:col>7</xdr:col>
                    <xdr:colOff>38100</xdr:colOff>
                    <xdr:row>21</xdr:row>
                    <xdr:rowOff>12700</xdr:rowOff>
                  </from>
                  <to>
                    <xdr:col>8</xdr:col>
                    <xdr:colOff>76200</xdr:colOff>
                    <xdr:row>22</xdr:row>
                    <xdr:rowOff>38100</xdr:rowOff>
                  </to>
                </anchor>
              </controlPr>
            </control>
          </mc:Choice>
        </mc:AlternateContent>
        <mc:AlternateContent xmlns:mc="http://schemas.openxmlformats.org/markup-compatibility/2006">
          <mc:Choice Requires="x14">
            <control shapeId="4155" r:id="rId41" name="Check Box 59">
              <controlPr defaultSize="0" autoFill="0" autoLine="0" autoPict="0">
                <anchor moveWithCells="1">
                  <from>
                    <xdr:col>13</xdr:col>
                    <xdr:colOff>38100</xdr:colOff>
                    <xdr:row>32</xdr:row>
                    <xdr:rowOff>190500</xdr:rowOff>
                  </from>
                  <to>
                    <xdr:col>14</xdr:col>
                    <xdr:colOff>101600</xdr:colOff>
                    <xdr:row>34</xdr:row>
                    <xdr:rowOff>38100</xdr:rowOff>
                  </to>
                </anchor>
              </controlPr>
            </control>
          </mc:Choice>
        </mc:AlternateContent>
        <mc:AlternateContent xmlns:mc="http://schemas.openxmlformats.org/markup-compatibility/2006">
          <mc:Choice Requires="x14">
            <control shapeId="4156" r:id="rId42" name="Check Box 60">
              <controlPr defaultSize="0" autoFill="0" autoLine="0" autoPict="0">
                <anchor moveWithCells="1">
                  <from>
                    <xdr:col>13</xdr:col>
                    <xdr:colOff>38100</xdr:colOff>
                    <xdr:row>33</xdr:row>
                    <xdr:rowOff>190500</xdr:rowOff>
                  </from>
                  <to>
                    <xdr:col>14</xdr:col>
                    <xdr:colOff>101600</xdr:colOff>
                    <xdr:row>35</xdr:row>
                    <xdr:rowOff>38100</xdr:rowOff>
                  </to>
                </anchor>
              </controlPr>
            </control>
          </mc:Choice>
        </mc:AlternateContent>
        <mc:AlternateContent xmlns:mc="http://schemas.openxmlformats.org/markup-compatibility/2006">
          <mc:Choice Requires="x14">
            <control shapeId="4159" r:id="rId43" name="Check Box 63">
              <controlPr defaultSize="0" autoFill="0" autoLine="0" autoPict="0">
                <anchor moveWithCells="1">
                  <from>
                    <xdr:col>0</xdr:col>
                    <xdr:colOff>38100</xdr:colOff>
                    <xdr:row>2</xdr:row>
                    <xdr:rowOff>0</xdr:rowOff>
                  </from>
                  <to>
                    <xdr:col>1</xdr:col>
                    <xdr:colOff>88900</xdr:colOff>
                    <xdr:row>3</xdr:row>
                    <xdr:rowOff>38100</xdr:rowOff>
                  </to>
                </anchor>
              </controlPr>
            </control>
          </mc:Choice>
        </mc:AlternateContent>
        <mc:AlternateContent xmlns:mc="http://schemas.openxmlformats.org/markup-compatibility/2006">
          <mc:Choice Requires="x14">
            <control shapeId="4162" r:id="rId44" name="Check Box 66">
              <controlPr defaultSize="0" autoFill="0" autoLine="0" autoPict="0">
                <anchor moveWithCells="1">
                  <from>
                    <xdr:col>7</xdr:col>
                    <xdr:colOff>38100</xdr:colOff>
                    <xdr:row>15</xdr:row>
                    <xdr:rowOff>190500</xdr:rowOff>
                  </from>
                  <to>
                    <xdr:col>8</xdr:col>
                    <xdr:colOff>76200</xdr:colOff>
                    <xdr:row>17</xdr:row>
                    <xdr:rowOff>0</xdr:rowOff>
                  </to>
                </anchor>
              </controlPr>
            </control>
          </mc:Choice>
        </mc:AlternateContent>
      </controls>
    </mc:Choice>
  </mc:AlternateContent>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P40"/>
  <sheetViews>
    <sheetView showGridLines="0" showRowColHeaders="0" zoomScaleNormal="100" workbookViewId="0">
      <selection sqref="A1:P1"/>
    </sheetView>
  </sheetViews>
  <sheetFormatPr baseColWidth="10" defaultColWidth="0" defaultRowHeight="11" zeroHeight="1" x14ac:dyDescent="0.15"/>
  <cols>
    <col min="1" max="1" width="2.59765625" style="2" customWidth="1"/>
    <col min="2" max="2" width="8.59765625" style="2" customWidth="1"/>
    <col min="3" max="3" width="13" style="2" customWidth="1"/>
    <col min="4" max="4" width="16.796875" style="2" customWidth="1"/>
    <col min="5" max="6" width="9.796875" style="2" customWidth="1"/>
    <col min="7" max="9" width="9.3984375" style="2" customWidth="1"/>
    <col min="10" max="10" width="5.796875" style="2" customWidth="1"/>
    <col min="11" max="16" width="6" style="2" customWidth="1"/>
    <col min="17" max="17" width="2" style="2" customWidth="1"/>
    <col min="18" max="16384" width="0" style="2" hidden="1"/>
  </cols>
  <sheetData>
    <row r="1" spans="1:16" ht="19" x14ac:dyDescent="0.15">
      <c r="A1" s="375" t="str">
        <f>IF(TripDescription="","Weather Log",CONCATENATE("Weather Log for ",TripDescription))</f>
        <v>Weather Log</v>
      </c>
      <c r="B1" s="375"/>
      <c r="C1" s="375"/>
      <c r="D1" s="375"/>
      <c r="E1" s="375"/>
      <c r="F1" s="375"/>
      <c r="G1" s="375"/>
      <c r="H1" s="375"/>
      <c r="I1" s="375"/>
      <c r="J1" s="375"/>
      <c r="K1" s="375"/>
      <c r="L1" s="375"/>
      <c r="M1" s="375"/>
      <c r="N1" s="375"/>
      <c r="O1" s="375"/>
      <c r="P1" s="375"/>
    </row>
    <row r="2" spans="1:16" ht="48" customHeight="1" x14ac:dyDescent="0.15">
      <c r="A2" s="376" t="s">
        <v>266</v>
      </c>
      <c r="B2" s="376"/>
      <c r="C2" s="373"/>
      <c r="D2" s="373"/>
      <c r="E2" s="373"/>
      <c r="F2" s="373"/>
      <c r="G2" s="75" t="s">
        <v>186</v>
      </c>
      <c r="H2" s="373"/>
      <c r="I2" s="373"/>
      <c r="J2" s="373"/>
      <c r="K2" s="373"/>
      <c r="L2" s="373"/>
      <c r="M2" s="373"/>
      <c r="N2" s="373"/>
      <c r="O2" s="373"/>
      <c r="P2" s="373"/>
    </row>
    <row r="3" spans="1:16" ht="13.5" customHeight="1" x14ac:dyDescent="0.15">
      <c r="A3" s="380" t="s">
        <v>188</v>
      </c>
      <c r="B3" s="380"/>
      <c r="C3" s="380"/>
      <c r="D3" s="380"/>
      <c r="E3" s="380"/>
      <c r="F3" s="380"/>
      <c r="G3" s="380"/>
      <c r="H3" s="380"/>
      <c r="I3" s="380"/>
      <c r="J3" s="380"/>
      <c r="K3" s="380" t="s">
        <v>190</v>
      </c>
      <c r="L3" s="380"/>
      <c r="M3" s="380"/>
      <c r="N3" s="380"/>
      <c r="O3" s="380"/>
      <c r="P3" s="380"/>
    </row>
    <row r="4" spans="1:16" ht="14" x14ac:dyDescent="0.15">
      <c r="A4" s="381"/>
      <c r="B4" s="382"/>
      <c r="C4" s="377" t="s">
        <v>303</v>
      </c>
      <c r="D4" s="377"/>
      <c r="E4" s="377"/>
      <c r="F4" s="378"/>
      <c r="G4" s="379" t="s">
        <v>187</v>
      </c>
      <c r="H4" s="379"/>
      <c r="I4" s="379"/>
      <c r="J4" s="379"/>
      <c r="K4" s="82" t="s">
        <v>193</v>
      </c>
      <c r="L4" s="83">
        <v>3000</v>
      </c>
      <c r="M4" s="83">
        <v>6000</v>
      </c>
      <c r="N4" s="83">
        <v>9000</v>
      </c>
      <c r="O4" s="83">
        <v>12000</v>
      </c>
      <c r="P4" s="83">
        <v>18000</v>
      </c>
    </row>
    <row r="5" spans="1:16" ht="22.5" customHeight="1" x14ac:dyDescent="0.15">
      <c r="A5" s="383" t="s">
        <v>33</v>
      </c>
      <c r="B5" s="383"/>
      <c r="C5" s="373"/>
      <c r="D5" s="373"/>
      <c r="E5" s="373"/>
      <c r="F5" s="373"/>
      <c r="G5" s="373"/>
      <c r="H5" s="373"/>
      <c r="I5" s="373"/>
      <c r="J5" s="373"/>
      <c r="K5" s="76">
        <f>DepartureAirportID</f>
        <v>0</v>
      </c>
      <c r="L5" s="76"/>
      <c r="M5" s="76"/>
      <c r="N5" s="76"/>
      <c r="O5" s="76"/>
      <c r="P5" s="76"/>
    </row>
    <row r="6" spans="1:16" ht="22.5" customHeight="1" x14ac:dyDescent="0.15">
      <c r="A6" s="383"/>
      <c r="B6" s="383"/>
      <c r="C6" s="373"/>
      <c r="D6" s="373"/>
      <c r="E6" s="373"/>
      <c r="F6" s="373"/>
      <c r="G6" s="373"/>
      <c r="H6" s="373"/>
      <c r="I6" s="373"/>
      <c r="J6" s="373"/>
      <c r="K6" s="76">
        <f>DestinationAirportID</f>
        <v>0</v>
      </c>
      <c r="L6" s="76"/>
      <c r="M6" s="76"/>
      <c r="N6" s="76"/>
      <c r="O6" s="76"/>
      <c r="P6" s="76"/>
    </row>
    <row r="7" spans="1:16" ht="22.5" customHeight="1" x14ac:dyDescent="0.15">
      <c r="A7" s="383" t="s">
        <v>34</v>
      </c>
      <c r="B7" s="383"/>
      <c r="C7" s="373"/>
      <c r="D7" s="373"/>
      <c r="E7" s="373"/>
      <c r="F7" s="373"/>
      <c r="G7" s="373"/>
      <c r="H7" s="373"/>
      <c r="I7" s="373"/>
      <c r="J7" s="373"/>
      <c r="K7" s="76"/>
      <c r="L7" s="76"/>
      <c r="M7" s="76"/>
      <c r="N7" s="76"/>
      <c r="O7" s="76"/>
      <c r="P7" s="76"/>
    </row>
    <row r="8" spans="1:16" ht="22.5" customHeight="1" x14ac:dyDescent="0.15">
      <c r="A8" s="383"/>
      <c r="B8" s="383"/>
      <c r="C8" s="373"/>
      <c r="D8" s="373"/>
      <c r="E8" s="373"/>
      <c r="F8" s="373"/>
      <c r="G8" s="373"/>
      <c r="H8" s="373"/>
      <c r="I8" s="373"/>
      <c r="J8" s="373"/>
      <c r="K8" s="76"/>
      <c r="L8" s="76"/>
      <c r="M8" s="76"/>
      <c r="N8" s="76"/>
      <c r="O8" s="76"/>
      <c r="P8" s="76"/>
    </row>
    <row r="9" spans="1:16" ht="22.5" customHeight="1" x14ac:dyDescent="0.15">
      <c r="A9" s="366" t="s">
        <v>189</v>
      </c>
      <c r="B9" s="366"/>
      <c r="C9" s="373"/>
      <c r="D9" s="373"/>
      <c r="E9" s="373"/>
      <c r="F9" s="373"/>
      <c r="G9" s="373"/>
      <c r="H9" s="373"/>
      <c r="I9" s="373"/>
      <c r="J9" s="373"/>
      <c r="K9" s="76"/>
      <c r="L9" s="76"/>
      <c r="M9" s="76"/>
      <c r="N9" s="76"/>
      <c r="O9" s="76"/>
      <c r="P9" s="76"/>
    </row>
    <row r="10" spans="1:16" ht="22.5" customHeight="1" x14ac:dyDescent="0.15">
      <c r="A10" s="366"/>
      <c r="B10" s="366"/>
      <c r="C10" s="374"/>
      <c r="D10" s="374"/>
      <c r="E10" s="374"/>
      <c r="F10" s="374"/>
      <c r="G10" s="374"/>
      <c r="H10" s="374"/>
      <c r="I10" s="374"/>
      <c r="J10" s="374"/>
      <c r="K10" s="76"/>
      <c r="L10" s="76"/>
      <c r="M10" s="76"/>
      <c r="N10" s="76"/>
      <c r="O10" s="76"/>
      <c r="P10" s="76"/>
    </row>
    <row r="11" spans="1:16" ht="22.5" customHeight="1" x14ac:dyDescent="0.15">
      <c r="A11" s="366"/>
      <c r="B11" s="366"/>
      <c r="C11" s="374"/>
      <c r="D11" s="374"/>
      <c r="E11" s="374"/>
      <c r="F11" s="374"/>
      <c r="G11" s="374"/>
      <c r="H11" s="374"/>
      <c r="I11" s="374"/>
      <c r="J11" s="374"/>
      <c r="K11" s="76"/>
      <c r="L11" s="76"/>
      <c r="M11" s="76"/>
      <c r="N11" s="76"/>
      <c r="O11" s="76"/>
      <c r="P11" s="76"/>
    </row>
    <row r="12" spans="1:16" ht="17.25" customHeight="1" x14ac:dyDescent="0.15">
      <c r="A12" s="365" t="str">
        <f>IF(TripDescription="","Flight Plan",CONCATENATE("Flight Plan for ",TripDescription))</f>
        <v>Flight Plan</v>
      </c>
      <c r="B12" s="365"/>
      <c r="C12" s="365"/>
      <c r="D12" s="365"/>
      <c r="E12" s="365"/>
      <c r="F12" s="365"/>
      <c r="G12" s="365"/>
      <c r="H12" s="365"/>
      <c r="I12" s="365"/>
      <c r="J12" s="363" t="s">
        <v>191</v>
      </c>
      <c r="K12" s="363"/>
      <c r="L12" s="363"/>
      <c r="M12" s="363"/>
      <c r="N12" s="363"/>
      <c r="O12" s="363"/>
      <c r="P12" s="363"/>
    </row>
    <row r="13" spans="1:16" ht="12.75" customHeight="1" x14ac:dyDescent="0.15">
      <c r="A13" s="354" t="s">
        <v>267</v>
      </c>
      <c r="B13" s="354"/>
      <c r="C13" s="355" t="s">
        <v>50</v>
      </c>
      <c r="D13" s="355" t="s">
        <v>51</v>
      </c>
      <c r="E13" s="355" t="s">
        <v>52</v>
      </c>
      <c r="F13" s="355" t="s">
        <v>53</v>
      </c>
      <c r="G13" s="355" t="s">
        <v>54</v>
      </c>
      <c r="H13" s="355"/>
      <c r="I13" s="355" t="s">
        <v>57</v>
      </c>
      <c r="J13" s="343"/>
      <c r="K13" s="343"/>
      <c r="L13" s="343"/>
      <c r="M13" s="343"/>
      <c r="N13" s="343"/>
      <c r="O13" s="343"/>
      <c r="P13" s="343"/>
    </row>
    <row r="14" spans="1:16" ht="12.75" customHeight="1" x14ac:dyDescent="0.2">
      <c r="A14" s="77"/>
      <c r="B14" s="78" t="s">
        <v>43</v>
      </c>
      <c r="C14" s="355"/>
      <c r="D14" s="355"/>
      <c r="E14" s="355"/>
      <c r="F14" s="356"/>
      <c r="G14" s="84" t="s">
        <v>55</v>
      </c>
      <c r="H14" s="84" t="s">
        <v>56</v>
      </c>
      <c r="I14" s="356"/>
      <c r="J14" s="343"/>
      <c r="K14" s="343"/>
      <c r="L14" s="343"/>
      <c r="M14" s="343"/>
      <c r="N14" s="343"/>
      <c r="O14" s="343"/>
      <c r="P14" s="343"/>
    </row>
    <row r="15" spans="1:16" ht="12.75" customHeight="1" x14ac:dyDescent="0.2">
      <c r="A15" s="77"/>
      <c r="B15" s="78" t="s">
        <v>44</v>
      </c>
      <c r="C15" s="359">
        <f>AircraftNumber</f>
        <v>0</v>
      </c>
      <c r="D15" s="358" t="str">
        <f>AircraftType</f>
        <v/>
      </c>
      <c r="E15" s="79">
        <f>CruiseAirspeed</f>
        <v>0</v>
      </c>
      <c r="F15" s="358">
        <f>DepartureAirportID</f>
        <v>0</v>
      </c>
      <c r="G15" s="360"/>
      <c r="H15" s="362"/>
      <c r="I15" s="361" t="str">
        <f>CruiseAltitude</f>
        <v xml:space="preserve"> </v>
      </c>
      <c r="J15" s="343"/>
      <c r="K15" s="343"/>
      <c r="L15" s="343"/>
      <c r="M15" s="343"/>
      <c r="N15" s="343"/>
      <c r="O15" s="343"/>
      <c r="P15" s="343"/>
    </row>
    <row r="16" spans="1:16" ht="12.75" customHeight="1" x14ac:dyDescent="0.2">
      <c r="A16" s="77"/>
      <c r="B16" s="78" t="s">
        <v>45</v>
      </c>
      <c r="C16" s="359"/>
      <c r="D16" s="358"/>
      <c r="E16" s="91" t="s">
        <v>58</v>
      </c>
      <c r="F16" s="358"/>
      <c r="G16" s="360"/>
      <c r="H16" s="362"/>
      <c r="I16" s="361"/>
      <c r="J16" s="343"/>
      <c r="K16" s="343"/>
      <c r="L16" s="343"/>
      <c r="M16" s="343"/>
      <c r="N16" s="343"/>
      <c r="O16" s="343"/>
      <c r="P16" s="343"/>
    </row>
    <row r="17" spans="1:16" ht="12" customHeight="1" x14ac:dyDescent="0.2">
      <c r="A17" s="345" t="s">
        <v>59</v>
      </c>
      <c r="B17" s="345"/>
      <c r="C17" s="345"/>
      <c r="D17" s="80"/>
      <c r="E17" s="80"/>
      <c r="F17" s="80"/>
      <c r="G17" s="80"/>
      <c r="H17" s="80"/>
      <c r="I17" s="80"/>
      <c r="J17" s="343"/>
      <c r="K17" s="343"/>
      <c r="L17" s="343"/>
      <c r="M17" s="343"/>
      <c r="N17" s="343"/>
      <c r="O17" s="343"/>
      <c r="P17" s="343"/>
    </row>
    <row r="18" spans="1:16" ht="12" customHeight="1" x14ac:dyDescent="0.15">
      <c r="A18" s="357">
        <f>EnrouteAirportID</f>
        <v>0</v>
      </c>
      <c r="B18" s="357"/>
      <c r="C18" s="357"/>
      <c r="D18" s="357"/>
      <c r="E18" s="357"/>
      <c r="F18" s="357"/>
      <c r="G18" s="357"/>
      <c r="H18" s="357"/>
      <c r="I18" s="357"/>
      <c r="J18" s="343"/>
      <c r="K18" s="343"/>
      <c r="L18" s="343"/>
      <c r="M18" s="343"/>
      <c r="N18" s="343"/>
      <c r="O18" s="343"/>
      <c r="P18" s="343"/>
    </row>
    <row r="19" spans="1:16" ht="12" customHeight="1" x14ac:dyDescent="0.15">
      <c r="A19" s="357"/>
      <c r="B19" s="357"/>
      <c r="C19" s="357"/>
      <c r="D19" s="357"/>
      <c r="E19" s="357"/>
      <c r="F19" s="357"/>
      <c r="G19" s="357"/>
      <c r="H19" s="357"/>
      <c r="I19" s="357"/>
      <c r="J19" s="343"/>
      <c r="K19" s="343"/>
      <c r="L19" s="343"/>
      <c r="M19" s="343"/>
      <c r="N19" s="343"/>
      <c r="O19" s="343"/>
      <c r="P19" s="343"/>
    </row>
    <row r="20" spans="1:16" ht="12" customHeight="1" x14ac:dyDescent="0.15">
      <c r="A20" s="357"/>
      <c r="B20" s="357"/>
      <c r="C20" s="357"/>
      <c r="D20" s="357"/>
      <c r="E20" s="357"/>
      <c r="F20" s="357"/>
      <c r="G20" s="357"/>
      <c r="H20" s="357"/>
      <c r="I20" s="357"/>
      <c r="J20" s="343"/>
      <c r="K20" s="343"/>
      <c r="L20" s="343"/>
      <c r="M20" s="343"/>
      <c r="N20" s="343"/>
      <c r="O20" s="343"/>
      <c r="P20" s="343"/>
    </row>
    <row r="21" spans="1:16" ht="12" customHeight="1" x14ac:dyDescent="0.15">
      <c r="A21" s="85" t="s">
        <v>60</v>
      </c>
      <c r="B21" s="85"/>
      <c r="C21" s="85"/>
      <c r="D21" s="85"/>
      <c r="E21" s="347" t="s">
        <v>61</v>
      </c>
      <c r="F21" s="347"/>
      <c r="G21" s="86" t="s">
        <v>64</v>
      </c>
      <c r="H21" s="87"/>
      <c r="I21" s="88"/>
      <c r="J21" s="343"/>
      <c r="K21" s="343"/>
      <c r="L21" s="343"/>
      <c r="M21" s="343"/>
      <c r="N21" s="343"/>
      <c r="O21" s="343"/>
      <c r="P21" s="343"/>
    </row>
    <row r="22" spans="1:16" ht="12" customHeight="1" x14ac:dyDescent="0.15">
      <c r="A22" s="344">
        <f>DestinationAirportID</f>
        <v>0</v>
      </c>
      <c r="B22" s="344"/>
      <c r="C22" s="344"/>
      <c r="D22" s="344"/>
      <c r="E22" s="90" t="s">
        <v>62</v>
      </c>
      <c r="F22" s="90" t="s">
        <v>63</v>
      </c>
      <c r="G22" s="346"/>
      <c r="H22" s="346"/>
      <c r="I22" s="346"/>
      <c r="J22" s="343"/>
      <c r="K22" s="343"/>
      <c r="L22" s="343"/>
      <c r="M22" s="343"/>
      <c r="N22" s="343"/>
      <c r="O22" s="343"/>
      <c r="P22" s="343"/>
    </row>
    <row r="23" spans="1:16" ht="12" customHeight="1" x14ac:dyDescent="0.15">
      <c r="A23" s="344"/>
      <c r="B23" s="344"/>
      <c r="C23" s="344"/>
      <c r="D23" s="344"/>
      <c r="E23" s="348">
        <f>FLOOR(FPEstTimeEnroute/60,1)</f>
        <v>0</v>
      </c>
      <c r="F23" s="350">
        <f>MOD(FPEstTimeEnroute,60)</f>
        <v>15</v>
      </c>
      <c r="G23" s="346"/>
      <c r="H23" s="346"/>
      <c r="I23" s="346"/>
      <c r="J23" s="343"/>
      <c r="K23" s="343"/>
      <c r="L23" s="343"/>
      <c r="M23" s="343"/>
      <c r="N23" s="343"/>
      <c r="O23" s="343"/>
      <c r="P23" s="343"/>
    </row>
    <row r="24" spans="1:16" ht="12" customHeight="1" x14ac:dyDescent="0.15">
      <c r="A24" s="344"/>
      <c r="B24" s="344"/>
      <c r="C24" s="344"/>
      <c r="D24" s="344"/>
      <c r="E24" s="348"/>
      <c r="F24" s="350"/>
      <c r="G24" s="346"/>
      <c r="H24" s="346"/>
      <c r="I24" s="346"/>
      <c r="J24" s="343"/>
      <c r="K24" s="343"/>
      <c r="L24" s="343"/>
      <c r="M24" s="343"/>
      <c r="N24" s="343"/>
      <c r="O24" s="343"/>
      <c r="P24" s="343"/>
    </row>
    <row r="25" spans="1:16" ht="12" customHeight="1" x14ac:dyDescent="0.15">
      <c r="A25" s="367" t="s">
        <v>116</v>
      </c>
      <c r="B25" s="367"/>
      <c r="C25" s="367"/>
      <c r="D25" s="89" t="s">
        <v>65</v>
      </c>
      <c r="E25" s="352" t="s">
        <v>66</v>
      </c>
      <c r="F25" s="352"/>
      <c r="G25" s="352"/>
      <c r="H25" s="352"/>
      <c r="I25" s="351" t="s">
        <v>67</v>
      </c>
      <c r="J25" s="343"/>
      <c r="K25" s="343"/>
      <c r="L25" s="343"/>
      <c r="M25" s="343"/>
      <c r="N25" s="343"/>
      <c r="O25" s="343"/>
      <c r="P25" s="343"/>
    </row>
    <row r="26" spans="1:16" ht="12" customHeight="1" x14ac:dyDescent="0.15">
      <c r="A26" s="353" t="s">
        <v>62</v>
      </c>
      <c r="B26" s="353"/>
      <c r="C26" s="90" t="s">
        <v>63</v>
      </c>
      <c r="D26" s="349"/>
      <c r="E26" s="349"/>
      <c r="F26" s="349"/>
      <c r="G26" s="349"/>
      <c r="H26" s="349"/>
      <c r="I26" s="351"/>
      <c r="J26" s="343"/>
      <c r="K26" s="343"/>
      <c r="L26" s="343"/>
      <c r="M26" s="343"/>
      <c r="N26" s="343"/>
      <c r="O26" s="343"/>
      <c r="P26" s="343"/>
    </row>
    <row r="27" spans="1:16" ht="12" customHeight="1" x14ac:dyDescent="0.15">
      <c r="A27" s="348">
        <f>FLOOR(CruiseEnduranceMinutes/60,1)</f>
        <v>0</v>
      </c>
      <c r="B27" s="348"/>
      <c r="C27" s="348">
        <f>MOD(CruiseEnduranceMinutes,60)</f>
        <v>0</v>
      </c>
      <c r="D27" s="349"/>
      <c r="E27" s="349"/>
      <c r="F27" s="349"/>
      <c r="G27" s="349"/>
      <c r="H27" s="349"/>
      <c r="I27" s="369"/>
      <c r="J27" s="343"/>
      <c r="K27" s="343"/>
      <c r="L27" s="343"/>
      <c r="M27" s="343"/>
      <c r="N27" s="343"/>
      <c r="O27" s="343"/>
      <c r="P27" s="343"/>
    </row>
    <row r="28" spans="1:16" ht="12" customHeight="1" x14ac:dyDescent="0.15">
      <c r="A28" s="348"/>
      <c r="B28" s="348"/>
      <c r="C28" s="348"/>
      <c r="D28" s="349"/>
      <c r="E28" s="349"/>
      <c r="F28" s="349"/>
      <c r="G28" s="349"/>
      <c r="H28" s="349"/>
      <c r="I28" s="369"/>
      <c r="J28" s="343"/>
      <c r="K28" s="343"/>
      <c r="L28" s="343"/>
      <c r="M28" s="343"/>
      <c r="N28" s="343"/>
      <c r="O28" s="343"/>
      <c r="P28" s="343"/>
    </row>
    <row r="29" spans="1:16" ht="12" customHeight="1" x14ac:dyDescent="0.15">
      <c r="A29" s="352" t="s">
        <v>68</v>
      </c>
      <c r="B29" s="352"/>
      <c r="C29" s="352"/>
      <c r="D29" s="352" t="s">
        <v>69</v>
      </c>
      <c r="E29" s="352"/>
      <c r="F29" s="352"/>
      <c r="G29" s="352"/>
      <c r="H29" s="352"/>
      <c r="I29" s="352"/>
      <c r="J29" s="343"/>
      <c r="K29" s="343"/>
      <c r="L29" s="343"/>
      <c r="M29" s="343"/>
      <c r="N29" s="343"/>
      <c r="O29" s="343"/>
      <c r="P29" s="343"/>
    </row>
    <row r="30" spans="1:16" ht="12" customHeight="1" x14ac:dyDescent="0.15">
      <c r="A30" s="368" t="str">
        <f>AircraftColor</f>
        <v/>
      </c>
      <c r="B30" s="368"/>
      <c r="C30" s="368"/>
      <c r="D30" s="346"/>
      <c r="E30" s="346"/>
      <c r="F30" s="346"/>
      <c r="G30" s="346"/>
      <c r="H30" s="346"/>
      <c r="I30" s="346"/>
      <c r="J30" s="343"/>
      <c r="K30" s="343"/>
      <c r="L30" s="343"/>
      <c r="M30" s="343"/>
      <c r="N30" s="343"/>
      <c r="O30" s="343"/>
      <c r="P30" s="343"/>
    </row>
    <row r="31" spans="1:16" ht="9.75" customHeight="1" x14ac:dyDescent="0.15">
      <c r="A31" s="368"/>
      <c r="B31" s="368"/>
      <c r="C31" s="368"/>
      <c r="D31" s="346"/>
      <c r="E31" s="346"/>
      <c r="F31" s="346"/>
      <c r="G31" s="346"/>
      <c r="H31" s="346"/>
      <c r="I31" s="346"/>
      <c r="J31" s="343"/>
      <c r="K31" s="343"/>
      <c r="L31" s="343"/>
      <c r="M31" s="343"/>
      <c r="N31" s="343"/>
      <c r="O31" s="343"/>
      <c r="P31" s="343"/>
    </row>
    <row r="32" spans="1:16" ht="18.75" customHeight="1" x14ac:dyDescent="0.15">
      <c r="A32" s="366" t="s">
        <v>114</v>
      </c>
      <c r="B32" s="366"/>
      <c r="C32" s="366"/>
      <c r="D32" s="364" t="str">
        <f>IF(OR(ISBLANK(DepartureAirportName),ISNA(DepartureAirportFSSName)),"",CONCATENATE(DepartureAirportFSSName," on ",DepartureAirportFSSFreq))</f>
        <v/>
      </c>
      <c r="E32" s="364"/>
      <c r="F32" s="81" t="s">
        <v>115</v>
      </c>
      <c r="G32" s="364" t="str">
        <f>IF(OR(ISBLANK(DestinationAirport),ISNA(DestinationAirportFSSName)),"",CONCATENATE(DestinationAirportFSSName," on ",DestinationAirportFSSFreq))</f>
        <v/>
      </c>
      <c r="H32" s="364"/>
      <c r="I32" s="364"/>
      <c r="J32" s="363" t="s">
        <v>46</v>
      </c>
      <c r="K32" s="363"/>
      <c r="L32" s="363"/>
      <c r="M32" s="363"/>
      <c r="N32" s="363"/>
      <c r="O32" s="363"/>
      <c r="P32" s="363"/>
    </row>
    <row r="33" spans="1:16" ht="12" customHeight="1" x14ac:dyDescent="0.15">
      <c r="A33" s="92"/>
      <c r="B33" s="93"/>
      <c r="C33" s="93"/>
      <c r="D33" s="94"/>
      <c r="E33" s="93"/>
      <c r="F33" s="93"/>
      <c r="G33" s="93"/>
      <c r="H33" s="93"/>
      <c r="I33" s="95"/>
      <c r="J33" s="372" t="s">
        <v>71</v>
      </c>
      <c r="K33" s="372" t="s">
        <v>47</v>
      </c>
      <c r="L33" s="372" t="s">
        <v>48</v>
      </c>
      <c r="M33" s="372" t="s">
        <v>49</v>
      </c>
      <c r="N33" s="372" t="s">
        <v>145</v>
      </c>
      <c r="O33" s="372" t="s">
        <v>72</v>
      </c>
      <c r="P33" s="372" t="s">
        <v>73</v>
      </c>
    </row>
    <row r="34" spans="1:16" ht="12" customHeight="1" x14ac:dyDescent="0.15">
      <c r="A34" s="96"/>
      <c r="B34" s="97"/>
      <c r="C34" s="97"/>
      <c r="D34" s="97"/>
      <c r="E34" s="97"/>
      <c r="F34" s="97"/>
      <c r="G34" s="97"/>
      <c r="H34" s="97"/>
      <c r="I34" s="98"/>
      <c r="J34" s="372"/>
      <c r="K34" s="372"/>
      <c r="L34" s="372"/>
      <c r="M34" s="372"/>
      <c r="N34" s="372"/>
      <c r="O34" s="372"/>
      <c r="P34" s="372"/>
    </row>
    <row r="35" spans="1:16" ht="12" customHeight="1" x14ac:dyDescent="0.15">
      <c r="A35" s="96"/>
      <c r="B35" s="97"/>
      <c r="C35" s="97"/>
      <c r="D35" s="97"/>
      <c r="E35" s="97"/>
      <c r="F35" s="97"/>
      <c r="G35" s="97"/>
      <c r="H35" s="99"/>
      <c r="I35" s="100"/>
      <c r="J35" s="370" t="s">
        <v>70</v>
      </c>
      <c r="K35" s="371"/>
      <c r="L35" s="371"/>
      <c r="M35" s="371"/>
      <c r="N35" s="371"/>
      <c r="O35" s="371"/>
      <c r="P35" s="371"/>
    </row>
    <row r="36" spans="1:16" ht="12" customHeight="1" x14ac:dyDescent="0.15">
      <c r="A36" s="96"/>
      <c r="B36" s="97"/>
      <c r="C36" s="97"/>
      <c r="D36" s="97"/>
      <c r="E36" s="97"/>
      <c r="F36" s="97"/>
      <c r="G36" s="97"/>
      <c r="H36" s="97"/>
      <c r="I36" s="98"/>
      <c r="J36" s="371"/>
      <c r="K36" s="371"/>
      <c r="L36" s="371"/>
      <c r="M36" s="371"/>
      <c r="N36" s="371"/>
      <c r="O36" s="371"/>
      <c r="P36" s="371"/>
    </row>
    <row r="37" spans="1:16" ht="12" customHeight="1" x14ac:dyDescent="0.15">
      <c r="A37" s="101"/>
      <c r="B37" s="102"/>
      <c r="C37" s="102"/>
      <c r="D37" s="102"/>
      <c r="E37" s="102"/>
      <c r="F37" s="102"/>
      <c r="G37" s="103"/>
      <c r="H37" s="102"/>
      <c r="I37" s="104"/>
      <c r="J37" s="371"/>
      <c r="K37" s="371"/>
      <c r="L37" s="371"/>
      <c r="M37" s="371"/>
      <c r="N37" s="371"/>
      <c r="O37" s="371"/>
      <c r="P37" s="371"/>
    </row>
    <row r="38" spans="1:16" x14ac:dyDescent="0.15">
      <c r="A38" s="41" t="str">
        <f ca="1">'Check Lists'!A50</f>
        <v>©2025 Nick Elsey.  Version 3.53.  Printed: March 07, 2025</v>
      </c>
    </row>
    <row r="39" spans="1:16" x14ac:dyDescent="0.15"/>
    <row r="40" spans="1:16" x14ac:dyDescent="0.15"/>
  </sheetData>
  <sheetProtection algorithmName="SHA-512" hashValue="ilVaBWhv0R7B/lSbS2Xas/jtHbmtCByY51WDZHQw7UodV77mB1VojOwSQrEJKE+nm9z6lToCR1ZzonlRYTqNbw==" saltValue="+eVmRu0vHfw3gpvsX/SJyA==" spinCount="100000" sheet="1" objects="1" scenarios="1"/>
  <mergeCells count="78">
    <mergeCell ref="C7:F8"/>
    <mergeCell ref="G5:J6"/>
    <mergeCell ref="G7:J8"/>
    <mergeCell ref="A7:B8"/>
    <mergeCell ref="A5:B6"/>
    <mergeCell ref="C5:F6"/>
    <mergeCell ref="A1:P1"/>
    <mergeCell ref="A2:B2"/>
    <mergeCell ref="H2:P2"/>
    <mergeCell ref="C2:F2"/>
    <mergeCell ref="C4:F4"/>
    <mergeCell ref="G4:J4"/>
    <mergeCell ref="K3:P3"/>
    <mergeCell ref="A3:J3"/>
    <mergeCell ref="A4:B4"/>
    <mergeCell ref="A9:B11"/>
    <mergeCell ref="C9:F9"/>
    <mergeCell ref="C10:F10"/>
    <mergeCell ref="C11:F11"/>
    <mergeCell ref="G9:J9"/>
    <mergeCell ref="G10:J10"/>
    <mergeCell ref="G11:J11"/>
    <mergeCell ref="J35:P37"/>
    <mergeCell ref="J33:J34"/>
    <mergeCell ref="K33:K34"/>
    <mergeCell ref="L33:L34"/>
    <mergeCell ref="M33:M34"/>
    <mergeCell ref="N33:N34"/>
    <mergeCell ref="O33:O34"/>
    <mergeCell ref="P33:P34"/>
    <mergeCell ref="J32:P32"/>
    <mergeCell ref="J12:P12"/>
    <mergeCell ref="A29:C29"/>
    <mergeCell ref="D29:I29"/>
    <mergeCell ref="I13:I14"/>
    <mergeCell ref="G32:I32"/>
    <mergeCell ref="C13:C14"/>
    <mergeCell ref="A12:I12"/>
    <mergeCell ref="D13:D14"/>
    <mergeCell ref="J29:P31"/>
    <mergeCell ref="A32:C32"/>
    <mergeCell ref="A25:C25"/>
    <mergeCell ref="D32:E32"/>
    <mergeCell ref="A30:C31"/>
    <mergeCell ref="D30:I31"/>
    <mergeCell ref="I27:I28"/>
    <mergeCell ref="J13:P14"/>
    <mergeCell ref="J15:P16"/>
    <mergeCell ref="I25:I26"/>
    <mergeCell ref="E25:H25"/>
    <mergeCell ref="A26:B26"/>
    <mergeCell ref="A13:B13"/>
    <mergeCell ref="F13:F14"/>
    <mergeCell ref="A18:I20"/>
    <mergeCell ref="E13:E14"/>
    <mergeCell ref="F15:F16"/>
    <mergeCell ref="C15:C16"/>
    <mergeCell ref="G15:G16"/>
    <mergeCell ref="I15:I16"/>
    <mergeCell ref="G13:H13"/>
    <mergeCell ref="D15:D16"/>
    <mergeCell ref="H15:H16"/>
    <mergeCell ref="J27:P28"/>
    <mergeCell ref="A22:D24"/>
    <mergeCell ref="A17:C17"/>
    <mergeCell ref="G22:I24"/>
    <mergeCell ref="E21:F21"/>
    <mergeCell ref="C27:C28"/>
    <mergeCell ref="D26:D28"/>
    <mergeCell ref="E26:H28"/>
    <mergeCell ref="E23:E24"/>
    <mergeCell ref="F23:F24"/>
    <mergeCell ref="J17:P18"/>
    <mergeCell ref="J23:P24"/>
    <mergeCell ref="J19:P20"/>
    <mergeCell ref="J21:P22"/>
    <mergeCell ref="J25:P26"/>
    <mergeCell ref="A27:B28"/>
  </mergeCells>
  <phoneticPr fontId="0" type="noConversion"/>
  <conditionalFormatting sqref="E15 F15:F16 I15:I16 A22:D24 C15:C16 K5:K6 A18:I20">
    <cfRule type="cellIs" dxfId="32" priority="1" stopIfTrue="1" operator="equal">
      <formula>0</formula>
    </cfRule>
  </conditionalFormatting>
  <conditionalFormatting sqref="E23:F24">
    <cfRule type="expression" dxfId="31" priority="2" stopIfTrue="1">
      <formula>TotalETE&lt;=0</formula>
    </cfRule>
  </conditionalFormatting>
  <conditionalFormatting sqref="A27:C28">
    <cfRule type="expression" dxfId="30" priority="3" stopIfTrue="1">
      <formula>CruiseEnduranceMinutes&lt;=0</formula>
    </cfRule>
  </conditionalFormatting>
  <dataValidations count="32">
    <dataValidation type="whole" allowBlank="1" showInputMessage="1" showErrorMessage="1" errorTitle="Estimated Hours Enroute" error="This must be a valid number." promptTitle="Estimated Time Enroute" prompt="These two fields will be calculated from the total flying time on the navigation log (rounded up to the next 1/4 hour + 15 min), but you can enter your own overide value. Nothing will display until the NavLog has at least 1 min of flying time." sqref="E23:E24" xr:uid="{00000000-0002-0000-0300-000000000000}">
      <formula1>0</formula1>
      <formula2>23</formula2>
    </dataValidation>
    <dataValidation type="whole" allowBlank="1" showInputMessage="1" showErrorMessage="1" errorTitle="Estimated Minutes Enroute" error="This must be a valid minutes value (0 to 59)." promptTitle="Estimated Time Enroute" prompt="These two fields will be calculated from the total flying time on the navigation log (rounded up to the next 1/4 hour + 15 min), but you can enter your own overide value. Nothing will display until the NavLog has at least 1 min of flying time." sqref="F23:F24" xr:uid="{00000000-0002-0000-0300-000001000000}">
      <formula1>0</formula1>
      <formula2>59</formula2>
    </dataValidation>
    <dataValidation allowBlank="1" showInputMessage="1" showErrorMessage="1" promptTitle="Aircraft Identification" prompt="The aircraft call sign or pilot's name. If you enter an aircraft number on the 'Check Lists' tab, it will be displayed here." sqref="C15:C16" xr:uid="{00000000-0002-0000-0300-000002000000}"/>
    <dataValidation allowBlank="1" showInputMessage="1" showErrorMessage="1" promptTitle="Aircraft Type &amp; Equipment" prompt="Enter the aircraft type and equipment suffix, as listed below. For example &quot;C172/G&quot;. If a valid aircraft has been selected from the database, this will be filled automatically." sqref="D15:D16" xr:uid="{00000000-0002-0000-0300-000003000000}"/>
    <dataValidation type="whole" allowBlank="1" showInputMessage="1" showErrorMessage="1" errorTitle="True Airspeed" error="You must enter a valid whole number." promptTitle="True Airspeed" prompt="Required when filing a flight plan. This will be taken from the second TAS value on the Navigation Log, or you can enter it here." sqref="E15" xr:uid="{00000000-0002-0000-0300-000004000000}">
      <formula1>1</formula1>
      <formula2>1000</formula2>
    </dataValidation>
    <dataValidation allowBlank="1" showInputMessage="1" showErrorMessage="1" promptTitle="Departure Airport" prompt="The designator of your takeoff airport. This will be taken from the departure airport in the Navigation Log (frequencies section), or you can enter it here." sqref="F15:F16" xr:uid="{00000000-0002-0000-0300-000005000000}"/>
    <dataValidation type="whole" allowBlank="1" showInputMessage="1" showErrorMessage="1" errorTitle="Departure Time" error="Enter a valid Zulu time from &quot;0000&quot; to &quot;2359&quot;. " promptTitle="Proposed Departure Time" prompt="This is the zulu time that you plan to take off. This value is not calculated." sqref="G15:G16" xr:uid="{00000000-0002-0000-0300-000006000000}">
      <formula1>0</formula1>
      <formula2>2359</formula2>
    </dataValidation>
    <dataValidation type="whole" allowBlank="1" showInputMessage="1" showErrorMessage="1" errorTitle="Departure Time" error="Enter a valid Zulu time from &quot;0000&quot; to &quot;2359&quot;, or leave blank." promptTitle="Actual Departure Time" prompt="Normally you would write this value on the printout after you have taken off. " sqref="H15:H16" xr:uid="{00000000-0002-0000-0300-000007000000}">
      <formula1>0</formula1>
      <formula2>2359</formula2>
    </dataValidation>
    <dataValidation type="whole" allowBlank="1" showInputMessage="1" showErrorMessage="1" errorTitle="Crusing Altitude" error="Enter a valid altitude in feet, from 500 to 60000." promptTitle="Crusing Altitude" prompt="The proposed crusing altitude for your flight. This is taken from the second altitude value on the Navigation Log, or you can enter one here." sqref="I15:I16" xr:uid="{00000000-0002-0000-0300-000008000000}">
      <formula1>500</formula1>
      <formula2>60000</formula2>
    </dataValidation>
    <dataValidation allowBlank="1" showInputMessage="1" showErrorMessage="1" promptTitle="Route of Flight" prompt="List significant waypoints along the route, such as airports and NavAids. " sqref="A18:I20" xr:uid="{00000000-0002-0000-0300-000009000000}"/>
    <dataValidation allowBlank="1" showInputMessage="1" showErrorMessage="1" promptTitle="Destination" prompt="The designator of your destination airport. This will be taken from the destination airport in the Navigation Log (frequencies section), or you can enter it here." sqref="A22:D24" xr:uid="{00000000-0002-0000-0300-00000A000000}"/>
    <dataValidation errorStyle="information" allowBlank="1" showInputMessage="1" showErrorMessage="1" errorTitle="Remarks" error="This section is normally for FAA use only - are you sure you want to use it?" promptTitle="Remarks" prompt="Generally, this area is for FAA use only." sqref="G22:I24" xr:uid="{00000000-0002-0000-0300-00000B000000}"/>
    <dataValidation type="whole" allowBlank="1" showInputMessage="1" showErrorMessage="1" errorTitle="Minutes of Fuel on Board" error="Enter a valiid number of minutes (0 to 59)." promptTitle="Fuel On Board" prompt="These two cells are calculated from the remaining fuel on board once the top of climb has been reached (i.e. minus fuel used for first leg on NavLog). You can override if needed." sqref="C27:C28" xr:uid="{00000000-0002-0000-0300-00000C000000}">
      <formula1>0</formula1>
      <formula2>59</formula2>
    </dataValidation>
    <dataValidation type="whole" allowBlank="1" showInputMessage="1" showErrorMessage="1" errorTitle="Hours of Fuel on Board" error="Enter a valid whole number of hours (0 to 23)." promptTitle="Fuel On Board" prompt="These two cells are calculated from the remaining fuel on board once the top of climb has been reached (i.e. minus fuel used for first leg on NavLog). You can override if needed." sqref="A27:B28" xr:uid="{00000000-0002-0000-0300-00000D000000}">
      <formula1>0</formula1>
      <formula2>23</formula2>
    </dataValidation>
    <dataValidation allowBlank="1" showInputMessage="1" showErrorMessage="1" promptTitle="Alternate Airports" prompt="List the designators of alternate airports you have selected along the route. Be sure to check landing and takeoff distances!" sqref="D26:D28" xr:uid="{00000000-0002-0000-0300-00000E000000}"/>
    <dataValidation allowBlank="1" showInputMessage="1" showErrorMessage="1" promptTitle="Pilots Details" prompt="Enter your contact details here." sqref="E26:H28" xr:uid="{00000000-0002-0000-0300-00000F000000}"/>
    <dataValidation showInputMessage="1" showErrorMessage="1" errorTitle="Number aboard" error="This must be a valid whole number (1 to 500)." promptTitle="Number aboard" prompt="Enter the number of soles aboard" sqref="I27:I28" xr:uid="{00000000-0002-0000-0300-000010000000}"/>
    <dataValidation allowBlank="1" showInputMessage="1" showErrorMessage="1" promptTitle="Color of aircraft" prompt="Enter the primary and then secondary color(s) of the aircraft. If a valid aircraft has been selected from the database, this will be filled automatically." sqref="A30:C31" xr:uid="{00000000-0002-0000-0300-000011000000}"/>
    <dataValidation allowBlank="1" showInputMessage="1" showErrorMessage="1" promptTitle="Destination Contact" prompt="Enter the contact details at your destination airport - this is the first place the FAA will check if you forget to close your flight plan!" sqref="D30:I31" xr:uid="{00000000-0002-0000-0300-000012000000}"/>
    <dataValidation allowBlank="1" showInputMessage="1" showErrorMessage="1" promptTitle="Open Flight Plan" prompt="Enter the name &amp; frequency of the FSS to open your flight plan with after takeoff if this isn't displayed after selecting a departure airport from the database." sqref="D32:E32" xr:uid="{00000000-0002-0000-0300-000013000000}"/>
    <dataValidation allowBlank="1" showInputMessage="1" showErrorMessage="1" promptTitle="Close Flight Plan" prompt="Enter the name &amp; frequency/phone number of the FSS to close your flight plan with after arrival if this isn't displayed after selecting a destination airport from the database." sqref="G32:I32" xr:uid="{00000000-0002-0000-0300-000014000000}"/>
    <dataValidation allowBlank="1" showInputMessage="1" showErrorMessage="1" promptTitle="Notes and NOTAMS" prompt="Make a note of any relevant NOTAMS here." sqref="J13:P30" xr:uid="{00000000-0002-0000-0300-000015000000}"/>
    <dataValidation allowBlank="1" showInputMessage="1" showErrorMessage="1" promptTitle="Adverse Conditions" prompt="SIGMETs, AIRMETs, PIREPs, etc." sqref="C2:F2" xr:uid="{00000000-0002-0000-0300-000016000000}"/>
    <dataValidation allowBlank="1" showInputMessage="1" showErrorMessage="1" promptTitle="Synopsis" prompt="A summary of the weather in your area forecast" sqref="H2:P2" xr:uid="{00000000-0002-0000-0300-000017000000}"/>
    <dataValidation allowBlank="1" showInputMessage="1" showErrorMessage="1" promptTitle="Departure Surface Observation" prompt="The current weather for your departure airport." sqref="C5:F6" xr:uid="{00000000-0002-0000-0300-000018000000}"/>
    <dataValidation allowBlank="1" showInputMessage="1" showErrorMessage="1" promptTitle="Destination surface observation" prompt="The current weather for your destination airport." sqref="C7:F8" xr:uid="{00000000-0002-0000-0300-000019000000}"/>
    <dataValidation allowBlank="1" showInputMessage="1" showErrorMessage="1" promptTitle="Enroute surface observations" prompt="The current weather for airports along the way." sqref="C9:F11" xr:uid="{00000000-0002-0000-0300-00001A000000}"/>
    <dataValidation allowBlank="1" showInputMessage="1" showErrorMessage="1" promptTitle="Enroute TAF" prompt="Terminal area forecasts for airports along the way." sqref="G9:J11" xr:uid="{00000000-0002-0000-0300-00001B000000}"/>
    <dataValidation allowBlank="1" showInputMessage="1" showErrorMessage="1" promptTitle="Departure TAF" prompt="The nearest TAF to your departure airport." sqref="G5:J6" xr:uid="{00000000-0002-0000-0300-00001C000000}"/>
    <dataValidation allowBlank="1" showInputMessage="1" showErrorMessage="1" promptTitle="Destination TAF" prompt="The nearest TAF to your destination airport." sqref="G7:J8" xr:uid="{00000000-0002-0000-0300-00001D000000}"/>
    <dataValidation allowBlank="1" showInputMessage="1" showErrorMessage="1" promptTitle="Wind and temperature aloft" prompt="Enter wind (direction and speed) and temperature for this altitude and station." sqref="L5:P11" xr:uid="{00000000-0002-0000-0300-00001E000000}"/>
    <dataValidation allowBlank="1" showInputMessage="1" showErrorMessage="1" promptTitle="Winds aloft station" prompt="Enter the station identifier for this winds aloft forecast." sqref="K5:K11" xr:uid="{00000000-0002-0000-0300-00001F000000}"/>
  </dataValidations>
  <printOptions horizontalCentered="1" verticalCentered="1"/>
  <pageMargins left="0.19685039370078741" right="0.19685039370078741" top="0.31496062992125984" bottom="0.31496062992125984" header="0.19685039370078741" footer="0.19685039370078741"/>
  <pageSetup paperSize="9" scale="91" orientation="landscape"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6" r:id="rId4" name="Check Box 4">
              <controlPr defaultSize="0" autoFill="0" autoLine="0" autoPict="0">
                <anchor moveWithCells="1" sizeWithCells="1">
                  <from>
                    <xdr:col>0</xdr:col>
                    <xdr:colOff>0</xdr:colOff>
                    <xdr:row>12</xdr:row>
                    <xdr:rowOff>152400</xdr:rowOff>
                  </from>
                  <to>
                    <xdr:col>1</xdr:col>
                    <xdr:colOff>139700</xdr:colOff>
                    <xdr:row>14</xdr:row>
                    <xdr:rowOff>38100</xdr:rowOff>
                  </to>
                </anchor>
              </controlPr>
            </control>
          </mc:Choice>
        </mc:AlternateContent>
        <mc:AlternateContent xmlns:mc="http://schemas.openxmlformats.org/markup-compatibility/2006">
          <mc:Choice Requires="x14">
            <control shapeId="3077" r:id="rId5" name="Check Box 5">
              <controlPr defaultSize="0" autoFill="0" autoLine="0" autoPict="0">
                <anchor moveWithCells="1" sizeWithCells="1">
                  <from>
                    <xdr:col>0</xdr:col>
                    <xdr:colOff>0</xdr:colOff>
                    <xdr:row>13</xdr:row>
                    <xdr:rowOff>152400</xdr:rowOff>
                  </from>
                  <to>
                    <xdr:col>1</xdr:col>
                    <xdr:colOff>139700</xdr:colOff>
                    <xdr:row>15</xdr:row>
                    <xdr:rowOff>38100</xdr:rowOff>
                  </to>
                </anchor>
              </controlPr>
            </control>
          </mc:Choice>
        </mc:AlternateContent>
        <mc:AlternateContent xmlns:mc="http://schemas.openxmlformats.org/markup-compatibility/2006">
          <mc:Choice Requires="x14">
            <control shapeId="3078" r:id="rId6" name="Check Box 6">
              <controlPr defaultSize="0" autoFill="0" autoLine="0" autoPict="0">
                <anchor moveWithCells="1" sizeWithCells="1">
                  <from>
                    <xdr:col>0</xdr:col>
                    <xdr:colOff>0</xdr:colOff>
                    <xdr:row>14</xdr:row>
                    <xdr:rowOff>152400</xdr:rowOff>
                  </from>
                  <to>
                    <xdr:col>1</xdr:col>
                    <xdr:colOff>139700</xdr:colOff>
                    <xdr:row>16</xdr:row>
                    <xdr:rowOff>38100</xdr:rowOff>
                  </to>
                </anchor>
              </controlPr>
            </control>
          </mc:Choice>
        </mc:AlternateContent>
        <mc:AlternateContent xmlns:mc="http://schemas.openxmlformats.org/markup-compatibility/2006">
          <mc:Choice Requires="x14">
            <control shapeId="3079" r:id="rId7" name="Check Box 7">
              <controlPr defaultSize="0" autoFill="0" autoLine="0" autoPict="0">
                <anchor moveWithCells="1">
                  <from>
                    <xdr:col>4</xdr:col>
                    <xdr:colOff>25400</xdr:colOff>
                    <xdr:row>1</xdr:row>
                    <xdr:rowOff>381000</xdr:rowOff>
                  </from>
                  <to>
                    <xdr:col>5</xdr:col>
                    <xdr:colOff>647700</xdr:colOff>
                    <xdr:row>2</xdr:row>
                    <xdr:rowOff>0</xdr:rowOff>
                  </to>
                </anchor>
              </controlPr>
            </control>
          </mc:Choice>
        </mc:AlternateContent>
      </controls>
    </mc:Choice>
  </mc:AlternateContent>
  <extLst>
    <ext xmlns:mx="http://schemas.microsoft.com/office/mac/excel/2008/main" uri="{64002731-A6B0-56B0-2670-7721B7C09600}">
      <mx:PLV Mode="0"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B1:AL42"/>
  <sheetViews>
    <sheetView showGridLines="0" showRowColHeaders="0" zoomScaleNormal="100" workbookViewId="0"/>
  </sheetViews>
  <sheetFormatPr baseColWidth="10" defaultColWidth="0" defaultRowHeight="14" zeroHeight="1" x14ac:dyDescent="0.2"/>
  <cols>
    <col min="1" max="1" width="9" customWidth="1"/>
    <col min="2" max="2" width="15.3984375" customWidth="1"/>
    <col min="3" max="3" width="6.3984375" customWidth="1"/>
    <col min="4" max="4" width="1.796875" customWidth="1"/>
    <col min="5" max="5" width="5.3984375" customWidth="1"/>
    <col min="6" max="6" width="7.59765625" customWidth="1"/>
    <col min="7" max="7" width="4.3984375" customWidth="1"/>
    <col min="8" max="8" width="3.3984375" customWidth="1"/>
    <col min="9" max="9" width="5.3984375" customWidth="1"/>
    <col min="10" max="10" width="0.3984375" customWidth="1"/>
    <col min="11" max="14" width="5" customWidth="1"/>
    <col min="15" max="16" width="5.3984375" customWidth="1"/>
    <col min="17" max="17" width="0.3984375" customWidth="1"/>
    <col min="18" max="18" width="5.3984375" customWidth="1"/>
    <col min="19" max="19" width="6.3984375" customWidth="1"/>
    <col min="20" max="20" width="5" customWidth="1"/>
    <col min="21" max="21" width="0.59765625" customWidth="1"/>
    <col min="22" max="22" width="3.3984375" style="1" customWidth="1"/>
    <col min="23" max="23" width="6.3984375" style="1" customWidth="1"/>
    <col min="24" max="26" width="15.3984375" style="1" customWidth="1"/>
    <col min="27" max="27" width="3.3984375" style="19" customWidth="1"/>
    <col min="28" max="31" width="10" hidden="1" customWidth="1"/>
    <col min="32" max="32" width="10.796875" hidden="1" customWidth="1"/>
    <col min="33" max="33" width="5.796875" hidden="1" customWidth="1"/>
    <col min="34" max="34" width="9" hidden="1" customWidth="1"/>
    <col min="35" max="35" width="8.59765625" hidden="1" customWidth="1"/>
    <col min="36" max="37" width="8.796875" hidden="1" customWidth="1"/>
  </cols>
  <sheetData>
    <row r="1" spans="2:31" x14ac:dyDescent="0.2"/>
    <row r="2" spans="2:31" ht="19" x14ac:dyDescent="0.2">
      <c r="B2" s="423" t="s">
        <v>0</v>
      </c>
      <c r="C2" s="423"/>
      <c r="D2" s="423"/>
      <c r="E2" s="423"/>
      <c r="F2" s="423"/>
      <c r="G2" s="423"/>
      <c r="H2" s="423"/>
      <c r="I2" s="423"/>
      <c r="J2" s="423"/>
      <c r="K2" s="423"/>
      <c r="L2" s="423"/>
      <c r="M2" s="423"/>
      <c r="N2" s="423"/>
      <c r="O2" s="423"/>
      <c r="P2" s="423"/>
      <c r="Q2" s="423"/>
      <c r="R2" s="423"/>
      <c r="S2" s="423"/>
      <c r="T2" s="423"/>
      <c r="U2" s="423"/>
      <c r="V2" s="419" t="s">
        <v>194</v>
      </c>
      <c r="W2" s="419"/>
      <c r="X2" s="419"/>
      <c r="Y2" s="419"/>
      <c r="Z2" s="419"/>
      <c r="AA2" s="13"/>
    </row>
    <row r="3" spans="2:31" ht="9.75" customHeight="1" x14ac:dyDescent="0.3">
      <c r="B3" s="406" t="s">
        <v>151</v>
      </c>
      <c r="C3" s="398" t="str">
        <f>IF(LEN(AircraftNumber)&lt;2,"",RIGHT(AircraftNumber,LEN(AircraftNumber)-1))</f>
        <v/>
      </c>
      <c r="D3" s="398"/>
      <c r="E3" s="398"/>
      <c r="F3" s="399" t="s">
        <v>113</v>
      </c>
      <c r="G3" s="399"/>
      <c r="H3" s="399"/>
      <c r="I3" s="424"/>
      <c r="J3" s="424"/>
      <c r="K3" s="424"/>
      <c r="L3" s="424"/>
      <c r="M3" s="424"/>
      <c r="N3" s="424"/>
      <c r="O3" s="424"/>
      <c r="P3" s="424"/>
      <c r="Q3" s="424"/>
      <c r="R3" s="424"/>
      <c r="S3" s="424"/>
      <c r="T3" s="424"/>
      <c r="U3" s="105"/>
      <c r="V3" s="169"/>
      <c r="W3" s="169"/>
      <c r="X3" s="183" t="s">
        <v>33</v>
      </c>
      <c r="Y3" s="183" t="s">
        <v>195</v>
      </c>
      <c r="Z3" s="183" t="s">
        <v>34</v>
      </c>
      <c r="AA3" s="14"/>
    </row>
    <row r="4" spans="2:31" s="3" customFormat="1" ht="9.75" customHeight="1" x14ac:dyDescent="0.3">
      <c r="B4" s="406"/>
      <c r="C4" s="398"/>
      <c r="D4" s="398"/>
      <c r="E4" s="398"/>
      <c r="F4" s="399"/>
      <c r="G4" s="399"/>
      <c r="H4" s="399"/>
      <c r="I4" s="424"/>
      <c r="J4" s="424"/>
      <c r="K4" s="424"/>
      <c r="L4" s="424"/>
      <c r="M4" s="424"/>
      <c r="N4" s="424"/>
      <c r="O4" s="424"/>
      <c r="P4" s="424"/>
      <c r="Q4" s="424"/>
      <c r="R4" s="424"/>
      <c r="S4" s="424"/>
      <c r="T4" s="424"/>
      <c r="U4" s="106"/>
      <c r="V4" s="389" t="s">
        <v>200</v>
      </c>
      <c r="W4" s="389"/>
      <c r="X4" s="386"/>
      <c r="Y4" s="386"/>
      <c r="Z4" s="386"/>
      <c r="AA4" s="384">
        <v>1</v>
      </c>
    </row>
    <row r="5" spans="2:31" ht="10.5" customHeight="1" x14ac:dyDescent="0.2">
      <c r="B5" s="425" t="str">
        <f>IF(OR(ISBLANK(DepartureAirportID),ISNA(DepartureAirportName),ISBLANK(DestinationAirportID),ISNA(DepartureAirportName)),"",CONCATENATE("FP: """,DepartureAirportFSSName," Radio, ",C3," receiving ",DepartureAirportFSSFreq,"…[Ack]…Request activate VFR flight plan to ",DestinationAirportName,". Off at XXX minutes past the hour, ",C3,""""))</f>
        <v/>
      </c>
      <c r="C5" s="425"/>
      <c r="D5" s="425"/>
      <c r="E5" s="425"/>
      <c r="F5" s="425"/>
      <c r="G5" s="425"/>
      <c r="H5" s="425"/>
      <c r="I5" s="425"/>
      <c r="J5" s="425"/>
      <c r="K5" s="425"/>
      <c r="L5" s="425"/>
      <c r="M5" s="425"/>
      <c r="N5" s="425"/>
      <c r="O5" s="425"/>
      <c r="P5" s="425"/>
      <c r="Q5" s="425"/>
      <c r="R5" s="425"/>
      <c r="S5" s="425"/>
      <c r="T5" s="425"/>
      <c r="U5" s="107"/>
      <c r="V5" s="389"/>
      <c r="W5" s="389"/>
      <c r="X5" s="386"/>
      <c r="Y5" s="386"/>
      <c r="Z5" s="386"/>
      <c r="AA5" s="384"/>
    </row>
    <row r="6" spans="2:31" ht="10.5" customHeight="1" x14ac:dyDescent="0.2">
      <c r="B6" s="400" t="str">
        <f>IF(OR(ISBLANK(DepartureAirportID),ISNA(DepartureAirportName),ISBLANK(DestinationAirportID),ISNA(DepartureAirportName)),"",CONCATENATE("FF: [ATC Name], ",C3," with request…[Ack]…Request VFR flight following to ",DestinationAirportName," for ",AircraftComment," currently [posn/alt.]. ",C3,""""))</f>
        <v/>
      </c>
      <c r="C6" s="400"/>
      <c r="D6" s="400"/>
      <c r="E6" s="400"/>
      <c r="F6" s="400"/>
      <c r="G6" s="400"/>
      <c r="H6" s="400"/>
      <c r="I6" s="400"/>
      <c r="J6" s="400"/>
      <c r="K6" s="400"/>
      <c r="L6" s="400"/>
      <c r="M6" s="400"/>
      <c r="N6" s="400"/>
      <c r="O6" s="400"/>
      <c r="P6" s="400"/>
      <c r="Q6" s="400"/>
      <c r="R6" s="400"/>
      <c r="S6" s="400"/>
      <c r="T6" s="400"/>
      <c r="U6" s="107"/>
      <c r="V6" s="389" t="s">
        <v>112</v>
      </c>
      <c r="W6" s="389"/>
      <c r="X6" s="386" t="e">
        <f>VLOOKUP(DepartureAirportID,AFDData,AA6,FALSE)</f>
        <v>#N/A</v>
      </c>
      <c r="Y6" s="386" t="e">
        <f>VLOOKUP(EnrouteAirportID,AFDData,AA6,FALSE)</f>
        <v>#N/A</v>
      </c>
      <c r="Z6" s="386" t="e">
        <f>VLOOKUP(DestinationAirportID,AFDData,AA6,FALSE)</f>
        <v>#N/A</v>
      </c>
      <c r="AA6" s="384">
        <v>2</v>
      </c>
      <c r="AC6" s="24"/>
    </row>
    <row r="7" spans="2:31" ht="10.5" customHeight="1" x14ac:dyDescent="0.2">
      <c r="B7" s="403"/>
      <c r="C7" s="403"/>
      <c r="D7" s="403"/>
      <c r="E7" s="403"/>
      <c r="F7" s="403"/>
      <c r="G7" s="403"/>
      <c r="H7" s="403"/>
      <c r="I7" s="403"/>
      <c r="J7" s="403"/>
      <c r="K7" s="403"/>
      <c r="L7" s="403"/>
      <c r="M7" s="403"/>
      <c r="N7" s="403"/>
      <c r="O7" s="403"/>
      <c r="P7" s="403"/>
      <c r="Q7" s="403"/>
      <c r="R7" s="403"/>
      <c r="S7" s="403"/>
      <c r="T7" s="403"/>
      <c r="U7" s="107"/>
      <c r="V7" s="389"/>
      <c r="W7" s="389"/>
      <c r="X7" s="386"/>
      <c r="Y7" s="386"/>
      <c r="Z7" s="386"/>
      <c r="AA7" s="384"/>
      <c r="AC7" s="24"/>
    </row>
    <row r="8" spans="2:31" ht="12" customHeight="1" x14ac:dyDescent="0.2">
      <c r="B8" s="403"/>
      <c r="C8" s="403"/>
      <c r="D8" s="403"/>
      <c r="E8" s="403"/>
      <c r="F8" s="403"/>
      <c r="G8" s="403"/>
      <c r="H8" s="403"/>
      <c r="I8" s="403"/>
      <c r="J8" s="403"/>
      <c r="K8" s="403"/>
      <c r="L8" s="403"/>
      <c r="M8" s="403"/>
      <c r="N8" s="403"/>
      <c r="O8" s="403"/>
      <c r="P8" s="403"/>
      <c r="Q8" s="403"/>
      <c r="R8" s="403"/>
      <c r="S8" s="403"/>
      <c r="T8" s="403"/>
      <c r="U8" s="107"/>
      <c r="V8" s="387" t="s">
        <v>206</v>
      </c>
      <c r="W8" s="387"/>
      <c r="X8" s="387"/>
      <c r="Y8" s="387"/>
      <c r="Z8" s="387"/>
      <c r="AA8" s="15"/>
      <c r="AC8" s="24"/>
    </row>
    <row r="9" spans="2:31" ht="10.5" customHeight="1" x14ac:dyDescent="0.2">
      <c r="B9" s="403"/>
      <c r="C9" s="403"/>
      <c r="D9" s="403"/>
      <c r="E9" s="403"/>
      <c r="F9" s="403"/>
      <c r="G9" s="403"/>
      <c r="H9" s="403"/>
      <c r="I9" s="403"/>
      <c r="J9" s="403"/>
      <c r="K9" s="403"/>
      <c r="L9" s="403"/>
      <c r="M9" s="403"/>
      <c r="N9" s="403"/>
      <c r="O9" s="403"/>
      <c r="P9" s="403"/>
      <c r="Q9" s="403"/>
      <c r="R9" s="403"/>
      <c r="S9" s="403"/>
      <c r="T9" s="403"/>
      <c r="U9" s="107"/>
      <c r="V9" s="388" t="s">
        <v>35</v>
      </c>
      <c r="W9" s="388"/>
      <c r="X9" s="386"/>
      <c r="Y9" s="386"/>
      <c r="Z9" s="386"/>
      <c r="AA9" s="385"/>
      <c r="AC9" s="24"/>
    </row>
    <row r="10" spans="2:31" ht="10.5" customHeight="1" x14ac:dyDescent="0.2">
      <c r="B10" s="403"/>
      <c r="C10" s="403"/>
      <c r="D10" s="403"/>
      <c r="E10" s="403"/>
      <c r="F10" s="403"/>
      <c r="G10" s="403"/>
      <c r="H10" s="403"/>
      <c r="I10" s="403"/>
      <c r="J10" s="403"/>
      <c r="K10" s="403"/>
      <c r="L10" s="403"/>
      <c r="M10" s="403"/>
      <c r="N10" s="403"/>
      <c r="O10" s="403"/>
      <c r="P10" s="403"/>
      <c r="Q10" s="403"/>
      <c r="R10" s="403"/>
      <c r="S10" s="403"/>
      <c r="T10" s="403"/>
      <c r="U10" s="107"/>
      <c r="V10" s="388"/>
      <c r="W10" s="388"/>
      <c r="X10" s="386"/>
      <c r="Y10" s="386"/>
      <c r="Z10" s="386"/>
      <c r="AA10" s="385"/>
      <c r="AC10" s="24"/>
    </row>
    <row r="11" spans="2:31" ht="10.5" customHeight="1" x14ac:dyDescent="0.2">
      <c r="B11" s="403"/>
      <c r="C11" s="403"/>
      <c r="D11" s="403"/>
      <c r="E11" s="403"/>
      <c r="F11" s="403"/>
      <c r="G11" s="403"/>
      <c r="H11" s="403"/>
      <c r="I11" s="403"/>
      <c r="J11" s="403"/>
      <c r="K11" s="403"/>
      <c r="L11" s="403"/>
      <c r="M11" s="403"/>
      <c r="N11" s="403"/>
      <c r="O11" s="403"/>
      <c r="P11" s="403"/>
      <c r="Q11" s="403"/>
      <c r="R11" s="403"/>
      <c r="S11" s="403"/>
      <c r="T11" s="403"/>
      <c r="U11" s="107"/>
      <c r="V11" s="388" t="s">
        <v>36</v>
      </c>
      <c r="W11" s="388"/>
      <c r="X11" s="386"/>
      <c r="Y11" s="386"/>
      <c r="Z11" s="386"/>
      <c r="AA11" s="384"/>
      <c r="AC11" s="24"/>
    </row>
    <row r="12" spans="2:31" ht="10.5" customHeight="1" x14ac:dyDescent="0.2">
      <c r="B12" s="403"/>
      <c r="C12" s="403"/>
      <c r="D12" s="403"/>
      <c r="E12" s="403"/>
      <c r="F12" s="403"/>
      <c r="G12" s="403"/>
      <c r="H12" s="403"/>
      <c r="I12" s="403"/>
      <c r="J12" s="403"/>
      <c r="K12" s="403"/>
      <c r="L12" s="403"/>
      <c r="M12" s="403"/>
      <c r="N12" s="403"/>
      <c r="O12" s="403"/>
      <c r="P12" s="403"/>
      <c r="Q12" s="403"/>
      <c r="R12" s="403"/>
      <c r="S12" s="403"/>
      <c r="T12" s="403"/>
      <c r="U12" s="107"/>
      <c r="V12" s="388"/>
      <c r="W12" s="388"/>
      <c r="X12" s="386"/>
      <c r="Y12" s="386"/>
      <c r="Z12" s="386"/>
      <c r="AA12" s="384"/>
    </row>
    <row r="13" spans="2:31" ht="10.5" customHeight="1" x14ac:dyDescent="0.2">
      <c r="B13" s="403"/>
      <c r="C13" s="403"/>
      <c r="D13" s="403"/>
      <c r="E13" s="403"/>
      <c r="F13" s="403"/>
      <c r="G13" s="403"/>
      <c r="H13" s="403"/>
      <c r="I13" s="403"/>
      <c r="J13" s="403"/>
      <c r="K13" s="403"/>
      <c r="L13" s="403"/>
      <c r="M13" s="403"/>
      <c r="N13" s="403"/>
      <c r="O13" s="403"/>
      <c r="P13" s="403"/>
      <c r="Q13" s="403"/>
      <c r="R13" s="403"/>
      <c r="S13" s="403"/>
      <c r="T13" s="403"/>
      <c r="U13" s="107"/>
      <c r="V13" s="388" t="s">
        <v>6</v>
      </c>
      <c r="W13" s="388"/>
      <c r="X13" s="386"/>
      <c r="Y13" s="386"/>
      <c r="Z13" s="386"/>
      <c r="AA13" s="384"/>
      <c r="AE13" s="25"/>
    </row>
    <row r="14" spans="2:31" ht="10.5" customHeight="1" x14ac:dyDescent="0.2">
      <c r="B14" s="403"/>
      <c r="C14" s="403"/>
      <c r="D14" s="403"/>
      <c r="E14" s="403"/>
      <c r="F14" s="403"/>
      <c r="G14" s="403"/>
      <c r="H14" s="403"/>
      <c r="I14" s="403"/>
      <c r="J14" s="403"/>
      <c r="K14" s="403"/>
      <c r="L14" s="403"/>
      <c r="M14" s="403"/>
      <c r="N14" s="403"/>
      <c r="O14" s="403"/>
      <c r="P14" s="403"/>
      <c r="Q14" s="403"/>
      <c r="R14" s="403"/>
      <c r="S14" s="403"/>
      <c r="T14" s="403"/>
      <c r="U14" s="107"/>
      <c r="V14" s="388"/>
      <c r="W14" s="388"/>
      <c r="X14" s="386"/>
      <c r="Y14" s="386"/>
      <c r="Z14" s="386"/>
      <c r="AA14" s="384"/>
    </row>
    <row r="15" spans="2:31" ht="20.25" customHeight="1" x14ac:dyDescent="0.2">
      <c r="B15" s="426" t="s">
        <v>42</v>
      </c>
      <c r="C15" s="120" t="s">
        <v>2</v>
      </c>
      <c r="D15" s="426" t="s">
        <v>23</v>
      </c>
      <c r="E15" s="405"/>
      <c r="F15" s="405" t="s">
        <v>5</v>
      </c>
      <c r="G15" s="418" t="s">
        <v>6</v>
      </c>
      <c r="H15" s="418"/>
      <c r="I15" s="388" t="s">
        <v>185</v>
      </c>
      <c r="J15" s="121"/>
      <c r="K15" s="405" t="s">
        <v>11</v>
      </c>
      <c r="L15" s="405" t="s">
        <v>13</v>
      </c>
      <c r="M15" s="405" t="s">
        <v>14</v>
      </c>
      <c r="N15" s="405" t="s">
        <v>15</v>
      </c>
      <c r="O15" s="120" t="s">
        <v>16</v>
      </c>
      <c r="P15" s="120" t="s">
        <v>17</v>
      </c>
      <c r="Q15" s="122"/>
      <c r="R15" s="405" t="s">
        <v>18</v>
      </c>
      <c r="S15" s="405"/>
      <c r="T15" s="123" t="s">
        <v>21</v>
      </c>
      <c r="U15" s="108"/>
      <c r="V15" s="388" t="s">
        <v>37</v>
      </c>
      <c r="W15" s="388"/>
      <c r="X15" s="170"/>
      <c r="Y15" s="171"/>
      <c r="Z15" s="171"/>
      <c r="AA15" s="14"/>
      <c r="AC15" s="4"/>
    </row>
    <row r="16" spans="2:31" ht="20.25" customHeight="1" x14ac:dyDescent="0.2">
      <c r="B16" s="426"/>
      <c r="C16" s="123" t="s">
        <v>3</v>
      </c>
      <c r="D16" s="405"/>
      <c r="E16" s="405"/>
      <c r="F16" s="405"/>
      <c r="G16" s="405" t="s">
        <v>7</v>
      </c>
      <c r="H16" s="405" t="s">
        <v>8</v>
      </c>
      <c r="I16" s="415"/>
      <c r="J16" s="124"/>
      <c r="K16" s="405"/>
      <c r="L16" s="405"/>
      <c r="M16" s="405"/>
      <c r="N16" s="405"/>
      <c r="O16" s="123" t="s">
        <v>26</v>
      </c>
      <c r="P16" s="123" t="s">
        <v>28</v>
      </c>
      <c r="Q16" s="125"/>
      <c r="R16" s="404"/>
      <c r="S16" s="404"/>
      <c r="T16" s="126"/>
      <c r="U16" s="108"/>
      <c r="V16" s="388" t="s">
        <v>210</v>
      </c>
      <c r="W16" s="388"/>
      <c r="X16" s="171"/>
      <c r="Y16" s="171"/>
      <c r="Z16" s="171"/>
      <c r="AA16" s="14"/>
    </row>
    <row r="17" spans="2:38" ht="20.25" customHeight="1" x14ac:dyDescent="0.2">
      <c r="B17" s="426"/>
      <c r="C17" s="123" t="s">
        <v>4</v>
      </c>
      <c r="D17" s="405"/>
      <c r="E17" s="405"/>
      <c r="F17" s="405"/>
      <c r="G17" s="405"/>
      <c r="H17" s="405"/>
      <c r="I17" s="127"/>
      <c r="J17" s="124"/>
      <c r="K17" s="414" t="s">
        <v>12</v>
      </c>
      <c r="L17" s="414" t="s">
        <v>24</v>
      </c>
      <c r="M17" s="414" t="s">
        <v>25</v>
      </c>
      <c r="N17" s="388" t="s">
        <v>272</v>
      </c>
      <c r="O17" s="123" t="s">
        <v>27</v>
      </c>
      <c r="P17" s="405" t="s">
        <v>29</v>
      </c>
      <c r="Q17" s="125"/>
      <c r="R17" s="123" t="s">
        <v>19</v>
      </c>
      <c r="S17" s="123" t="s">
        <v>20</v>
      </c>
      <c r="T17" s="123" t="s">
        <v>32</v>
      </c>
      <c r="U17" s="108"/>
      <c r="V17" s="411" t="s">
        <v>198</v>
      </c>
      <c r="W17" s="411"/>
      <c r="X17" s="411"/>
      <c r="Y17" s="411"/>
      <c r="Z17" s="411"/>
      <c r="AA17" s="16"/>
      <c r="AB17" s="23"/>
      <c r="AC17" s="23"/>
      <c r="AD17" s="23"/>
      <c r="AE17" s="23"/>
      <c r="AF17" s="23"/>
      <c r="AG17" s="23"/>
      <c r="AH17" s="23"/>
      <c r="AI17" s="23"/>
      <c r="AJ17" s="23"/>
      <c r="AK17" s="23"/>
    </row>
    <row r="18" spans="2:38" ht="20.25" customHeight="1" x14ac:dyDescent="0.2">
      <c r="B18" s="373" t="str">
        <f>IF(ISBLANK(DepartureAirportID),"",DepartureAirportName)</f>
        <v/>
      </c>
      <c r="C18" s="128"/>
      <c r="D18" s="405"/>
      <c r="E18" s="405"/>
      <c r="F18" s="405"/>
      <c r="G18" s="405" t="s">
        <v>9</v>
      </c>
      <c r="H18" s="405"/>
      <c r="I18" s="129" t="s">
        <v>10</v>
      </c>
      <c r="J18" s="124"/>
      <c r="K18" s="414"/>
      <c r="L18" s="414"/>
      <c r="M18" s="414"/>
      <c r="N18" s="388"/>
      <c r="O18" s="130">
        <f>SUM(ClimbDistance,O21,O23,O25,O27,O29,O31,O33,O35,O37,'Navigation Log 2'!O19,'Navigation Log 2'!O21,'Navigation Log 2'!O23,'Navigation Log 2'!O25,'Navigation Log 2'!O27,'Navigation Log 2'!O29,'Navigation Log 2'!O31,'Navigation Log 2'!O33,'Navigation Log 2'!O35,'Navigation Log 2'!O37)</f>
        <v>0</v>
      </c>
      <c r="P18" s="405"/>
      <c r="Q18" s="125"/>
      <c r="R18" s="123" t="s">
        <v>30</v>
      </c>
      <c r="S18" s="123" t="s">
        <v>31</v>
      </c>
      <c r="T18" s="123" t="s">
        <v>27</v>
      </c>
      <c r="U18" s="108"/>
      <c r="V18" s="388" t="s">
        <v>196</v>
      </c>
      <c r="W18" s="388"/>
      <c r="X18" s="172" t="e">
        <f>VLOOKUP(DepartureAirportID,AFDData,AA18,FALSE)</f>
        <v>#N/A</v>
      </c>
      <c r="Y18" s="172" t="e">
        <f t="shared" ref="Y18:Y34" si="0">VLOOKUP(EnrouteAirportID,AFDData,AA18,FALSE)</f>
        <v>#N/A</v>
      </c>
      <c r="Z18" s="172" t="e">
        <f t="shared" ref="Z18:Z35" si="1">VLOOKUP(DestinationAirportID,AFDData,AA18,FALSE)</f>
        <v>#N/A</v>
      </c>
      <c r="AA18" s="16" t="s">
        <v>308</v>
      </c>
      <c r="AB18" s="20" t="s">
        <v>165</v>
      </c>
      <c r="AC18" s="20" t="s">
        <v>170</v>
      </c>
      <c r="AD18" s="20" t="s">
        <v>166</v>
      </c>
      <c r="AE18" s="20" t="s">
        <v>167</v>
      </c>
      <c r="AF18" s="20" t="s">
        <v>168</v>
      </c>
      <c r="AG18" s="20" t="s">
        <v>11</v>
      </c>
      <c r="AH18" s="20" t="s">
        <v>171</v>
      </c>
      <c r="AI18" s="20" t="s">
        <v>172</v>
      </c>
      <c r="AJ18" s="20" t="s">
        <v>173</v>
      </c>
      <c r="AK18" s="20" t="s">
        <v>174</v>
      </c>
    </row>
    <row r="19" spans="2:38" ht="20.25" customHeight="1" x14ac:dyDescent="0.2">
      <c r="B19" s="373"/>
      <c r="C19" s="131"/>
      <c r="D19" s="116"/>
      <c r="E19" s="422"/>
      <c r="F19" s="413"/>
      <c r="G19" s="132"/>
      <c r="H19" s="133"/>
      <c r="I19" s="402"/>
      <c r="J19" s="134"/>
      <c r="K19" s="135" t="str">
        <f>IF(ISBLANK(E19),BlankCell,IF(NOT(AG19=-1),AG19,0))</f>
        <v xml:space="preserve"> </v>
      </c>
      <c r="L19" s="136" t="str">
        <f>IF(ISBLANK(E19),BlankCell,MOD(K19+K20,360))</f>
        <v xml:space="preserve"> </v>
      </c>
      <c r="M19" s="136" t="str">
        <f>IF(ISBLANK(E19),BlankCell,MOD(L19+L20,360))</f>
        <v xml:space="preserve"> </v>
      </c>
      <c r="N19" s="136" t="str">
        <f>IF(OR(ISBLANK(M20),M20=BlankCell,M20=""),BlankCell,MOD(M19+M20,360))</f>
        <v xml:space="preserve"> </v>
      </c>
      <c r="O19" s="137"/>
      <c r="P19" s="138" t="str">
        <f>IF(ISBLANK(E19),BlankCell,I19*COS(RADIANS(K20))+AE19)</f>
        <v xml:space="preserve"> </v>
      </c>
      <c r="Q19" s="134"/>
      <c r="R19" s="139" t="str">
        <f>IF(ISBLANK(E19),BlankCell,IF(I19&gt;0,(O19/P19)*60,0))</f>
        <v xml:space="preserve"> </v>
      </c>
      <c r="S19" s="140" t="str">
        <f>IF(OR(ISBLANK(E19),ISBLANK($R$16)),BlankCell,TimeOff+(R19/1440))</f>
        <v xml:space="preserve"> </v>
      </c>
      <c r="T19" s="139" t="str">
        <f>IF(ISBLANK(E19),BlankCell,CruiseFuelGPH*R19/60)</f>
        <v xml:space="preserve"> </v>
      </c>
      <c r="U19" s="109"/>
      <c r="V19" s="388" t="s">
        <v>41</v>
      </c>
      <c r="W19" s="388"/>
      <c r="X19" s="172" t="e">
        <f t="shared" ref="X19:X38" si="2">VLOOKUP(DepartureAirportID,AFDData,AA19,FALSE)</f>
        <v>#N/A</v>
      </c>
      <c r="Y19" s="172" t="e">
        <f t="shared" si="0"/>
        <v>#N/A</v>
      </c>
      <c r="Z19" s="172" t="e">
        <f t="shared" si="1"/>
        <v>#N/A</v>
      </c>
      <c r="AA19" s="16" t="s">
        <v>309</v>
      </c>
      <c r="AB19" s="21">
        <f>MOD(G19-180,360)</f>
        <v>180</v>
      </c>
      <c r="AC19" s="21" t="e">
        <f>K19-AB19</f>
        <v>#VALUE!</v>
      </c>
      <c r="AD19" s="21" t="e">
        <f>H19*SIN(RADIANS(AC19))</f>
        <v>#VALUE!</v>
      </c>
      <c r="AE19" s="21" t="e">
        <f>H19*COS(RADIANS(AC19))</f>
        <v>#VALUE!</v>
      </c>
      <c r="AF19" s="21" t="e">
        <f>IF(AND((LEN(E19)=4),OR(LEFT(E19,1)="O",LEFT(E19,1)="I"),OR(RIGHT(E19,3)="000",AND(VALUE(RIGHT(E19,3))&gt;=1,VALUE(RIGHT(E19,3))&lt;=359))),"Y","N")</f>
        <v>#VALUE!</v>
      </c>
      <c r="AG19" s="21">
        <f>IF(ISERROR(AF19),-1,IF(AF19="N",-1,IF(LEFT(E19,1)="I",MOD(VALUE(RIGHT(E19,3))-180-L20,360),MOD(VALUE(RIGHT(E19,3))-L20,360))))</f>
        <v>-1</v>
      </c>
      <c r="AH19" s="21" t="e">
        <f>MOD(IF(MOD(M19,30)&gt;=15,CEILING(M19,30),FLOOR(M19,30)),360)</f>
        <v>#VALUE!</v>
      </c>
      <c r="AI19" s="22" t="e">
        <f>IF(AH19=0,15,(AH19/30)+15)</f>
        <v>#VALUE!</v>
      </c>
      <c r="AJ19" s="21">
        <f>IF(LocatedAircraft="Yes",IF(ISBLANK(VLOOKUP(AircraftNumber,AircraftData,AI19,FALSE)),-1,VLOOKUP(AircraftNumber,AircraftData,AI19,FALSE)),-1)</f>
        <v>-1</v>
      </c>
      <c r="AK19" s="21" t="str">
        <f>IF(AJ19=-1,"NA",IF(AJ19-AH19&gt;180,(AJ19-AH19)-360,AJ19-AH19))</f>
        <v>NA</v>
      </c>
      <c r="AL19" s="4"/>
    </row>
    <row r="20" spans="2:38" ht="20.25" customHeight="1" x14ac:dyDescent="0.2">
      <c r="B20" s="407"/>
      <c r="C20" s="141" t="str">
        <f>IF(OR(ISBLANK(B20),ISBLANK(C18)),BlankCell,C18)</f>
        <v xml:space="preserve"> </v>
      </c>
      <c r="D20" s="116"/>
      <c r="E20" s="422"/>
      <c r="F20" s="413"/>
      <c r="G20" s="410" t="str">
        <f>IF(ISBLANK(E19),BlankCell,15)</f>
        <v xml:space="preserve"> </v>
      </c>
      <c r="H20" s="416"/>
      <c r="I20" s="402"/>
      <c r="J20" s="134"/>
      <c r="K20" s="142" t="str">
        <f>IF(ISBLANK(E19),BlankCell,IF(ISBLANK(I19),0,DEGREES(ASIN(AD19/I19))))</f>
        <v xml:space="preserve"> </v>
      </c>
      <c r="L20" s="143" t="str">
        <f>IF(ISBLANK(E19),BlankCell,L18)</f>
        <v xml:space="preserve"> </v>
      </c>
      <c r="M20" s="143" t="str">
        <f>IF(ISBLANK(E19),BlankCell,IF(AK19="NA","",AK19))</f>
        <v xml:space="preserve"> </v>
      </c>
      <c r="N20" s="136" t="str">
        <f>IF(OR(ISBLANK(E19),ISBLANK(I19)),"",CONCATENATE(TEXT(AD19,"00"),"/",TEXT(-AE19,"00")))</f>
        <v/>
      </c>
      <c r="O20" s="144" t="str">
        <f>IF(OR(ISBLANK(E19),TotalDistance=0),BlankCell,TotalDistance-O19)</f>
        <v xml:space="preserve"> </v>
      </c>
      <c r="P20" s="145"/>
      <c r="Q20" s="134"/>
      <c r="R20" s="139"/>
      <c r="S20" s="146"/>
      <c r="T20" s="144" t="str">
        <f>IF(ISBLANK(E19),BlankCell,UsableFuelGallons-T19)</f>
        <v xml:space="preserve"> </v>
      </c>
      <c r="U20" s="109"/>
      <c r="V20" s="388" t="s">
        <v>40</v>
      </c>
      <c r="W20" s="388"/>
      <c r="X20" s="172" t="e">
        <f t="shared" si="2"/>
        <v>#N/A</v>
      </c>
      <c r="Y20" s="172" t="e">
        <f t="shared" si="0"/>
        <v>#N/A</v>
      </c>
      <c r="Z20" s="172" t="e">
        <f t="shared" si="1"/>
        <v>#N/A</v>
      </c>
      <c r="AA20" s="16" t="s">
        <v>310</v>
      </c>
      <c r="AB20" s="20"/>
      <c r="AC20" s="20"/>
      <c r="AD20" s="20"/>
      <c r="AE20" s="20"/>
      <c r="AF20" s="20"/>
      <c r="AG20" s="20"/>
      <c r="AH20" s="20"/>
      <c r="AI20" s="20"/>
      <c r="AJ20" s="20"/>
      <c r="AK20" s="20"/>
    </row>
    <row r="21" spans="2:38" ht="20.25" customHeight="1" x14ac:dyDescent="0.2">
      <c r="B21" s="407"/>
      <c r="C21" s="147" t="str">
        <f>IF(OR(ISBLANK(B20),ISBLANK(C18)),BlankCell,C19)</f>
        <v xml:space="preserve"> </v>
      </c>
      <c r="D21" s="117"/>
      <c r="E21" s="421"/>
      <c r="F21" s="417" t="str">
        <f>IF(ISBLANK(E21),BlankCell,F19)</f>
        <v xml:space="preserve"> </v>
      </c>
      <c r="G21" s="148" t="str">
        <f>IF(ISBLANK(E21),BlankCell,G19)</f>
        <v xml:space="preserve"> </v>
      </c>
      <c r="H21" s="149" t="str">
        <f>IF(ISBLANK(E21),BlankCell,H19)</f>
        <v xml:space="preserve"> </v>
      </c>
      <c r="I21" s="401"/>
      <c r="J21" s="150"/>
      <c r="K21" s="151" t="str">
        <f>IF(ISBLANK(E21),BlankCell,IF(NOT(AG21=-1),AG21,0))</f>
        <v xml:space="preserve"> </v>
      </c>
      <c r="L21" s="152" t="str">
        <f>IF(ISBLANK(E21),BlankCell,MOD(K21+K22,360))</f>
        <v xml:space="preserve"> </v>
      </c>
      <c r="M21" s="152" t="str">
        <f>IF(ISBLANK(E21),BlankCell,MOD(L21+L22,360))</f>
        <v xml:space="preserve"> </v>
      </c>
      <c r="N21" s="152" t="str">
        <f>IF(OR(ISBLANK(M22),M22=BlankCell,M22=""),BlankCell,MOD(M21+M22,360))</f>
        <v xml:space="preserve"> </v>
      </c>
      <c r="O21" s="153"/>
      <c r="P21" s="154" t="str">
        <f>IF(ISBLANK(E21),BlankCell,I21*COS(RADIANS(K22))+AE21)</f>
        <v xml:space="preserve"> </v>
      </c>
      <c r="Q21" s="150"/>
      <c r="R21" s="155" t="str">
        <f>IF(ISBLANK(E21),BlankCell,IF(I21&gt;0,(O21/P21)*60,0))</f>
        <v xml:space="preserve"> </v>
      </c>
      <c r="S21" s="156" t="str">
        <f>IF(OR(ISBLANK(E21),ISBLANK($R$16)),BlankCell,S19+(R21/1440))</f>
        <v xml:space="preserve"> </v>
      </c>
      <c r="T21" s="155" t="str">
        <f>IF(ISBLANK(E21),BlankCell,CruiseFuelGPH*R21/60)</f>
        <v xml:space="preserve"> </v>
      </c>
      <c r="U21" s="109"/>
      <c r="V21" s="388" t="s">
        <v>202</v>
      </c>
      <c r="W21" s="388"/>
      <c r="X21" s="172" t="e">
        <f t="shared" si="2"/>
        <v>#N/A</v>
      </c>
      <c r="Y21" s="172" t="e">
        <f t="shared" si="0"/>
        <v>#N/A</v>
      </c>
      <c r="Z21" s="172" t="e">
        <f t="shared" si="1"/>
        <v>#N/A</v>
      </c>
      <c r="AA21" s="16" t="s">
        <v>311</v>
      </c>
      <c r="AB21" s="21" t="e">
        <f>MOD(G21-180,360)</f>
        <v>#VALUE!</v>
      </c>
      <c r="AC21" s="21" t="e">
        <f>K21-AB21</f>
        <v>#VALUE!</v>
      </c>
      <c r="AD21" s="21" t="e">
        <f>H21*SIN(RADIANS(AC21))</f>
        <v>#VALUE!</v>
      </c>
      <c r="AE21" s="21" t="e">
        <f>H21*COS(RADIANS(AC21))</f>
        <v>#VALUE!</v>
      </c>
      <c r="AF21" s="21" t="e">
        <f>IF(AND((LEN(E21)=4),OR(LEFT(E21,1)="O",LEFT(E21,1)="I"),OR(RIGHT(E21,3)="000",AND(VALUE(RIGHT(E21,3))&gt;=1,VALUE(RIGHT(E21,3))&lt;=359))),"Y","N")</f>
        <v>#VALUE!</v>
      </c>
      <c r="AG21" s="21">
        <f>IF(ISERROR(AF21),-1,IF(AF21="N",-1,IF(LEFT(E21,1)="I",MOD(VALUE(RIGHT(E21,3))-180-L22,360),MOD(VALUE(RIGHT(E21,3))-L22,360))))</f>
        <v>-1</v>
      </c>
      <c r="AH21" s="21" t="e">
        <f>MOD(IF(MOD(M21,30)&gt;=15,CEILING(M21,30),FLOOR(M21,30)),360)</f>
        <v>#VALUE!</v>
      </c>
      <c r="AI21" s="22" t="e">
        <f>IF(AH21=0,15,(AH21/30)+15)</f>
        <v>#VALUE!</v>
      </c>
      <c r="AJ21" s="21">
        <f>IF(LocatedAircraft="Yes",IF(ISBLANK(VLOOKUP(AircraftNumber,AircraftData,AI21,FALSE)),-1,VLOOKUP(AircraftNumber,AircraftData,AI21,FALSE)),-1)</f>
        <v>-1</v>
      </c>
      <c r="AK21" s="21" t="str">
        <f>IF(AJ21=-1,"NA",IF(AJ21-AH21&gt;180,(AJ21-AH21)-360,AJ21-AH21))</f>
        <v>NA</v>
      </c>
    </row>
    <row r="22" spans="2:38" ht="20.25" customHeight="1" thickBot="1" x14ac:dyDescent="0.25">
      <c r="B22" s="408"/>
      <c r="C22" s="157" t="str">
        <f>IF(OR(ISBLANK(B22),ISBLANK(C20)),BlankCell,C20)</f>
        <v xml:space="preserve"> </v>
      </c>
      <c r="D22" s="117"/>
      <c r="E22" s="421"/>
      <c r="F22" s="417"/>
      <c r="G22" s="409" t="str">
        <f>IF(ISBLANK(E21),BlankCell,G20)</f>
        <v xml:space="preserve"> </v>
      </c>
      <c r="H22" s="409"/>
      <c r="I22" s="401"/>
      <c r="J22" s="150"/>
      <c r="K22" s="158" t="str">
        <f>IF(ISBLANK(E21),BlankCell,IF(ISBLANK(I21),0,DEGREES(ASIN(AD21/I21))))</f>
        <v xml:space="preserve"> </v>
      </c>
      <c r="L22" s="159" t="str">
        <f>IF(ISBLANK(E21),BlankCell,L20)</f>
        <v xml:space="preserve"> </v>
      </c>
      <c r="M22" s="159" t="str">
        <f>IF(ISBLANK(E21),BlankCell,IF(AK21="NA","",AK21))</f>
        <v xml:space="preserve"> </v>
      </c>
      <c r="N22" s="152" t="str">
        <f>IF(OR(ISBLANK(E21),ISBLANK(I21)),"",CONCATENATE(TEXT(AD21,"00"),"/",TEXT(-AE21,"00")))</f>
        <v/>
      </c>
      <c r="O22" s="160" t="str">
        <f>IF(OR(ISBLANK(E21),TotalDistance=0),BlankCell,O20-O21)</f>
        <v xml:space="preserve"> </v>
      </c>
      <c r="P22" s="161"/>
      <c r="Q22" s="150"/>
      <c r="R22" s="155"/>
      <c r="S22" s="162"/>
      <c r="T22" s="160" t="str">
        <f>IF(ISBLANK(E21),BlankCell,T20-T21)</f>
        <v xml:space="preserve"> </v>
      </c>
      <c r="U22" s="109"/>
      <c r="V22" s="412" t="s">
        <v>38</v>
      </c>
      <c r="W22" s="412"/>
      <c r="X22" s="173" t="e">
        <f t="shared" si="2"/>
        <v>#N/A</v>
      </c>
      <c r="Y22" s="173" t="e">
        <f t="shared" si="0"/>
        <v>#N/A</v>
      </c>
      <c r="Z22" s="173" t="e">
        <f t="shared" si="1"/>
        <v>#N/A</v>
      </c>
      <c r="AA22" s="16" t="s">
        <v>312</v>
      </c>
      <c r="AB22" s="20"/>
      <c r="AC22" s="20"/>
      <c r="AD22" s="20"/>
      <c r="AE22" s="20"/>
      <c r="AF22" s="20"/>
      <c r="AG22" s="20"/>
      <c r="AH22" s="20"/>
      <c r="AI22" s="20"/>
      <c r="AJ22" s="20"/>
      <c r="AK22" s="20"/>
    </row>
    <row r="23" spans="2:38" ht="20.25" customHeight="1" x14ac:dyDescent="0.2">
      <c r="B23" s="408"/>
      <c r="C23" s="131" t="str">
        <f>IF(OR(ISBLANK(B22),ISBLANK(C20)),BlankCell,C21)</f>
        <v xml:space="preserve"> </v>
      </c>
      <c r="D23" s="116"/>
      <c r="E23" s="422"/>
      <c r="F23" s="413" t="str">
        <f>IF(ISBLANK(E23),BlankCell,F21)</f>
        <v xml:space="preserve"> </v>
      </c>
      <c r="G23" s="132" t="str">
        <f>IF(ISBLANK(E23),BlankCell,G21)</f>
        <v xml:space="preserve"> </v>
      </c>
      <c r="H23" s="133" t="str">
        <f>IF(ISBLANK(E23),BlankCell,H21)</f>
        <v xml:space="preserve"> </v>
      </c>
      <c r="I23" s="402" t="str">
        <f>IF(ISBLANK(E23),BlankCell,I21)</f>
        <v xml:space="preserve"> </v>
      </c>
      <c r="J23" s="134"/>
      <c r="K23" s="135" t="str">
        <f>IF(ISBLANK(E23),BlankCell,IF(NOT(AG23=-1),AG23,0))</f>
        <v xml:space="preserve"> </v>
      </c>
      <c r="L23" s="136" t="str">
        <f>IF(ISBLANK(E23),BlankCell,MOD(K23+K24,360))</f>
        <v xml:space="preserve"> </v>
      </c>
      <c r="M23" s="136" t="str">
        <f>IF(ISBLANK(E23),BlankCell,MOD(L23+L24,360))</f>
        <v xml:space="preserve"> </v>
      </c>
      <c r="N23" s="136" t="str">
        <f>IF(OR(ISBLANK(M24),M24=BlankCell,M24=""),BlankCell,MOD(M23+M24,360))</f>
        <v xml:space="preserve"> </v>
      </c>
      <c r="O23" s="137"/>
      <c r="P23" s="138" t="str">
        <f>IF(ISBLANK(E23),BlankCell,I23*COS(RADIANS(K24))+AE23)</f>
        <v xml:space="preserve"> </v>
      </c>
      <c r="Q23" s="134"/>
      <c r="R23" s="139" t="str">
        <f>IF(ISBLANK(E23),BlankCell,IF(I23&gt;0,(O23/P23)*60,0))</f>
        <v xml:space="preserve"> </v>
      </c>
      <c r="S23" s="140" t="str">
        <f>IF(OR(ISBLANK(E23),ISBLANK($R$16)),BlankCell,S21+(R23/1440))</f>
        <v xml:space="preserve"> </v>
      </c>
      <c r="T23" s="139" t="str">
        <f>IF(ISBLANK(E23),BlankCell,CruiseFuelGPH*R23/60)</f>
        <v xml:space="preserve"> </v>
      </c>
      <c r="U23" s="109"/>
      <c r="V23" s="395" t="s">
        <v>39</v>
      </c>
      <c r="W23" s="174" t="s">
        <v>212</v>
      </c>
      <c r="X23" s="175" t="e">
        <f t="shared" si="2"/>
        <v>#N/A</v>
      </c>
      <c r="Y23" s="175" t="e">
        <f t="shared" si="0"/>
        <v>#N/A</v>
      </c>
      <c r="Z23" s="175" t="e">
        <f t="shared" si="1"/>
        <v>#N/A</v>
      </c>
      <c r="AA23" s="16" t="s">
        <v>313</v>
      </c>
      <c r="AB23" s="21" t="e">
        <f>MOD(G23-180,360)</f>
        <v>#VALUE!</v>
      </c>
      <c r="AC23" s="21" t="e">
        <f>K23-AB23</f>
        <v>#VALUE!</v>
      </c>
      <c r="AD23" s="21" t="e">
        <f>H23*SIN(RADIANS(AC23))</f>
        <v>#VALUE!</v>
      </c>
      <c r="AE23" s="21" t="e">
        <f>H23*COS(RADIANS(AC23))</f>
        <v>#VALUE!</v>
      </c>
      <c r="AF23" s="21" t="e">
        <f>IF(AND((LEN(E23)=4),OR(LEFT(E23,1)="O",LEFT(E23,1)="I"),OR(RIGHT(E23,3)="000",AND(VALUE(RIGHT(E23,3))&gt;=1,VALUE(RIGHT(E23,3))&lt;=359))),"Y","N")</f>
        <v>#VALUE!</v>
      </c>
      <c r="AG23" s="21">
        <f>IF(ISERROR(AF23),-1,IF(AF23="N",-1,IF(LEFT(E23,1)="I",MOD(VALUE(RIGHT(E23,3))-180-L24,360),MOD(VALUE(RIGHT(E23,3))-L24,360))))</f>
        <v>-1</v>
      </c>
      <c r="AH23" s="21" t="e">
        <f>MOD(IF(MOD(M23,30)&gt;=15,CEILING(M23,30),FLOOR(M23,30)),360)</f>
        <v>#VALUE!</v>
      </c>
      <c r="AI23" s="22" t="e">
        <f>IF(AH23=0,15,(AH23/30)+15)</f>
        <v>#VALUE!</v>
      </c>
      <c r="AJ23" s="21">
        <f>IF(LocatedAircraft="Yes",IF(ISBLANK(VLOOKUP(AircraftNumber,AircraftData,AI23,FALSE)),-1,VLOOKUP(AircraftNumber,AircraftData,AI23,FALSE)),-1)</f>
        <v>-1</v>
      </c>
      <c r="AK23" s="21" t="str">
        <f>IF(AJ23=-1,"NA",IF(AJ23-AH23&gt;180,(AJ23-AH23)-360,AJ23-AH23))</f>
        <v>NA</v>
      </c>
    </row>
    <row r="24" spans="2:38" ht="20.25" customHeight="1" x14ac:dyDescent="0.2">
      <c r="B24" s="407"/>
      <c r="C24" s="141" t="str">
        <f>IF(OR(ISBLANK(B24),ISBLANK(C22)),BlankCell,C22)</f>
        <v xml:space="preserve"> </v>
      </c>
      <c r="D24" s="116"/>
      <c r="E24" s="422"/>
      <c r="F24" s="413"/>
      <c r="G24" s="410" t="str">
        <f>IF(ISBLANK(E23),BlankCell,G22)</f>
        <v xml:space="preserve"> </v>
      </c>
      <c r="H24" s="410"/>
      <c r="I24" s="402"/>
      <c r="J24" s="134"/>
      <c r="K24" s="142" t="str">
        <f>IF(ISBLANK(E23),BlankCell,IF(ISBLANK(I23),0,DEGREES(ASIN(AD23/I23))))</f>
        <v xml:space="preserve"> </v>
      </c>
      <c r="L24" s="143" t="str">
        <f>IF(ISBLANK(E23),BlankCell,L22)</f>
        <v xml:space="preserve"> </v>
      </c>
      <c r="M24" s="143" t="str">
        <f>IF(ISBLANK(E23),BlankCell,IF(AK23="NA","",AK23))</f>
        <v xml:space="preserve"> </v>
      </c>
      <c r="N24" s="136" t="str">
        <f>IF(OR(ISBLANK(E23),ISBLANK(I23)),"",CONCATENATE(TEXT(AD23,"00"),"/",TEXT(-AE23,"00")))</f>
        <v/>
      </c>
      <c r="O24" s="144" t="str">
        <f>IF(OR(ISBLANK(E23),TotalDistance=0),BlankCell,O22-O23)</f>
        <v xml:space="preserve"> </v>
      </c>
      <c r="P24" s="145"/>
      <c r="Q24" s="134"/>
      <c r="R24" s="139"/>
      <c r="S24" s="146"/>
      <c r="T24" s="144" t="str">
        <f>IF(ISBLANK(E23),BlankCell,T22-T23)</f>
        <v xml:space="preserve"> </v>
      </c>
      <c r="U24" s="109"/>
      <c r="V24" s="396"/>
      <c r="W24" s="388" t="s">
        <v>207</v>
      </c>
      <c r="X24" s="172" t="e">
        <f t="shared" si="2"/>
        <v>#N/A</v>
      </c>
      <c r="Y24" s="172" t="e">
        <f t="shared" si="0"/>
        <v>#N/A</v>
      </c>
      <c r="Z24" s="172" t="e">
        <f t="shared" si="1"/>
        <v>#N/A</v>
      </c>
      <c r="AA24" s="16" t="s">
        <v>314</v>
      </c>
      <c r="AB24" s="20"/>
      <c r="AC24" s="20"/>
      <c r="AD24" s="20"/>
      <c r="AE24" s="20"/>
      <c r="AF24" s="20"/>
      <c r="AG24" s="20"/>
      <c r="AH24" s="20"/>
      <c r="AI24" s="20"/>
      <c r="AJ24" s="20"/>
      <c r="AK24" s="20"/>
    </row>
    <row r="25" spans="2:38" ht="20.25" customHeight="1" thickBot="1" x14ac:dyDescent="0.25">
      <c r="B25" s="407"/>
      <c r="C25" s="147" t="str">
        <f>IF(OR(ISBLANK(B24),ISBLANK(C22)),BlankCell,C23)</f>
        <v xml:space="preserve"> </v>
      </c>
      <c r="D25" s="117"/>
      <c r="E25" s="421"/>
      <c r="F25" s="417" t="str">
        <f>IF(ISBLANK(E25),BlankCell,F23)</f>
        <v xml:space="preserve"> </v>
      </c>
      <c r="G25" s="148" t="str">
        <f>IF(ISBLANK(E25),BlankCell,G23)</f>
        <v xml:space="preserve"> </v>
      </c>
      <c r="H25" s="149" t="str">
        <f>IF(ISBLANK(E25),BlankCell,H23)</f>
        <v xml:space="preserve"> </v>
      </c>
      <c r="I25" s="401" t="str">
        <f>IF(ISBLANK(E25),BlankCell,I23)</f>
        <v xml:space="preserve"> </v>
      </c>
      <c r="J25" s="150"/>
      <c r="K25" s="151" t="str">
        <f>IF(ISBLANK(E25),BlankCell,IF(NOT(AG25=-1),AG25,0))</f>
        <v xml:space="preserve"> </v>
      </c>
      <c r="L25" s="152" t="str">
        <f>IF(ISBLANK(E25),BlankCell,MOD(K25+K26,360))</f>
        <v xml:space="preserve"> </v>
      </c>
      <c r="M25" s="152" t="str">
        <f>IF(ISBLANK(E25),BlankCell,MOD(L25+L26,360))</f>
        <v xml:space="preserve"> </v>
      </c>
      <c r="N25" s="152" t="str">
        <f>IF(OR(ISBLANK(M26),M26=BlankCell,M26=""),BlankCell,MOD(M25+M26,360))</f>
        <v xml:space="preserve"> </v>
      </c>
      <c r="O25" s="153"/>
      <c r="P25" s="154" t="str">
        <f>IF(ISBLANK(E25),BlankCell,I25*COS(RADIANS(K26))+AE25)</f>
        <v xml:space="preserve"> </v>
      </c>
      <c r="Q25" s="150"/>
      <c r="R25" s="155" t="str">
        <f>IF(ISBLANK(E25),BlankCell,IF(I25&gt;0,(O25/P25)*60,0))</f>
        <v xml:space="preserve"> </v>
      </c>
      <c r="S25" s="156" t="str">
        <f>IF(OR(ISBLANK(E25),ISBLANK($R$16)),BlankCell,S23+(R25/1440))</f>
        <v xml:space="preserve"> </v>
      </c>
      <c r="T25" s="155" t="str">
        <f>IF(ISBLANK(E25),BlankCell,CruiseFuelGPH*R25/60)</f>
        <v xml:space="preserve"> </v>
      </c>
      <c r="U25" s="109"/>
      <c r="V25" s="397"/>
      <c r="W25" s="392"/>
      <c r="X25" s="176" t="e">
        <f t="shared" si="2"/>
        <v>#N/A</v>
      </c>
      <c r="Y25" s="176" t="e">
        <f t="shared" si="0"/>
        <v>#N/A</v>
      </c>
      <c r="Z25" s="176" t="e">
        <f t="shared" si="1"/>
        <v>#N/A</v>
      </c>
      <c r="AA25" s="16" t="s">
        <v>315</v>
      </c>
      <c r="AB25" s="21" t="e">
        <f>MOD(G25-180,360)</f>
        <v>#VALUE!</v>
      </c>
      <c r="AC25" s="21" t="e">
        <f>K25-AB25</f>
        <v>#VALUE!</v>
      </c>
      <c r="AD25" s="21" t="e">
        <f>H25*SIN(RADIANS(AC25))</f>
        <v>#VALUE!</v>
      </c>
      <c r="AE25" s="21" t="e">
        <f>H25*COS(RADIANS(AC25))</f>
        <v>#VALUE!</v>
      </c>
      <c r="AF25" s="21" t="e">
        <f>IF(AND((LEN(E25)=4),OR(LEFT(E25,1)="O",LEFT(E25,1)="I"),OR(RIGHT(E25,3)="000",AND(VALUE(RIGHT(E25,3))&gt;=1,VALUE(RIGHT(E25,3))&lt;=359))),"Y","N")</f>
        <v>#VALUE!</v>
      </c>
      <c r="AG25" s="21">
        <f>IF(ISERROR(AF25),-1,IF(AF25="N",-1,IF(LEFT(E25,1)="I",MOD(VALUE(RIGHT(E25,3))-180-L26,360),MOD(VALUE(RIGHT(E25,3))-L26,360))))</f>
        <v>-1</v>
      </c>
      <c r="AH25" s="21" t="e">
        <f>MOD(IF(MOD(M25,30)&gt;=15,CEILING(M25,30),FLOOR(M25,30)),360)</f>
        <v>#VALUE!</v>
      </c>
      <c r="AI25" s="22" t="e">
        <f>IF(AH25=0,15,(AH25/30)+15)</f>
        <v>#VALUE!</v>
      </c>
      <c r="AJ25" s="21">
        <f>IF(LocatedAircraft="Yes",IF(ISBLANK(VLOOKUP(AircraftNumber,AircraftData,AI25,FALSE)),-1,VLOOKUP(AircraftNumber,AircraftData,AI25,FALSE)),-1)</f>
        <v>-1</v>
      </c>
      <c r="AK25" s="21" t="str">
        <f>IF(AJ25=-1,"NA",IF(AJ25-AH25&gt;180,(AJ25-AH25)-360,AJ25-AH25))</f>
        <v>NA</v>
      </c>
    </row>
    <row r="26" spans="2:38" ht="20.25" customHeight="1" x14ac:dyDescent="0.2">
      <c r="B26" s="408"/>
      <c r="C26" s="157" t="str">
        <f>IF(OR(ISBLANK(B26),ISBLANK(C24)),BlankCell,C24)</f>
        <v xml:space="preserve"> </v>
      </c>
      <c r="D26" s="117"/>
      <c r="E26" s="421"/>
      <c r="F26" s="417"/>
      <c r="G26" s="409" t="str">
        <f>IF(ISBLANK(E25),BlankCell,G24)</f>
        <v xml:space="preserve"> </v>
      </c>
      <c r="H26" s="409"/>
      <c r="I26" s="401"/>
      <c r="J26" s="150"/>
      <c r="K26" s="158" t="str">
        <f>IF(ISBLANK(E25),BlankCell,IF(ISBLANK(I25),0,DEGREES(ASIN(AD25/I25))))</f>
        <v xml:space="preserve"> </v>
      </c>
      <c r="L26" s="159" t="str">
        <f>IF(ISBLANK(E25),BlankCell,L24)</f>
        <v xml:space="preserve"> </v>
      </c>
      <c r="M26" s="159" t="str">
        <f>IF(ISBLANK(E25),BlankCell,IF(AK25="NA","",AK25))</f>
        <v xml:space="preserve"> </v>
      </c>
      <c r="N26" s="152" t="str">
        <f>IF(OR(ISBLANK(E25),ISBLANK(I25)),"",CONCATENATE(TEXT(AD25,"00"),"/",TEXT(-AE25,"00")))</f>
        <v/>
      </c>
      <c r="O26" s="160" t="str">
        <f>IF(OR(ISBLANK(E25),TotalDistance=0),BlankCell,O24-O25)</f>
        <v xml:space="preserve"> </v>
      </c>
      <c r="P26" s="161"/>
      <c r="Q26" s="150"/>
      <c r="R26" s="155"/>
      <c r="S26" s="162"/>
      <c r="T26" s="160" t="str">
        <f>IF(ISBLANK(E25),BlankCell,T24-T25)</f>
        <v xml:space="preserve"> </v>
      </c>
      <c r="U26" s="109"/>
      <c r="V26" s="395" t="s">
        <v>201</v>
      </c>
      <c r="W26" s="174" t="s">
        <v>199</v>
      </c>
      <c r="X26" s="175" t="e">
        <f t="shared" si="2"/>
        <v>#N/A</v>
      </c>
      <c r="Y26" s="175" t="e">
        <f t="shared" si="0"/>
        <v>#N/A</v>
      </c>
      <c r="Z26" s="175" t="e">
        <f t="shared" si="1"/>
        <v>#N/A</v>
      </c>
      <c r="AA26" s="16" t="s">
        <v>316</v>
      </c>
      <c r="AB26" s="20"/>
      <c r="AC26" s="20"/>
      <c r="AD26" s="20"/>
      <c r="AE26" s="20"/>
      <c r="AF26" s="20"/>
      <c r="AG26" s="20"/>
      <c r="AH26" s="20"/>
      <c r="AI26" s="20"/>
      <c r="AJ26" s="20"/>
      <c r="AK26" s="20"/>
    </row>
    <row r="27" spans="2:38" ht="20.25" customHeight="1" x14ac:dyDescent="0.2">
      <c r="B27" s="408"/>
      <c r="C27" s="131" t="str">
        <f>IF(OR(ISBLANK(B26),ISBLANK(C24)),BlankCell,C25)</f>
        <v xml:space="preserve"> </v>
      </c>
      <c r="D27" s="116"/>
      <c r="E27" s="422"/>
      <c r="F27" s="413" t="str">
        <f>IF(ISBLANK(E27),BlankCell,F25)</f>
        <v xml:space="preserve"> </v>
      </c>
      <c r="G27" s="132" t="str">
        <f>IF(ISBLANK(E27),BlankCell,G25)</f>
        <v xml:space="preserve"> </v>
      </c>
      <c r="H27" s="133" t="str">
        <f>IF(ISBLANK(E27),BlankCell,H25)</f>
        <v xml:space="preserve"> </v>
      </c>
      <c r="I27" s="402" t="str">
        <f>IF(ISBLANK(E27),BlankCell,I25)</f>
        <v xml:space="preserve"> </v>
      </c>
      <c r="J27" s="134"/>
      <c r="K27" s="135" t="str">
        <f>IF(ISBLANK(E27),BlankCell,IF(NOT(AG27=-1),AG27,0))</f>
        <v xml:space="preserve"> </v>
      </c>
      <c r="L27" s="136" t="str">
        <f>IF(ISBLANK(E27),BlankCell,MOD(K27+K28,360))</f>
        <v xml:space="preserve"> </v>
      </c>
      <c r="M27" s="136" t="str">
        <f>IF(ISBLANK(E27),BlankCell,MOD(L27+L28,360))</f>
        <v xml:space="preserve"> </v>
      </c>
      <c r="N27" s="136" t="str">
        <f>IF(OR(ISBLANK(M28),M28=BlankCell,M28=""),BlankCell,MOD(M27+M28,360))</f>
        <v xml:space="preserve"> </v>
      </c>
      <c r="O27" s="137"/>
      <c r="P27" s="138" t="str">
        <f>IF(ISBLANK(E27),BlankCell,I27*COS(RADIANS(K28))+AE27)</f>
        <v xml:space="preserve"> </v>
      </c>
      <c r="Q27" s="134"/>
      <c r="R27" s="139" t="str">
        <f>IF(ISBLANK(E27),BlankCell,IF(I27&gt;0,(O27/P27)*60,0))</f>
        <v xml:space="preserve"> </v>
      </c>
      <c r="S27" s="140" t="str">
        <f>IF(OR(ISBLANK(E27),ISBLANK($R$16)),BlankCell,S25+(R27/1440))</f>
        <v xml:space="preserve"> </v>
      </c>
      <c r="T27" s="139" t="str">
        <f>IF(ISBLANK(E27),BlankCell,CruiseFuelGPH*R27/60)</f>
        <v xml:space="preserve"> </v>
      </c>
      <c r="U27" s="109"/>
      <c r="V27" s="396"/>
      <c r="W27" s="177" t="s">
        <v>212</v>
      </c>
      <c r="X27" s="170" t="e">
        <f t="shared" ref="X27:X33" si="3">VLOOKUP(DepartureAirportID,AFDData,AA27,FALSE)</f>
        <v>#N/A</v>
      </c>
      <c r="Y27" s="170" t="e">
        <f t="shared" ref="Y27:Y33" si="4">VLOOKUP(EnrouteAirportID,AFDData,AA27,FALSE)</f>
        <v>#N/A</v>
      </c>
      <c r="Z27" s="170" t="e">
        <f t="shared" si="1"/>
        <v>#N/A</v>
      </c>
      <c r="AA27" s="16" t="s">
        <v>317</v>
      </c>
      <c r="AB27" s="21" t="e">
        <f>MOD(G27-180,360)</f>
        <v>#VALUE!</v>
      </c>
      <c r="AC27" s="21" t="e">
        <f>K27-AB27</f>
        <v>#VALUE!</v>
      </c>
      <c r="AD27" s="21" t="e">
        <f>H27*SIN(RADIANS(AC27))</f>
        <v>#VALUE!</v>
      </c>
      <c r="AE27" s="21" t="e">
        <f>H27*COS(RADIANS(AC27))</f>
        <v>#VALUE!</v>
      </c>
      <c r="AF27" s="21" t="e">
        <f>IF(AND((LEN(E27)=4),OR(LEFT(E27,1)="O",LEFT(E27,1)="I"),OR(RIGHT(E27,3)="000",AND(VALUE(RIGHT(E27,3))&gt;=1,VALUE(RIGHT(E27,3))&lt;=359))),"Y","N")</f>
        <v>#VALUE!</v>
      </c>
      <c r="AG27" s="21">
        <f>IF(ISERROR(AF27),-1,IF(AF27="N",-1,IF(LEFT(E27,1)="I",MOD(VALUE(RIGHT(E27,3))-180-L28,360),MOD(VALUE(RIGHT(E27,3))-L28,360))))</f>
        <v>-1</v>
      </c>
      <c r="AH27" s="21" t="e">
        <f>MOD(IF(MOD(M27,30)&gt;=15,CEILING(M27,30),FLOOR(M27,30)),360)</f>
        <v>#VALUE!</v>
      </c>
      <c r="AI27" s="22" t="e">
        <f>IF(AH27=0,15,(AH27/30)+15)</f>
        <v>#VALUE!</v>
      </c>
      <c r="AJ27" s="21">
        <f>IF(LocatedAircraft="Yes",IF(ISBLANK(VLOOKUP(AircraftNumber,AircraftData,AI27,FALSE)),-1,VLOOKUP(AircraftNumber,AircraftData,AI27,FALSE)),-1)</f>
        <v>-1</v>
      </c>
      <c r="AK27" s="21" t="str">
        <f>IF(AJ27=-1,"NA",IF(AJ27-AH27&gt;180,(AJ27-AH27)-360,AJ27-AH27))</f>
        <v>NA</v>
      </c>
    </row>
    <row r="28" spans="2:38" ht="20.25" customHeight="1" x14ac:dyDescent="0.2">
      <c r="B28" s="407"/>
      <c r="C28" s="141" t="str">
        <f>IF(OR(ISBLANK(B28),ISBLANK(C26)),BlankCell,C26)</f>
        <v xml:space="preserve"> </v>
      </c>
      <c r="D28" s="116"/>
      <c r="E28" s="422"/>
      <c r="F28" s="413"/>
      <c r="G28" s="410" t="str">
        <f>IF(ISBLANK(E27),BlankCell,G26)</f>
        <v xml:space="preserve"> </v>
      </c>
      <c r="H28" s="410"/>
      <c r="I28" s="402"/>
      <c r="J28" s="134"/>
      <c r="K28" s="142" t="str">
        <f>IF(ISBLANK(E27),BlankCell,IF(ISBLANK(I27),0,DEGREES(ASIN(AD27/I27))))</f>
        <v xml:space="preserve"> </v>
      </c>
      <c r="L28" s="143" t="str">
        <f>IF(ISBLANK(E27),BlankCell,L26)</f>
        <v xml:space="preserve"> </v>
      </c>
      <c r="M28" s="143" t="str">
        <f>IF(ISBLANK(E27),BlankCell,IF(AK27="NA","",AK27))</f>
        <v xml:space="preserve"> </v>
      </c>
      <c r="N28" s="136" t="str">
        <f>IF(OR(ISBLANK(E27),ISBLANK(I27)),"",CONCATENATE(TEXT(AD27,"00"),"/",TEXT(-AE27,"00")))</f>
        <v/>
      </c>
      <c r="O28" s="144" t="str">
        <f>IF(OR(ISBLANK(E27),TotalDistance=0),BlankCell,O26-O27)</f>
        <v xml:space="preserve"> </v>
      </c>
      <c r="P28" s="145"/>
      <c r="Q28" s="134"/>
      <c r="R28" s="139"/>
      <c r="S28" s="146"/>
      <c r="T28" s="144" t="str">
        <f>IF(ISBLANK(E27),BlankCell,T26-T27)</f>
        <v xml:space="preserve"> </v>
      </c>
      <c r="U28" s="109"/>
      <c r="V28" s="396"/>
      <c r="W28" s="388" t="s">
        <v>207</v>
      </c>
      <c r="X28" s="172" t="e">
        <f t="shared" si="3"/>
        <v>#N/A</v>
      </c>
      <c r="Y28" s="172" t="e">
        <f t="shared" si="4"/>
        <v>#N/A</v>
      </c>
      <c r="Z28" s="172" t="e">
        <f t="shared" si="1"/>
        <v>#N/A</v>
      </c>
      <c r="AA28" s="17">
        <v>13</v>
      </c>
      <c r="AB28" s="20"/>
      <c r="AC28" s="20"/>
      <c r="AD28" s="20"/>
      <c r="AE28" s="20"/>
      <c r="AF28" s="20"/>
      <c r="AG28" s="20"/>
      <c r="AH28" s="20"/>
      <c r="AI28" s="20"/>
      <c r="AJ28" s="20"/>
      <c r="AK28" s="20"/>
    </row>
    <row r="29" spans="2:38" ht="20.25" customHeight="1" thickBot="1" x14ac:dyDescent="0.25">
      <c r="B29" s="407"/>
      <c r="C29" s="147" t="str">
        <f>IF(OR(ISBLANK(B28),ISBLANK(C26)),BlankCell,C27)</f>
        <v xml:space="preserve"> </v>
      </c>
      <c r="D29" s="117"/>
      <c r="E29" s="421"/>
      <c r="F29" s="417" t="str">
        <f>IF(ISBLANK(E29),BlankCell,F27)</f>
        <v xml:space="preserve"> </v>
      </c>
      <c r="G29" s="148" t="str">
        <f>IF(ISBLANK(E29),BlankCell,G27)</f>
        <v xml:space="preserve"> </v>
      </c>
      <c r="H29" s="149" t="str">
        <f>IF(ISBLANK(E29),BlankCell,H27)</f>
        <v xml:space="preserve"> </v>
      </c>
      <c r="I29" s="401" t="str">
        <f>IF(ISBLANK(E29),BlankCell,I27)</f>
        <v xml:space="preserve"> </v>
      </c>
      <c r="J29" s="150"/>
      <c r="K29" s="151" t="str">
        <f>IF(ISBLANK(E29),BlankCell,IF(NOT(AG29=-1),AG29,0))</f>
        <v xml:space="preserve"> </v>
      </c>
      <c r="L29" s="152" t="str">
        <f>IF(ISBLANK(E29),BlankCell,MOD(K29+K30,360))</f>
        <v xml:space="preserve"> </v>
      </c>
      <c r="M29" s="152" t="str">
        <f>IF(ISBLANK(E29),BlankCell,MOD(L29+L30,360))</f>
        <v xml:space="preserve"> </v>
      </c>
      <c r="N29" s="152" t="str">
        <f>IF(OR(ISBLANK(M30),M30=BlankCell,M30=""),BlankCell,MOD(M29+M30,360))</f>
        <v xml:space="preserve"> </v>
      </c>
      <c r="O29" s="153"/>
      <c r="P29" s="154" t="str">
        <f>IF(ISBLANK(E29),BlankCell,I29*COS(RADIANS(K30))+AE29)</f>
        <v xml:space="preserve"> </v>
      </c>
      <c r="Q29" s="150"/>
      <c r="R29" s="155" t="str">
        <f>IF(ISBLANK(E29),BlankCell,IF(I29&gt;0,(O29/P29)*60,0))</f>
        <v xml:space="preserve"> </v>
      </c>
      <c r="S29" s="156" t="str">
        <f>IF(OR(ISBLANK(E29),ISBLANK($R$16)),BlankCell,S27+(R29/1440))</f>
        <v xml:space="preserve"> </v>
      </c>
      <c r="T29" s="155" t="str">
        <f>IF(ISBLANK(E29),BlankCell,CruiseFuelGPH*R29/60)</f>
        <v xml:space="preserve"> </v>
      </c>
      <c r="U29" s="109"/>
      <c r="V29" s="397"/>
      <c r="W29" s="392"/>
      <c r="X29" s="176" t="e">
        <f t="shared" si="3"/>
        <v>#N/A</v>
      </c>
      <c r="Y29" s="176" t="e">
        <f t="shared" si="4"/>
        <v>#N/A</v>
      </c>
      <c r="Z29" s="176" t="e">
        <f t="shared" si="1"/>
        <v>#N/A</v>
      </c>
      <c r="AA29" s="17">
        <v>14</v>
      </c>
      <c r="AB29" s="21" t="e">
        <f>MOD(G29-180,360)</f>
        <v>#VALUE!</v>
      </c>
      <c r="AC29" s="21" t="e">
        <f>K29-AB29</f>
        <v>#VALUE!</v>
      </c>
      <c r="AD29" s="21" t="e">
        <f>H29*SIN(RADIANS(AC29))</f>
        <v>#VALUE!</v>
      </c>
      <c r="AE29" s="21" t="e">
        <f>H29*COS(RADIANS(AC29))</f>
        <v>#VALUE!</v>
      </c>
      <c r="AF29" s="21" t="e">
        <f>IF(AND((LEN(E29)=4),OR(LEFT(E29,1)="O",LEFT(E29,1)="I"),OR(RIGHT(E29,3)="000",AND(VALUE(RIGHT(E29,3))&gt;=1,VALUE(RIGHT(E29,3))&lt;=359))),"Y","N")</f>
        <v>#VALUE!</v>
      </c>
      <c r="AG29" s="21">
        <f>IF(ISERROR(AF29),-1,IF(AF29="N",-1,IF(LEFT(E29,1)="I",MOD(VALUE(RIGHT(E29,3))-180-L30,360),MOD(VALUE(RIGHT(E29,3))-L30,360))))</f>
        <v>-1</v>
      </c>
      <c r="AH29" s="21" t="e">
        <f>MOD(IF(MOD(M29,30)&gt;=15,CEILING(M29,30),FLOOR(M29,30)),360)</f>
        <v>#VALUE!</v>
      </c>
      <c r="AI29" s="22" t="e">
        <f>IF(AH29=0,15,(AH29/30)+15)</f>
        <v>#VALUE!</v>
      </c>
      <c r="AJ29" s="21">
        <f>IF(LocatedAircraft="Yes",IF(ISBLANK(VLOOKUP(AircraftNumber,AircraftData,AI29,FALSE)),-1,VLOOKUP(AircraftNumber,AircraftData,AI29,FALSE)),-1)</f>
        <v>-1</v>
      </c>
      <c r="AK29" s="21" t="str">
        <f>IF(AJ29=-1,"NA",IF(AJ29-AH29&gt;180,(AJ29-AH29)-360,AJ29-AH29))</f>
        <v>NA</v>
      </c>
    </row>
    <row r="30" spans="2:38" ht="20.25" customHeight="1" x14ac:dyDescent="0.2">
      <c r="B30" s="408"/>
      <c r="C30" s="157" t="str">
        <f>IF(OR(ISBLANK(B30),ISBLANK(C28)),BlankCell,C28)</f>
        <v xml:space="preserve"> </v>
      </c>
      <c r="D30" s="117"/>
      <c r="E30" s="421"/>
      <c r="F30" s="417"/>
      <c r="G30" s="409" t="str">
        <f>IF(ISBLANK(E29),BlankCell,G28)</f>
        <v xml:space="preserve"> </v>
      </c>
      <c r="H30" s="409"/>
      <c r="I30" s="401"/>
      <c r="J30" s="150"/>
      <c r="K30" s="158" t="str">
        <f>IF(ISBLANK(E29),BlankCell,IF(ISBLANK(I29),0,DEGREES(ASIN(AD29/I29))))</f>
        <v xml:space="preserve"> </v>
      </c>
      <c r="L30" s="159" t="str">
        <f>IF(ISBLANK(E29),BlankCell,L28)</f>
        <v xml:space="preserve"> </v>
      </c>
      <c r="M30" s="159" t="str">
        <f>IF(ISBLANK(E29),BlankCell,IF(AK29="NA","",AK29))</f>
        <v xml:space="preserve"> </v>
      </c>
      <c r="N30" s="152" t="str">
        <f>IF(OR(ISBLANK(E29),ISBLANK(I29)),"",CONCATENATE(TEXT(AD29,"00"),"/",TEXT(-AE29,"00")))</f>
        <v/>
      </c>
      <c r="O30" s="160" t="str">
        <f>IF(OR(ISBLANK(E29),TotalDistance=0),BlankCell,O28-O29)</f>
        <v xml:space="preserve"> </v>
      </c>
      <c r="P30" s="161"/>
      <c r="Q30" s="150"/>
      <c r="R30" s="155"/>
      <c r="S30" s="162"/>
      <c r="T30" s="160" t="str">
        <f>IF(ISBLANK(E29),BlankCell,T28-T29)</f>
        <v xml:space="preserve"> </v>
      </c>
      <c r="U30" s="109"/>
      <c r="V30" s="395" t="s">
        <v>213</v>
      </c>
      <c r="W30" s="174" t="s">
        <v>199</v>
      </c>
      <c r="X30" s="175" t="e">
        <f t="shared" si="3"/>
        <v>#N/A</v>
      </c>
      <c r="Y30" s="175" t="e">
        <f t="shared" si="4"/>
        <v>#N/A</v>
      </c>
      <c r="Z30" s="175" t="e">
        <f t="shared" si="1"/>
        <v>#N/A</v>
      </c>
      <c r="AA30" s="17">
        <v>15</v>
      </c>
      <c r="AB30" s="20"/>
      <c r="AC30" s="20"/>
      <c r="AD30" s="20"/>
      <c r="AE30" s="20"/>
      <c r="AF30" s="20"/>
      <c r="AG30" s="20"/>
      <c r="AH30" s="20"/>
      <c r="AI30" s="20"/>
      <c r="AJ30" s="20"/>
      <c r="AK30" s="20"/>
    </row>
    <row r="31" spans="2:38" ht="20.25" customHeight="1" x14ac:dyDescent="0.2">
      <c r="B31" s="408"/>
      <c r="C31" s="131" t="str">
        <f>IF(OR(ISBLANK(B30),ISBLANK(C28)),BlankCell,C29)</f>
        <v xml:space="preserve"> </v>
      </c>
      <c r="D31" s="116"/>
      <c r="E31" s="422"/>
      <c r="F31" s="413" t="str">
        <f>IF(ISBLANK(E31),BlankCell,F29)</f>
        <v xml:space="preserve"> </v>
      </c>
      <c r="G31" s="132" t="str">
        <f>IF(ISBLANK(E31),BlankCell,G29)</f>
        <v xml:space="preserve"> </v>
      </c>
      <c r="H31" s="133" t="str">
        <f>IF(ISBLANK(E31),BlankCell,H29)</f>
        <v xml:space="preserve"> </v>
      </c>
      <c r="I31" s="402" t="str">
        <f>IF(ISBLANK(E31),BlankCell,I29)</f>
        <v xml:space="preserve"> </v>
      </c>
      <c r="J31" s="134"/>
      <c r="K31" s="135" t="str">
        <f>IF(ISBLANK(E31),BlankCell,IF(NOT(AG31=-1),AG31,0))</f>
        <v xml:space="preserve"> </v>
      </c>
      <c r="L31" s="136" t="str">
        <f>IF(ISBLANK(E31),BlankCell,MOD(K31+K32,360))</f>
        <v xml:space="preserve"> </v>
      </c>
      <c r="M31" s="136" t="str">
        <f>IF(ISBLANK(E31),BlankCell,MOD(L31+L32,360))</f>
        <v xml:space="preserve"> </v>
      </c>
      <c r="N31" s="136" t="str">
        <f>IF(OR(ISBLANK(M32),M32=BlankCell,M32=""),BlankCell,MOD(M31+M32,360))</f>
        <v xml:space="preserve"> </v>
      </c>
      <c r="O31" s="137"/>
      <c r="P31" s="138" t="str">
        <f>IF(ISBLANK(E31),BlankCell,I31*COS(RADIANS(K32))+AE31)</f>
        <v xml:space="preserve"> </v>
      </c>
      <c r="Q31" s="134"/>
      <c r="R31" s="139" t="str">
        <f>IF(ISBLANK(E31),BlankCell,IF(I31&gt;0,(O31/P31)*60,0))</f>
        <v xml:space="preserve"> </v>
      </c>
      <c r="S31" s="140" t="str">
        <f>IF(OR(ISBLANK(E31),ISBLANK($R$16)),BlankCell,S29+(R31/1440))</f>
        <v xml:space="preserve"> </v>
      </c>
      <c r="T31" s="139" t="str">
        <f>IF(ISBLANK(E31),BlankCell,CruiseFuelGPH*R31/60)</f>
        <v xml:space="preserve"> </v>
      </c>
      <c r="U31" s="109"/>
      <c r="V31" s="396"/>
      <c r="W31" s="177" t="s">
        <v>212</v>
      </c>
      <c r="X31" s="170" t="e">
        <f t="shared" si="3"/>
        <v>#N/A</v>
      </c>
      <c r="Y31" s="170" t="e">
        <f t="shared" si="4"/>
        <v>#N/A</v>
      </c>
      <c r="Z31" s="170" t="e">
        <f t="shared" si="1"/>
        <v>#N/A</v>
      </c>
      <c r="AA31" s="17">
        <v>16</v>
      </c>
      <c r="AB31" s="21" t="e">
        <f>MOD(G31-180,360)</f>
        <v>#VALUE!</v>
      </c>
      <c r="AC31" s="21" t="e">
        <f>K31-AB31</f>
        <v>#VALUE!</v>
      </c>
      <c r="AD31" s="21" t="e">
        <f>H31*SIN(RADIANS(AC31))</f>
        <v>#VALUE!</v>
      </c>
      <c r="AE31" s="21" t="e">
        <f>H31*COS(RADIANS(AC31))</f>
        <v>#VALUE!</v>
      </c>
      <c r="AF31" s="21" t="e">
        <f>IF(AND((LEN(E31)=4),OR(LEFT(E31,1)="O",LEFT(E31,1)="I"),OR(RIGHT(E31,3)="000",AND(VALUE(RIGHT(E31,3))&gt;=1,VALUE(RIGHT(E31,3))&lt;=359))),"Y","N")</f>
        <v>#VALUE!</v>
      </c>
      <c r="AG31" s="21">
        <f>IF(ISERROR(AF31),-1,IF(AF31="N",-1,IF(LEFT(E31,1)="I",MOD(VALUE(RIGHT(E31,3))-180-L32,360),MOD(VALUE(RIGHT(E31,3))-L32,360))))</f>
        <v>-1</v>
      </c>
      <c r="AH31" s="21" t="e">
        <f>MOD(IF(MOD(M31,30)&gt;=15,CEILING(M31,30),FLOOR(M31,30)),360)</f>
        <v>#VALUE!</v>
      </c>
      <c r="AI31" s="22" t="e">
        <f>IF(AH31=0,15,(AH31/30)+15)</f>
        <v>#VALUE!</v>
      </c>
      <c r="AJ31" s="21">
        <f>IF(LocatedAircraft="Yes",IF(ISBLANK(VLOOKUP(AircraftNumber,AircraftData,AI31,FALSE)),-1,VLOOKUP(AircraftNumber,AircraftData,AI31,FALSE)),-1)</f>
        <v>-1</v>
      </c>
      <c r="AK31" s="21" t="str">
        <f>IF(AJ31=-1,"NA",IF(AJ31-AH31&gt;180,(AJ31-AH31)-360,AJ31-AH31))</f>
        <v>NA</v>
      </c>
    </row>
    <row r="32" spans="2:38" ht="20.25" customHeight="1" x14ac:dyDescent="0.2">
      <c r="B32" s="407"/>
      <c r="C32" s="141" t="str">
        <f>IF(OR(ISBLANK(B32),ISBLANK(C30)),BlankCell,C30)</f>
        <v xml:space="preserve"> </v>
      </c>
      <c r="D32" s="116"/>
      <c r="E32" s="422"/>
      <c r="F32" s="413"/>
      <c r="G32" s="410" t="str">
        <f>IF(ISBLANK(E31),BlankCell,G30)</f>
        <v xml:space="preserve"> </v>
      </c>
      <c r="H32" s="410"/>
      <c r="I32" s="402"/>
      <c r="J32" s="134"/>
      <c r="K32" s="142" t="str">
        <f>IF(ISBLANK(E31),BlankCell,IF(ISBLANK(I31),0,DEGREES(ASIN(AD31/I31))))</f>
        <v xml:space="preserve"> </v>
      </c>
      <c r="L32" s="143" t="str">
        <f>IF(ISBLANK(E31),BlankCell,L30)</f>
        <v xml:space="preserve"> </v>
      </c>
      <c r="M32" s="143" t="str">
        <f>IF(ISBLANK(E31),BlankCell,IF(AK31="NA","",AK31))</f>
        <v xml:space="preserve"> </v>
      </c>
      <c r="N32" s="136" t="str">
        <f>IF(OR(ISBLANK(E31),ISBLANK(I31)),"",CONCATENATE(TEXT(AD31,"00"),"/",TEXT(-AE31,"00")))</f>
        <v/>
      </c>
      <c r="O32" s="144" t="str">
        <f>IF(OR(ISBLANK(E31),TotalDistance=0),BlankCell,O30-O31)</f>
        <v xml:space="preserve"> </v>
      </c>
      <c r="P32" s="145"/>
      <c r="Q32" s="134"/>
      <c r="R32" s="139"/>
      <c r="S32" s="146"/>
      <c r="T32" s="144" t="str">
        <f>IF(ISBLANK(E31),BlankCell,T30-T31)</f>
        <v xml:space="preserve"> </v>
      </c>
      <c r="U32" s="109"/>
      <c r="V32" s="396"/>
      <c r="W32" s="388" t="s">
        <v>207</v>
      </c>
      <c r="X32" s="172" t="e">
        <f t="shared" si="3"/>
        <v>#N/A</v>
      </c>
      <c r="Y32" s="172" t="e">
        <f t="shared" si="4"/>
        <v>#N/A</v>
      </c>
      <c r="Z32" s="172" t="e">
        <f t="shared" si="1"/>
        <v>#N/A</v>
      </c>
      <c r="AA32" s="17">
        <v>17</v>
      </c>
      <c r="AB32" s="20"/>
      <c r="AC32" s="20"/>
      <c r="AD32" s="20"/>
      <c r="AE32" s="20"/>
      <c r="AF32" s="20"/>
      <c r="AG32" s="20"/>
      <c r="AH32" s="20"/>
      <c r="AI32" s="20"/>
      <c r="AJ32" s="20"/>
      <c r="AK32" s="20"/>
    </row>
    <row r="33" spans="2:37" ht="20.25" customHeight="1" thickBot="1" x14ac:dyDescent="0.25">
      <c r="B33" s="407"/>
      <c r="C33" s="147" t="str">
        <f>IF(OR(ISBLANK(B32),ISBLANK(C30)),BlankCell,C31)</f>
        <v xml:space="preserve"> </v>
      </c>
      <c r="D33" s="117"/>
      <c r="E33" s="421"/>
      <c r="F33" s="417" t="str">
        <f>IF(ISBLANK(E33),BlankCell,F31)</f>
        <v xml:space="preserve"> </v>
      </c>
      <c r="G33" s="148" t="str">
        <f>IF(ISBLANK(E33),BlankCell,G31)</f>
        <v xml:space="preserve"> </v>
      </c>
      <c r="H33" s="149" t="str">
        <f>IF(ISBLANK(E33),BlankCell,H31)</f>
        <v xml:space="preserve"> </v>
      </c>
      <c r="I33" s="401" t="str">
        <f>IF(ISBLANK(E33),BlankCell,I31)</f>
        <v xml:space="preserve"> </v>
      </c>
      <c r="J33" s="150"/>
      <c r="K33" s="151" t="str">
        <f>IF(ISBLANK(E33),BlankCell,IF(NOT(AG33=-1),AG33,0))</f>
        <v xml:space="preserve"> </v>
      </c>
      <c r="L33" s="152" t="str">
        <f>IF(ISBLANK(E33),BlankCell,MOD(K33+K34,360))</f>
        <v xml:space="preserve"> </v>
      </c>
      <c r="M33" s="152" t="str">
        <f>IF(ISBLANK(E33),BlankCell,MOD(L33+L34,360))</f>
        <v xml:space="preserve"> </v>
      </c>
      <c r="N33" s="152" t="str">
        <f>IF(OR(ISBLANK(M34),M34=BlankCell,M34=""),BlankCell,MOD(M33+M34,360))</f>
        <v xml:space="preserve"> </v>
      </c>
      <c r="O33" s="153"/>
      <c r="P33" s="154" t="str">
        <f>IF(ISBLANK(E33),BlankCell,I33*COS(RADIANS(K34))+AE33)</f>
        <v xml:space="preserve"> </v>
      </c>
      <c r="Q33" s="150"/>
      <c r="R33" s="155" t="str">
        <f>IF(ISBLANK(E33),BlankCell,IF(I33&gt;0,(O33/P33)*60,0))</f>
        <v xml:space="preserve"> </v>
      </c>
      <c r="S33" s="156" t="str">
        <f>IF(OR(ISBLANK(E33),ISBLANK($R$16)),BlankCell,S31+(R33/1440))</f>
        <v xml:space="preserve"> </v>
      </c>
      <c r="T33" s="155" t="str">
        <f>IF(ISBLANK(E33),BlankCell,CruiseFuelGPH*R33/60)</f>
        <v xml:space="preserve"> </v>
      </c>
      <c r="U33" s="109"/>
      <c r="V33" s="397"/>
      <c r="W33" s="392"/>
      <c r="X33" s="176" t="e">
        <f t="shared" si="3"/>
        <v>#N/A</v>
      </c>
      <c r="Y33" s="176" t="e">
        <f t="shared" si="4"/>
        <v>#N/A</v>
      </c>
      <c r="Z33" s="176" t="e">
        <f t="shared" si="1"/>
        <v>#N/A</v>
      </c>
      <c r="AA33" s="17">
        <v>18</v>
      </c>
      <c r="AB33" s="21" t="e">
        <f>MOD(G33-180,360)</f>
        <v>#VALUE!</v>
      </c>
      <c r="AC33" s="21" t="e">
        <f>K33-AB33</f>
        <v>#VALUE!</v>
      </c>
      <c r="AD33" s="21" t="e">
        <f>H33*SIN(RADIANS(AC33))</f>
        <v>#VALUE!</v>
      </c>
      <c r="AE33" s="21" t="e">
        <f>H33*COS(RADIANS(AC33))</f>
        <v>#VALUE!</v>
      </c>
      <c r="AF33" s="21" t="e">
        <f>IF(AND((LEN(E33)=4),OR(LEFT(E33,1)="O",LEFT(E33,1)="I"),OR(RIGHT(E33,3)="000",AND(VALUE(RIGHT(E33,3))&gt;=1,VALUE(RIGHT(E33,3))&lt;=359))),"Y","N")</f>
        <v>#VALUE!</v>
      </c>
      <c r="AG33" s="21">
        <f>IF(ISERROR(AF33),-1,IF(AF33="N",-1,IF(LEFT(E33,1)="I",MOD(VALUE(RIGHT(E33,3))-180-L34,360),MOD(VALUE(RIGHT(E33,3))-L34,360))))</f>
        <v>-1</v>
      </c>
      <c r="AH33" s="21" t="e">
        <f>MOD(IF(MOD(M33,30)&gt;=15,CEILING(M33,30),FLOOR(M33,30)),360)</f>
        <v>#VALUE!</v>
      </c>
      <c r="AI33" s="22" t="e">
        <f>IF(AH33=0,15,(AH33/30)+15)</f>
        <v>#VALUE!</v>
      </c>
      <c r="AJ33" s="21">
        <f>IF(LocatedAircraft="Yes",IF(ISBLANK(VLOOKUP(AircraftNumber,AircraftData,AI33,FALSE)),-1,VLOOKUP(AircraftNumber,AircraftData,AI33,FALSE)),-1)</f>
        <v>-1</v>
      </c>
      <c r="AK33" s="21" t="str">
        <f>IF(AJ33=-1,"NA",IF(AJ33-AH33&gt;180,(AJ33-AH33)-360,AJ33-AH33))</f>
        <v>NA</v>
      </c>
    </row>
    <row r="34" spans="2:37" ht="20.25" customHeight="1" x14ac:dyDescent="0.2">
      <c r="B34" s="408"/>
      <c r="C34" s="157" t="str">
        <f>IF(OR(ISBLANK(B34),ISBLANK(C32)),BlankCell,C32)</f>
        <v xml:space="preserve"> </v>
      </c>
      <c r="D34" s="117"/>
      <c r="E34" s="421"/>
      <c r="F34" s="417"/>
      <c r="G34" s="409" t="str">
        <f>IF(ISBLANK(E33),BlankCell,G32)</f>
        <v xml:space="preserve"> </v>
      </c>
      <c r="H34" s="409"/>
      <c r="I34" s="401"/>
      <c r="J34" s="150"/>
      <c r="K34" s="158" t="str">
        <f>IF(ISBLANK(E33),BlankCell,IF(ISBLANK(I33),0,DEGREES(ASIN(AD33/I33))))</f>
        <v xml:space="preserve"> </v>
      </c>
      <c r="L34" s="159" t="str">
        <f>IF(ISBLANK(E33),BlankCell,L32)</f>
        <v xml:space="preserve"> </v>
      </c>
      <c r="M34" s="159" t="str">
        <f>IF(ISBLANK(E33),BlankCell,IF(AK33="NA","",AK33))</f>
        <v xml:space="preserve"> </v>
      </c>
      <c r="N34" s="152" t="str">
        <f>IF(OR(ISBLANK(E33),ISBLANK(I33)),"",CONCATENATE(TEXT(AD33,"00"),"/",TEXT(-AE33,"00")))</f>
        <v/>
      </c>
      <c r="O34" s="160" t="str">
        <f>IF(OR(ISBLANK(E33),TotalDistance=0),BlankCell,O32-O33)</f>
        <v xml:space="preserve"> </v>
      </c>
      <c r="P34" s="161"/>
      <c r="Q34" s="150"/>
      <c r="R34" s="155"/>
      <c r="S34" s="162"/>
      <c r="T34" s="160" t="str">
        <f>IF(ISBLANK(E33),BlankCell,T32-T33)</f>
        <v xml:space="preserve"> </v>
      </c>
      <c r="U34" s="109"/>
      <c r="V34" s="390" t="s">
        <v>197</v>
      </c>
      <c r="W34" s="178" t="s">
        <v>112</v>
      </c>
      <c r="X34" s="175" t="e">
        <f t="shared" si="2"/>
        <v>#N/A</v>
      </c>
      <c r="Y34" s="175" t="e">
        <f t="shared" si="0"/>
        <v>#N/A</v>
      </c>
      <c r="Z34" s="175" t="e">
        <f t="shared" si="1"/>
        <v>#N/A</v>
      </c>
      <c r="AA34" s="17">
        <v>19</v>
      </c>
      <c r="AB34" s="20"/>
      <c r="AC34" s="20"/>
      <c r="AD34" s="20"/>
      <c r="AE34" s="20"/>
      <c r="AF34" s="20"/>
      <c r="AG34" s="20"/>
      <c r="AH34" s="20"/>
      <c r="AI34" s="20"/>
      <c r="AJ34" s="20"/>
      <c r="AK34" s="20"/>
    </row>
    <row r="35" spans="2:37" ht="20.25" customHeight="1" x14ac:dyDescent="0.2">
      <c r="B35" s="408"/>
      <c r="C35" s="131" t="str">
        <f>IF(OR(ISBLANK(B34),ISBLANK(C32)),BlankCell,C33)</f>
        <v xml:space="preserve"> </v>
      </c>
      <c r="D35" s="116"/>
      <c r="E35" s="422"/>
      <c r="F35" s="413" t="str">
        <f>IF(ISBLANK(E35),BlankCell,F33)</f>
        <v xml:space="preserve"> </v>
      </c>
      <c r="G35" s="132" t="str">
        <f>IF(ISBLANK(E35),BlankCell,G33)</f>
        <v xml:space="preserve"> </v>
      </c>
      <c r="H35" s="133" t="str">
        <f>IF(ISBLANK(E35),BlankCell,H33)</f>
        <v xml:space="preserve"> </v>
      </c>
      <c r="I35" s="402" t="str">
        <f>IF(ISBLANK(E35),BlankCell,I33)</f>
        <v xml:space="preserve"> </v>
      </c>
      <c r="J35" s="134"/>
      <c r="K35" s="135" t="str">
        <f>IF(ISBLANK(E35),BlankCell,IF(NOT(AG35=-1),AG35,0))</f>
        <v xml:space="preserve"> </v>
      </c>
      <c r="L35" s="136" t="str">
        <f>IF(ISBLANK(E35),BlankCell,MOD(K35+K36,360))</f>
        <v xml:space="preserve"> </v>
      </c>
      <c r="M35" s="136" t="str">
        <f>IF(ISBLANK(E35),BlankCell,MOD(L35+L36,360))</f>
        <v xml:space="preserve"> </v>
      </c>
      <c r="N35" s="136" t="str">
        <f>IF(OR(ISBLANK(M36),M36=BlankCell,M36=""),BlankCell,MOD(M35+M36,360))</f>
        <v xml:space="preserve"> </v>
      </c>
      <c r="O35" s="137"/>
      <c r="P35" s="138" t="str">
        <f>IF(ISBLANK(E35),BlankCell,I35*COS(RADIANS(K36))+AE35)</f>
        <v xml:space="preserve"> </v>
      </c>
      <c r="Q35" s="134"/>
      <c r="R35" s="139" t="str">
        <f>IF(ISBLANK(E35),BlankCell,IF(I35&gt;0,(O35/P35)*60,0))</f>
        <v xml:space="preserve"> </v>
      </c>
      <c r="S35" s="140" t="str">
        <f>IF(OR(ISBLANK(E35),ISBLANK($R$16)),BlankCell,S33+(R35/1440))</f>
        <v xml:space="preserve"> </v>
      </c>
      <c r="T35" s="139" t="str">
        <f>IF(ISBLANK(E35),BlankCell,CruiseFuelGPH*R35/60)</f>
        <v xml:space="preserve"> </v>
      </c>
      <c r="U35" s="109"/>
      <c r="V35" s="391"/>
      <c r="W35" s="179" t="s">
        <v>211</v>
      </c>
      <c r="X35" s="173" t="e">
        <f>VLOOKUP(DepartureAirportID,AFDData,AA35,FALSE)</f>
        <v>#N/A</v>
      </c>
      <c r="Y35" s="173" t="e">
        <f>VLOOKUP(EnrouteAirportID,AFDData,AA35,FALSE)</f>
        <v>#N/A</v>
      </c>
      <c r="Z35" s="173" t="e">
        <f t="shared" si="1"/>
        <v>#N/A</v>
      </c>
      <c r="AA35" s="17">
        <v>20</v>
      </c>
      <c r="AB35" s="21" t="e">
        <f>MOD(G35-180,360)</f>
        <v>#VALUE!</v>
      </c>
      <c r="AC35" s="21" t="e">
        <f>K35-AB35</f>
        <v>#VALUE!</v>
      </c>
      <c r="AD35" s="21" t="e">
        <f>H35*SIN(RADIANS(AC35))</f>
        <v>#VALUE!</v>
      </c>
      <c r="AE35" s="21" t="e">
        <f>H35*COS(RADIANS(AC35))</f>
        <v>#VALUE!</v>
      </c>
      <c r="AF35" s="21" t="e">
        <f>IF(AND((LEN(E35)=4),OR(LEFT(E35,1)="O",LEFT(E35,1)="I"),OR(RIGHT(E35,3)="000",AND(VALUE(RIGHT(E35,3))&gt;=1,VALUE(RIGHT(E35,3))&lt;=359))),"Y","N")</f>
        <v>#VALUE!</v>
      </c>
      <c r="AG35" s="21">
        <f>IF(ISERROR(AF35),-1,IF(AF35="N",-1,IF(LEFT(E35,1)="I",MOD(VALUE(RIGHT(E35,3))-180-L36,360),MOD(VALUE(RIGHT(E35,3))-L36,360))))</f>
        <v>-1</v>
      </c>
      <c r="AH35" s="21" t="e">
        <f>MOD(IF(MOD(M35,30)&gt;=15,CEILING(M35,30),FLOOR(M35,30)),360)</f>
        <v>#VALUE!</v>
      </c>
      <c r="AI35" s="22" t="e">
        <f>IF(AH35=0,15,(AH35/30)+15)</f>
        <v>#VALUE!</v>
      </c>
      <c r="AJ35" s="21">
        <f>IF(LocatedAircraft="Yes",IF(ISBLANK(VLOOKUP(AircraftNumber,AircraftData,AI35,FALSE)),-1,VLOOKUP(AircraftNumber,AircraftData,AI35,FALSE)),-1)</f>
        <v>-1</v>
      </c>
      <c r="AK35" s="21" t="str">
        <f>IF(AJ35=-1,"NA",IF(AJ35-AH35&gt;180,(AJ35-AH35)-360,AJ35-AH35))</f>
        <v>NA</v>
      </c>
    </row>
    <row r="36" spans="2:37" ht="20.25" customHeight="1" x14ac:dyDescent="0.2">
      <c r="B36" s="407"/>
      <c r="C36" s="141" t="str">
        <f>IF(OR(ISBLANK(B36),ISBLANK(C34)),BlankCell,C34)</f>
        <v xml:space="preserve"> </v>
      </c>
      <c r="D36" s="116"/>
      <c r="E36" s="422"/>
      <c r="F36" s="413"/>
      <c r="G36" s="410" t="str">
        <f>IF(ISBLANK(E35),BlankCell,G34)</f>
        <v xml:space="preserve"> </v>
      </c>
      <c r="H36" s="410"/>
      <c r="I36" s="402"/>
      <c r="J36" s="134"/>
      <c r="K36" s="142" t="str">
        <f>IF(ISBLANK(E35),BlankCell,IF(ISBLANK(I35),0,DEGREES(ASIN(AD35/I35))))</f>
        <v xml:space="preserve"> </v>
      </c>
      <c r="L36" s="143" t="str">
        <f>IF(ISBLANK(E35),BlankCell,L34)</f>
        <v xml:space="preserve"> </v>
      </c>
      <c r="M36" s="143" t="str">
        <f>IF(ISBLANK(E35),BlankCell,IF(AK35="NA","",AK35))</f>
        <v xml:space="preserve"> </v>
      </c>
      <c r="N36" s="136" t="str">
        <f>IF(OR(ISBLANK(E35),ISBLANK(I35)),"",CONCATENATE(TEXT(AD35,"00"),"/",TEXT(-AE35,"00")))</f>
        <v/>
      </c>
      <c r="O36" s="144" t="str">
        <f>IF(OR(ISBLANK(E35),TotalDistance=0),BlankCell,O34-O35)</f>
        <v xml:space="preserve"> </v>
      </c>
      <c r="P36" s="145"/>
      <c r="Q36" s="134"/>
      <c r="R36" s="139"/>
      <c r="S36" s="146"/>
      <c r="T36" s="144" t="str">
        <f>IF(ISBLANK(E35),BlankCell,T34-T35)</f>
        <v xml:space="preserve"> </v>
      </c>
      <c r="U36" s="109"/>
      <c r="V36" s="394" t="s">
        <v>203</v>
      </c>
      <c r="W36" s="394"/>
      <c r="X36" s="394"/>
      <c r="Y36" s="394"/>
      <c r="Z36" s="394"/>
      <c r="AA36" s="18"/>
      <c r="AB36" s="20"/>
      <c r="AC36" s="20"/>
      <c r="AD36" s="20"/>
      <c r="AE36" s="20"/>
      <c r="AF36" s="20"/>
      <c r="AG36" s="20"/>
      <c r="AH36" s="20"/>
      <c r="AI36" s="20"/>
      <c r="AJ36" s="20"/>
      <c r="AK36" s="20"/>
    </row>
    <row r="37" spans="2:37" ht="20.25" customHeight="1" x14ac:dyDescent="0.2">
      <c r="B37" s="407"/>
      <c r="C37" s="147" t="str">
        <f>IF(OR(ISBLANK(B36),ISBLANK(C34)),BlankCell,C35)</f>
        <v xml:space="preserve"> </v>
      </c>
      <c r="D37" s="117"/>
      <c r="E37" s="421"/>
      <c r="F37" s="417" t="str">
        <f>IF(ISBLANK(E37),BlankCell,F31)</f>
        <v xml:space="preserve"> </v>
      </c>
      <c r="G37" s="148" t="str">
        <f>IF(ISBLANK(E37),BlankCell,G31)</f>
        <v xml:space="preserve"> </v>
      </c>
      <c r="H37" s="149" t="str">
        <f>IF(ISBLANK(E37),BlankCell,H31)</f>
        <v xml:space="preserve"> </v>
      </c>
      <c r="I37" s="401" t="str">
        <f>IF(ISBLANK(E37),BlankCell,I31)</f>
        <v xml:space="preserve"> </v>
      </c>
      <c r="J37" s="150"/>
      <c r="K37" s="151" t="str">
        <f>IF(ISBLANK(E37),BlankCell,IF(NOT(AG37=-1),AG37,0))</f>
        <v xml:space="preserve"> </v>
      </c>
      <c r="L37" s="152" t="str">
        <f>IF(ISBLANK(E37),BlankCell,MOD(K37+K38,360))</f>
        <v xml:space="preserve"> </v>
      </c>
      <c r="M37" s="152" t="str">
        <f>IF(ISBLANK(E37),BlankCell,MOD(L37+L38,360))</f>
        <v xml:space="preserve"> </v>
      </c>
      <c r="N37" s="152" t="str">
        <f>IF(OR(ISBLANK(M38),M38=BlankCell,M38=""),BlankCell,MOD(M37+M38,360))</f>
        <v xml:space="preserve"> </v>
      </c>
      <c r="O37" s="153"/>
      <c r="P37" s="154" t="str">
        <f>IF(ISBLANK(E37),BlankCell,I37*COS(RADIANS(K38))+AE37)</f>
        <v xml:space="preserve"> </v>
      </c>
      <c r="Q37" s="150"/>
      <c r="R37" s="155" t="str">
        <f>IF(ISBLANK(E37),BlankCell,IF(I37&gt;0,(O37/P37)*60,0))</f>
        <v xml:space="preserve"> </v>
      </c>
      <c r="S37" s="156" t="str">
        <f>IF(OR(ISBLANK(E37),ISBLANK($R$16)),BlankCell,S35+(R37/1440))</f>
        <v xml:space="preserve"> </v>
      </c>
      <c r="T37" s="155" t="str">
        <f>IF(ISBLANK(E37),BlankCell,CruiseFuelGPH*R37/60)</f>
        <v xml:space="preserve"> </v>
      </c>
      <c r="U37" s="109"/>
      <c r="V37" s="388" t="s">
        <v>204</v>
      </c>
      <c r="W37" s="388"/>
      <c r="X37" s="170" t="e">
        <f t="shared" si="2"/>
        <v>#N/A</v>
      </c>
      <c r="Y37" s="170" t="e">
        <f>VLOOKUP(EnrouteAirportID,AFDData,AA37,FALSE)</f>
        <v>#N/A</v>
      </c>
      <c r="Z37" s="170" t="e">
        <f>VLOOKUP(DestinationAirportID,AFDData,AA37,FALSE)</f>
        <v>#N/A</v>
      </c>
      <c r="AA37" s="17">
        <v>21</v>
      </c>
      <c r="AB37" s="21" t="e">
        <f>MOD(G37-180,360)</f>
        <v>#VALUE!</v>
      </c>
      <c r="AC37" s="21" t="e">
        <f>K37-AB37</f>
        <v>#VALUE!</v>
      </c>
      <c r="AD37" s="21" t="e">
        <f>H37*SIN(RADIANS(AC37))</f>
        <v>#VALUE!</v>
      </c>
      <c r="AE37" s="21" t="e">
        <f>H37*COS(RADIANS(AC37))</f>
        <v>#VALUE!</v>
      </c>
      <c r="AF37" s="21" t="e">
        <f>IF(AND((LEN(E37)=4),OR(LEFT(E37,1)="O",LEFT(E37,1)="I"),OR(RIGHT(E37,3)="000",AND(VALUE(RIGHT(E37,3))&gt;=1,VALUE(RIGHT(E37,3))&lt;=359))),"Y","N")</f>
        <v>#VALUE!</v>
      </c>
      <c r="AG37" s="21">
        <f>IF(ISERROR(AF37),-1,IF(AF37="N",-1,IF(LEFT(E37,1)="I",MOD(VALUE(RIGHT(E37,3))-180-L38,360),MOD(VALUE(RIGHT(E37,3))-L38,360))))</f>
        <v>-1</v>
      </c>
      <c r="AH37" s="21" t="e">
        <f>MOD(IF(MOD(M37,30)&gt;=15,CEILING(M37,30),FLOOR(M37,30)),360)</f>
        <v>#VALUE!</v>
      </c>
      <c r="AI37" s="22" t="e">
        <f>IF(AH37=0,15,(AH37/30)+15)</f>
        <v>#VALUE!</v>
      </c>
      <c r="AJ37" s="21">
        <f>IF(LocatedAircraft="Yes",IF(ISBLANK(VLOOKUP(AircraftNumber,AircraftData,AI37,FALSE)),-1,VLOOKUP(AircraftNumber,AircraftData,AI37,FALSE)),-1)</f>
        <v>-1</v>
      </c>
      <c r="AK37" s="21" t="str">
        <f>IF(AJ37=-1,"NA",IF(AJ37-AH37&gt;180,(AJ37-AH37)-360,AJ37-AH37))</f>
        <v>NA</v>
      </c>
    </row>
    <row r="38" spans="2:37" ht="20.25" customHeight="1" thickBot="1" x14ac:dyDescent="0.25">
      <c r="B38" s="408"/>
      <c r="C38" s="157" t="str">
        <f>IF(OR(ISBLANK(B38),ISBLANK(C36)),BlankCell,C36)</f>
        <v xml:space="preserve"> </v>
      </c>
      <c r="D38" s="117"/>
      <c r="E38" s="421"/>
      <c r="F38" s="417"/>
      <c r="G38" s="409" t="str">
        <f>IF(ISBLANK(E37),BlankCell,G32)</f>
        <v xml:space="preserve"> </v>
      </c>
      <c r="H38" s="409"/>
      <c r="I38" s="401"/>
      <c r="J38" s="163"/>
      <c r="K38" s="158" t="str">
        <f>IF(ISBLANK(E37),BlankCell,IF(ISBLANK(I37),0,DEGREES(ASIN(AD37/I37))))</f>
        <v xml:space="preserve"> </v>
      </c>
      <c r="L38" s="159" t="str">
        <f>IF(ISBLANK(E37),BlankCell,L32)</f>
        <v xml:space="preserve"> </v>
      </c>
      <c r="M38" s="159" t="str">
        <f>IF(ISBLANK(E37),BlankCell,IF(AK37="NA","",AK37))</f>
        <v xml:space="preserve"> </v>
      </c>
      <c r="N38" s="152" t="str">
        <f>IF(OR(ISBLANK(E37),ISBLANK(I37)),"",CONCATENATE(TEXT(AD37,"00"),"/",TEXT(-AE37,"00")))</f>
        <v/>
      </c>
      <c r="O38" s="160" t="str">
        <f>IF(OR(ISBLANK(E37),TotalDistance=0),BlankCell,O36-O37)</f>
        <v xml:space="preserve"> </v>
      </c>
      <c r="P38" s="161"/>
      <c r="Q38" s="150"/>
      <c r="R38" s="155"/>
      <c r="S38" s="162"/>
      <c r="T38" s="160" t="str">
        <f>IF(ISBLANK(E37),BlankCell,T36-T37)</f>
        <v xml:space="preserve"> </v>
      </c>
      <c r="U38" s="109"/>
      <c r="V38" s="392" t="s">
        <v>205</v>
      </c>
      <c r="W38" s="392"/>
      <c r="X38" s="180" t="e">
        <f t="shared" si="2"/>
        <v>#N/A</v>
      </c>
      <c r="Y38" s="180" t="e">
        <f>VLOOKUP(EnrouteAirportID,AFDData,AA38,FALSE)</f>
        <v>#N/A</v>
      </c>
      <c r="Z38" s="180" t="e">
        <f>VLOOKUP(DestinationAirportID,AFDData,AA38,FALSE)</f>
        <v>#N/A</v>
      </c>
      <c r="AA38" s="17">
        <v>22</v>
      </c>
      <c r="AB38" s="20"/>
      <c r="AC38" s="20"/>
      <c r="AD38" s="20"/>
      <c r="AE38" s="20"/>
      <c r="AF38" s="20"/>
      <c r="AG38" s="20"/>
      <c r="AH38" s="20"/>
      <c r="AI38" s="20"/>
      <c r="AJ38" s="20"/>
      <c r="AK38" s="20"/>
    </row>
    <row r="39" spans="2:37" ht="20.25" customHeight="1" x14ac:dyDescent="0.2">
      <c r="B39" s="420"/>
      <c r="C39" s="164" t="str">
        <f>IF(OR(ISBLANK(B38),ISBLANK(C36)),BlankCell,C37)</f>
        <v xml:space="preserve"> </v>
      </c>
      <c r="D39" s="428" t="str">
        <f>IF(OR(IsNavLogFilled=FALSE,CruiseFuelGPH=0,UsableFuelGallons&lt;=0),"",IF(RemainingFuel1&lt;CruiseFuelGPH*0.5,"Insufficient fuel reserves for VFR day or night",IF(RemainingFuel1&lt;CruiseFuelGPH*0.75,"Insufficient fuel reserves for VFR night","")))</f>
        <v/>
      </c>
      <c r="E39" s="428"/>
      <c r="F39" s="428"/>
      <c r="G39" s="428"/>
      <c r="H39" s="428"/>
      <c r="I39" s="428"/>
      <c r="J39" s="429"/>
      <c r="K39" s="428"/>
      <c r="L39" s="428"/>
      <c r="M39" s="118"/>
      <c r="N39" s="110" t="s">
        <v>102</v>
      </c>
      <c r="O39" s="165">
        <f>TotalDistance</f>
        <v>0</v>
      </c>
      <c r="P39" s="118"/>
      <c r="Q39" s="119"/>
      <c r="R39" s="166">
        <f>SUM(R19,R21,R23,R25,R27,R29,R31,R33,R35,R37)</f>
        <v>0</v>
      </c>
      <c r="S39" s="167" t="s">
        <v>304</v>
      </c>
      <c r="T39" s="168">
        <f>SUM(T19,T21,T23,T25,T27,T29,T31,T33,T35,T37)</f>
        <v>0</v>
      </c>
      <c r="U39" s="109"/>
      <c r="V39" s="393" t="s">
        <v>208</v>
      </c>
      <c r="W39" s="393"/>
      <c r="X39" s="181"/>
      <c r="Y39" s="181"/>
      <c r="Z39" s="181"/>
      <c r="AA39" s="17"/>
      <c r="AB39" s="20"/>
      <c r="AC39" s="20"/>
      <c r="AD39" s="20"/>
      <c r="AE39" s="20"/>
      <c r="AF39" s="20"/>
      <c r="AG39" s="20"/>
      <c r="AH39" s="20"/>
      <c r="AI39" s="20"/>
      <c r="AJ39" s="20"/>
      <c r="AK39" s="20"/>
    </row>
    <row r="40" spans="2:37" ht="20.25" customHeight="1" thickBot="1" x14ac:dyDescent="0.25">
      <c r="B40" s="113" t="s">
        <v>22</v>
      </c>
      <c r="C40" s="114"/>
      <c r="D40" s="114"/>
      <c r="E40" s="114"/>
      <c r="F40" s="114"/>
      <c r="G40" s="114"/>
      <c r="H40" s="114"/>
      <c r="I40" s="114"/>
      <c r="J40" s="114"/>
      <c r="K40" s="114"/>
      <c r="L40" s="114"/>
      <c r="M40" s="114"/>
      <c r="N40" s="115"/>
      <c r="O40" s="427" t="s">
        <v>134</v>
      </c>
      <c r="P40" s="427"/>
      <c r="Q40" s="427"/>
      <c r="R40" s="427"/>
      <c r="S40" s="427"/>
      <c r="T40" s="111">
        <f>MIN(T20,T22,T24,T26,T28,T30,T32,T34,T36,T38)</f>
        <v>0</v>
      </c>
      <c r="U40" s="112"/>
      <c r="V40" s="392" t="s">
        <v>209</v>
      </c>
      <c r="W40" s="392"/>
      <c r="X40" s="182"/>
      <c r="Y40" s="182"/>
      <c r="Z40" s="182"/>
      <c r="AA40" s="17"/>
    </row>
    <row r="41" spans="2:37" x14ac:dyDescent="0.2">
      <c r="B41" s="5" t="str">
        <f ca="1">'Check Lists'!A50</f>
        <v>©2025 Nick Elsey.  Version 3.53.  Printed: March 07, 2025</v>
      </c>
    </row>
    <row r="42" spans="2:37" ht="7.5" customHeight="1" x14ac:dyDescent="0.2"/>
  </sheetData>
  <sheetProtection algorithmName="SHA-512" hashValue="pAEQPtQyETpSEGHL3Id9qtcEXF9SeAEbIWhe9JH9Gqr+puFk13O/qdG5YqDgmVDXadTpMg49V1+gdfQ1+4tdVQ==" saltValue="mvKvRuGlLd6ERhSjUrxjzw==" spinCount="100000" sheet="1" objects="1" scenarios="1"/>
  <mergeCells count="130">
    <mergeCell ref="I25:I26"/>
    <mergeCell ref="O40:S40"/>
    <mergeCell ref="D39:L39"/>
    <mergeCell ref="E37:E38"/>
    <mergeCell ref="I33:I34"/>
    <mergeCell ref="G34:H34"/>
    <mergeCell ref="I37:I38"/>
    <mergeCell ref="F35:F36"/>
    <mergeCell ref="I35:I36"/>
    <mergeCell ref="G38:H38"/>
    <mergeCell ref="B28:B29"/>
    <mergeCell ref="B2:U2"/>
    <mergeCell ref="B18:B19"/>
    <mergeCell ref="F21:F22"/>
    <mergeCell ref="G36:H36"/>
    <mergeCell ref="B32:B33"/>
    <mergeCell ref="B34:B35"/>
    <mergeCell ref="B36:B37"/>
    <mergeCell ref="E35:E36"/>
    <mergeCell ref="I3:T4"/>
    <mergeCell ref="B5:T5"/>
    <mergeCell ref="B15:B17"/>
    <mergeCell ref="F15:F18"/>
    <mergeCell ref="D15:E18"/>
    <mergeCell ref="B7:T8"/>
    <mergeCell ref="B9:T10"/>
    <mergeCell ref="B13:T14"/>
    <mergeCell ref="L15:L16"/>
    <mergeCell ref="M15:M16"/>
    <mergeCell ref="L17:L18"/>
    <mergeCell ref="M17:M18"/>
    <mergeCell ref="B30:B31"/>
    <mergeCell ref="I27:I28"/>
    <mergeCell ref="I23:I24"/>
    <mergeCell ref="V2:Z2"/>
    <mergeCell ref="X13:X14"/>
    <mergeCell ref="Y13:Y14"/>
    <mergeCell ref="Z13:Z14"/>
    <mergeCell ref="X6:X7"/>
    <mergeCell ref="Y6:Y7"/>
    <mergeCell ref="Z6:Z7"/>
    <mergeCell ref="V11:W12"/>
    <mergeCell ref="B38:B39"/>
    <mergeCell ref="E33:E34"/>
    <mergeCell ref="E19:E20"/>
    <mergeCell ref="F19:F20"/>
    <mergeCell ref="E27:E28"/>
    <mergeCell ref="F27:F28"/>
    <mergeCell ref="F25:F26"/>
    <mergeCell ref="E21:E22"/>
    <mergeCell ref="F33:F34"/>
    <mergeCell ref="F37:F38"/>
    <mergeCell ref="E31:E32"/>
    <mergeCell ref="E23:E24"/>
    <mergeCell ref="E25:E26"/>
    <mergeCell ref="E29:E30"/>
    <mergeCell ref="B24:B25"/>
    <mergeCell ref="B26:B27"/>
    <mergeCell ref="G24:H24"/>
    <mergeCell ref="G26:H26"/>
    <mergeCell ref="G32:H32"/>
    <mergeCell ref="V16:W16"/>
    <mergeCell ref="V17:Z17"/>
    <mergeCell ref="V22:W22"/>
    <mergeCell ref="F31:F32"/>
    <mergeCell ref="I31:I32"/>
    <mergeCell ref="K17:K18"/>
    <mergeCell ref="I15:I16"/>
    <mergeCell ref="G20:H20"/>
    <mergeCell ref="G16:G17"/>
    <mergeCell ref="K15:K16"/>
    <mergeCell ref="H16:H17"/>
    <mergeCell ref="F23:F24"/>
    <mergeCell ref="G28:H28"/>
    <mergeCell ref="P17:P18"/>
    <mergeCell ref="N15:N16"/>
    <mergeCell ref="N17:N18"/>
    <mergeCell ref="F29:F30"/>
    <mergeCell ref="G15:H15"/>
    <mergeCell ref="G30:H30"/>
    <mergeCell ref="I29:I30"/>
    <mergeCell ref="V15:W15"/>
    <mergeCell ref="C3:E4"/>
    <mergeCell ref="F3:H4"/>
    <mergeCell ref="B6:T6"/>
    <mergeCell ref="I21:I22"/>
    <mergeCell ref="I19:I20"/>
    <mergeCell ref="B11:T12"/>
    <mergeCell ref="R16:S16"/>
    <mergeCell ref="R15:S15"/>
    <mergeCell ref="B3:B4"/>
    <mergeCell ref="G18:H18"/>
    <mergeCell ref="B20:B21"/>
    <mergeCell ref="B22:B23"/>
    <mergeCell ref="G22:H22"/>
    <mergeCell ref="V34:V35"/>
    <mergeCell ref="V38:W38"/>
    <mergeCell ref="V39:W39"/>
    <mergeCell ref="V36:Z36"/>
    <mergeCell ref="V23:V25"/>
    <mergeCell ref="W28:W29"/>
    <mergeCell ref="V40:W40"/>
    <mergeCell ref="V18:W18"/>
    <mergeCell ref="V19:W19"/>
    <mergeCell ref="V20:W20"/>
    <mergeCell ref="V21:W21"/>
    <mergeCell ref="W24:W25"/>
    <mergeCell ref="V26:V29"/>
    <mergeCell ref="V30:V33"/>
    <mergeCell ref="W32:W33"/>
    <mergeCell ref="V37:W37"/>
    <mergeCell ref="AA4:AA5"/>
    <mergeCell ref="AA6:AA7"/>
    <mergeCell ref="AA9:AA10"/>
    <mergeCell ref="AA11:AA12"/>
    <mergeCell ref="AA13:AA14"/>
    <mergeCell ref="X9:X10"/>
    <mergeCell ref="Z9:Z10"/>
    <mergeCell ref="Z4:Z5"/>
    <mergeCell ref="V8:Z8"/>
    <mergeCell ref="V13:W14"/>
    <mergeCell ref="Y9:Y10"/>
    <mergeCell ref="X11:X12"/>
    <mergeCell ref="Y11:Y12"/>
    <mergeCell ref="Z11:Z12"/>
    <mergeCell ref="V6:W7"/>
    <mergeCell ref="V4:W5"/>
    <mergeCell ref="V9:W10"/>
    <mergeCell ref="X4:X5"/>
    <mergeCell ref="Y4:Y5"/>
  </mergeCells>
  <phoneticPr fontId="0" type="noConversion"/>
  <conditionalFormatting sqref="T39 R39 B18:B19 O39 O18">
    <cfRule type="cellIs" dxfId="29" priority="1" stopIfTrue="1" operator="equal">
      <formula>0</formula>
    </cfRule>
  </conditionalFormatting>
  <conditionalFormatting sqref="W35 X39:Z40">
    <cfRule type="expression" dxfId="28" priority="2" stopIfTrue="1">
      <formula>ISBLANK($Y$28)=TRUE</formula>
    </cfRule>
  </conditionalFormatting>
  <conditionalFormatting sqref="X6:X7 X18:X35 X37:X38">
    <cfRule type="expression" dxfId="27" priority="3" stopIfTrue="1">
      <formula>ISBLANK(DepartureAirportID)=TRUE</formula>
    </cfRule>
    <cfRule type="cellIs" dxfId="26" priority="4" stopIfTrue="1" operator="equal">
      <formula>0</formula>
    </cfRule>
  </conditionalFormatting>
  <conditionalFormatting sqref="Y6:Y7">
    <cfRule type="expression" dxfId="25" priority="5" stopIfTrue="1">
      <formula>ISBLANK(EnrouteAirportID)=TRUE</formula>
    </cfRule>
    <cfRule type="cellIs" dxfId="24" priority="6" stopIfTrue="1" operator="equal">
      <formula>0</formula>
    </cfRule>
  </conditionalFormatting>
  <conditionalFormatting sqref="Z6:Z7">
    <cfRule type="expression" dxfId="23" priority="7" stopIfTrue="1">
      <formula>ISBLANK(DestinationAirportID)=TRUE</formula>
    </cfRule>
    <cfRule type="cellIs" dxfId="22" priority="8" stopIfTrue="1" operator="equal">
      <formula>0</formula>
    </cfRule>
  </conditionalFormatting>
  <conditionalFormatting sqref="Y18:Y35 Y37:Y38">
    <cfRule type="expression" dxfId="21" priority="9" stopIfTrue="1">
      <formula>ISBLANK(EnrouteAirportID)=TRUE</formula>
    </cfRule>
    <cfRule type="cellIs" dxfId="20" priority="10" stopIfTrue="1" operator="equal">
      <formula>0</formula>
    </cfRule>
  </conditionalFormatting>
  <conditionalFormatting sqref="Z18:Z35 Z37:Z38">
    <cfRule type="expression" dxfId="19" priority="11" stopIfTrue="1">
      <formula>ISBLANK(DestinationAirportID)=TRUE</formula>
    </cfRule>
    <cfRule type="cellIs" dxfId="18" priority="12" stopIfTrue="1" operator="equal">
      <formula>0</formula>
    </cfRule>
  </conditionalFormatting>
  <conditionalFormatting sqref="AB1:AK1048576">
    <cfRule type="expression" dxfId="17" priority="13" stopIfTrue="1">
      <formula>IsTemplateInstalled="Yes"</formula>
    </cfRule>
  </conditionalFormatting>
  <conditionalFormatting sqref="K19 K21 K23 K25 K27 K29 K31 K33 K35 K37">
    <cfRule type="expression" dxfId="16" priority="14" stopIfTrue="1">
      <formula>AG19&gt;=0</formula>
    </cfRule>
  </conditionalFormatting>
  <dataValidations xWindow="282" yWindow="443" count="60">
    <dataValidation allowBlank="1" showInputMessage="1" showErrorMessage="1" promptTitle="Check Point" prompt="Enter a descption of the check point (way point)" sqref="B18:B39" xr:uid="{00000000-0002-0000-0400-000000000000}"/>
    <dataValidation allowBlank="1" showInputMessage="1" showErrorMessage="1" promptTitle="Referenced Aircraft Number" prompt="Enter the Aircraft Number on the 'Check Lists' sheet." sqref="C3" xr:uid="{00000000-0002-0000-0400-000001000000}"/>
    <dataValidation allowBlank="1" showInputMessage="1" showErrorMessage="1" promptTitle="Notes" prompt="Use these fields for general notes, details on contact procedures at intermediate airports &amp; controlled airspace, FSS frequencies, etc." sqref="AA11:AA13 U5:U14 B7:T14" xr:uid="{00000000-0002-0000-0400-000002000000}"/>
    <dataValidation allowBlank="1" showInputMessage="1" showErrorMessage="1" promptTitle="VOR Ident" prompt="Optional VOR / NavAid identifier to use for this check point." sqref="C18 C38 C34 C22 C32 C36 C24 C26 C28 C30 C20" xr:uid="{00000000-0002-0000-0400-000003000000}"/>
    <dataValidation type="decimal" allowBlank="1" showInputMessage="1" showErrorMessage="1" errorTitle="VOR Frequency" error="Frequency must be a valid number in the range 108.000 to 117.950" promptTitle="VOR Frequency" prompt="Optional VOR / NavAid frequency to use for this check point." sqref="C19 C27 C23 C31 C35 C39" xr:uid="{00000000-0002-0000-0400-000004000000}">
      <formula1>108</formula1>
      <formula2>117.95</formula2>
    </dataValidation>
    <dataValidation allowBlank="1" showInputMessage="1" showErrorMessage="1" promptTitle="Course" prompt="Use &quot;D-&gt;&quot; for direct, or &quot;Onnn&quot; for an outbound VOR radial (where nnn is the heading), or  &quot;Innn&quot; for an inbound VOR radial." sqref="E19:E38" xr:uid="{00000000-0002-0000-0400-000005000000}"/>
    <dataValidation allowBlank="1" showInputMessage="1" showErrorMessage="1" promptTitle="Altitude" prompt="The altitude to fly for this leg of the route. Above 3000 AGL, use odd 1000's+500' for 0 to 179 deg magnetic, even 1000's+500' otherwise. " sqref="F19:F38" xr:uid="{00000000-0002-0000-0400-000006000000}"/>
    <dataValidation allowBlank="1" showInputMessage="1" showErrorMessage="1" promptTitle="Calculated Wind Correction Angle" prompt="The WCA (in degrees) will be automatically calculated from the supplied KTAS and wind direction &amp; speed for this leg." sqref="K36 K34 K20 K22 K24 K26 K28 K30 K32 K38" xr:uid="{00000000-0002-0000-0400-000007000000}"/>
    <dataValidation allowBlank="1" showInputMessage="1" showErrorMessage="1" promptTitle="Calculated True Heading" prompt="This value is calculated from the true course, corrected by the WCA." sqref="L31 L21 L19 L23 L25 L27 L29 L37 L33 L35" xr:uid="{00000000-0002-0000-0400-000008000000}"/>
    <dataValidation allowBlank="1" showInputMessage="1" showErrorMessage="1" promptTitle="Calculated Magnetic Heading" prompt="This is the true heading, corrected for the magnetic variance you supplied." sqref="M31 M21 M19 M23 M25 M27 M29 M37 M33 M35" xr:uid="{00000000-0002-0000-0400-000009000000}"/>
    <dataValidation allowBlank="1" showInputMessage="1" showErrorMessage="1" promptTitle="Calculated Compass Heading" prompt="This is the magnetic heading, corrected for compass the deviation you supplied." sqref="N19 N21 N23 N25 N27 N29 N31 N33 N35 N37" xr:uid="{00000000-0002-0000-0400-00000A000000}"/>
    <dataValidation allowBlank="1" showInputMessage="1" showErrorMessage="1" promptTitle="Calculated Total Distance" prompt="This is the total distance (in miles) for this trip." sqref="O39 O18" xr:uid="{00000000-0002-0000-0400-00000B000000}"/>
    <dataValidation allowBlank="1" showInputMessage="1" showErrorMessage="1" promptTitle="Calculated remaning distance" prompt="The distance after the end of this leg to the end of the route." sqref="O38 O22 O20 O24 O26 O28 O30 O32 O34 O36" xr:uid="{00000000-0002-0000-0400-00000C000000}"/>
    <dataValidation allowBlank="1" showInputMessage="1" showErrorMessage="1" promptTitle="Calculated Est. Ground Speed" prompt="This is calculated from the supplied TAS value and the wind correct factor." sqref="P31 P21 P19 P23 P25 P27 P29 P37 P33 P35" xr:uid="{00000000-0002-0000-0400-00000D000000}"/>
    <dataValidation allowBlank="1" showInputMessage="1" showErrorMessage="1" promptTitle="Actual Ground Speed" prompt="You would normally write this value in en-route." sqref="P38 P22 P20 P24 P26 P28 P30 P32 P34 P36" xr:uid="{00000000-0002-0000-0400-00000E000000}"/>
    <dataValidation allowBlank="1" showInputMessage="1" showErrorMessage="1" promptTitle="Actual Time En-route" prompt="You would normally enter this value en-route" sqref="R38 R22 R20 R24 R26 R28 R30 R32 R34 R36" xr:uid="{00000000-0002-0000-0400-00000F000000}"/>
    <dataValidation allowBlank="1" showInputMessage="1" showErrorMessage="1" promptTitle="Calculated Total Time En-route" prompt="The total time for the trip." sqref="R39" xr:uid="{00000000-0002-0000-0400-000010000000}"/>
    <dataValidation allowBlank="1" showInputMessage="1" showErrorMessage="1" promptTitle="Estimated Time of Arrival" prompt="The estimated time to reach the end of this leg. Normally you would write this in en-route, but it will be calculated if you fill in the 'Time Off' field above." sqref="S31 S21 S19 S23 S25 S27 S29 S37 S33 S35" xr:uid="{00000000-0002-0000-0400-000011000000}"/>
    <dataValidation allowBlank="1" showInputMessage="1" showErrorMessage="1" promptTitle="Actual Time of Arrival" prompt="The actual time you reached the end of this leg. Normally you would write this in en-route." sqref="S38 S22 S20 S24 S26 S28 S30 S32 S34 S36" xr:uid="{00000000-0002-0000-0400-000012000000}"/>
    <dataValidation type="time" allowBlank="1" showInputMessage="1" showErrorMessage="1" errorTitle="Time Off" error="Please enter a valid zulu time in the format &quot;hh:mm&quot;." promptTitle="Time Off" prompt="The time you took off. Normally you would write this in, but if you enter a value the ETA's below will be calculated." sqref="R16:S16" xr:uid="{00000000-0002-0000-0400-000013000000}">
      <formula1>0</formula1>
      <formula2>0.999305555555556</formula2>
    </dataValidation>
    <dataValidation type="decimal" allowBlank="1" showInputMessage="1" showErrorMessage="1" errorTitle="Gallons Per Hour" error="Enter a valid decimal number (0.1 to 1000)." promptTitle="Gallons Per Hour" prompt="Enter a GPH value for your cruise performance." sqref="T16" xr:uid="{00000000-0002-0000-0400-000014000000}">
      <formula1>0.1</formula1>
      <formula2>1000</formula2>
    </dataValidation>
    <dataValidation allowBlank="1" showInputMessage="1" showErrorMessage="1" promptTitle="Calculated Fuel Remaining" prompt="The calculated usable fuel after this leg of the route." sqref="T38 T22 T20 T24 T26 T28 T30 T32 T34 T36" xr:uid="{00000000-0002-0000-0400-000015000000}"/>
    <dataValidation allowBlank="1" showInputMessage="1" showErrorMessage="1" promptTitle="Calculated Total Fuel Used" prompt="The total fuel used for the trip, including taxi, runup, takeoff and climb." sqref="T39" xr:uid="{00000000-0002-0000-0400-000016000000}"/>
    <dataValidation allowBlank="1" showInputMessage="1" showErrorMessage="1" promptTitle="Calculation Cell" prompt="Please ignore these cells." sqref="AF18:AK39 AB17:AE39" xr:uid="{00000000-0002-0000-0400-000017000000}"/>
    <dataValidation allowBlank="1" showInputMessage="1" showErrorMessage="1" errorTitle="Temperature" error="Enter a valid temperature between -50 and +50." promptTitle="Temperature" prompt="Enter the temperature in degress C. If climbing or descending, average values between top &amp; bottom." sqref="G22:H22 G36:H36 G24:H24 G26:H26 G28:H28 G30:H30 G38:H38 G32:H32 G34:H34 G20" xr:uid="{00000000-0002-0000-0400-000018000000}"/>
    <dataValidation type="whole" allowBlank="1" showInputMessage="1" showErrorMessage="1" errorTitle="Airspeed" error="Enter a valid airpseed (0 to 1000) in knots." promptTitle="Airspeed" prompt="Enter a valid cruise, climb or descent airspeed, as taken from the performance section of your POH." sqref="I19:I38" xr:uid="{00000000-0002-0000-0400-000019000000}">
      <formula1>0</formula1>
      <formula2>1000</formula2>
    </dataValidation>
    <dataValidation type="decimal" allowBlank="1" showInputMessage="1" showErrorMessage="1" errorTitle="Leg Distance" error="Enter a valid distance in miles." promptTitle="Leg Distance" prompt="The distance (in nm) between the two check points. You must enter this value." sqref="O21 O19 O23 O25 O27 O29 O31 O37 O33 O35" xr:uid="{00000000-0002-0000-0400-00001A000000}">
      <formula1>0</formula1>
      <formula2>1000</formula2>
    </dataValidation>
    <dataValidation type="whole" allowBlank="1" showInputMessage="1" showErrorMessage="1" errorTitle="Wind Direection" error="Value must be a valid compass direction (0 to 359)." promptTitle="Wind Direction" prompt="Enter the true wind heading. Be sure to correct ATIS/ASOS wind reports from magnetic to true heading (un-correct for variance). If climbing or descending, average values for top &amp; bottom." sqref="G35 G21 G23 G25 G27 G29 G31 G37 G33 G19" xr:uid="{00000000-0002-0000-0400-00001B000000}">
      <formula1>0</formula1>
      <formula2>359</formula2>
    </dataValidation>
    <dataValidation type="whole" allowBlank="1" showInputMessage="1" showErrorMessage="1" errorTitle="Wind Velocity" error="Please enter a valid numeric wind velocity." promptTitle="Wind Velocity" prompt="Enter the wind velocity in knots for this leg. If climbing or descending on this leg, average the values for top &amp; bottom." sqref="H35 H21 H23 H25 H27 H29 H31 H37 H33 H19" xr:uid="{00000000-0002-0000-0400-00001C000000}">
      <formula1>0</formula1>
      <formula2>200</formula2>
    </dataValidation>
    <dataValidation type="whole" allowBlank="1" showInputMessage="1" showErrorMessage="1" errorTitle="True Course" error="Enter a valid direction (0 to 359)." promptTitle="True Course" prompt="Enter the true course for this leg of the route. If you entered a valid VOR radial in the 'Course' cell, this will be calcualted for you (but you must enter a valid variance for this leg)." sqref="K19 K33 K21 K23 K25 K27 K29 K35 K31 K37" xr:uid="{00000000-0002-0000-0400-00001D000000}">
      <formula1>0</formula1>
      <formula2>359</formula2>
    </dataValidation>
    <dataValidation type="decimal" allowBlank="1" showInputMessage="1" showErrorMessage="1" promptTitle="Calculated Est. Time Enroute" prompt="This is the calculated crusie time between check points and is normally calculated for you, but you may over-ride it for climbing legs." sqref="R19 R33 R21 R23 R25 R27 R29 R35 R31 R37" xr:uid="{00000000-0002-0000-0400-00001E000000}">
      <formula1>0</formula1>
      <formula2>1000</formula2>
    </dataValidation>
    <dataValidation type="decimal" allowBlank="1" showInputMessage="1" showErrorMessage="1" errorTitle="Leg Fuel Consumption" error="Please enter a valid decimal number." promptTitle="Leg Fuel Consumption" prompt="This will be normally be calculated from the GPH value above, and the ETE time for this leg, but you may over-ride it for a climb leg." sqref="T19 T21 T23 T25 T27 T29 T31 T37 T33 T35" xr:uid="{00000000-0002-0000-0400-00001F000000}">
      <formula1>0</formula1>
      <formula2>1000</formula2>
    </dataValidation>
    <dataValidation allowBlank="1" showInputMessage="1" showErrorMessage="1" promptTitle="Calculation Cell" prompt="This cell is used to perform intermediate calculations and should not be modified." sqref="T40" xr:uid="{00000000-0002-0000-0400-000020000000}"/>
    <dataValidation type="whole" allowBlank="1" showInputMessage="1" showErrorMessage="1" errorTitle="Magnetic Deviation" error="Enter a valid devation value (whole number in the range -10 to 10)." promptTitle="Magnetic Deviation" prompt="Enter the magnetic deviation of your aircraft's compass for this segment of the compass rose." sqref="M20 M22 M24 M26 M28 M30 M32 M34 M36 M38" xr:uid="{00000000-0002-0000-0400-000021000000}">
      <formula1>-20</formula1>
      <formula2>20</formula2>
    </dataValidation>
    <dataValidation allowBlank="1" showInputMessage="1" showErrorMessage="1" errorTitle="VOR Frequency" error="Frequency must be a valid number in the range 108.000 to 117.950" promptTitle="VOR Frequency" prompt="Optional VOR / NavAid frequency to use for this check point." sqref="C21 C25 C29 C33 C37" xr:uid="{00000000-0002-0000-0400-000022000000}"/>
    <dataValidation type="list" allowBlank="1" showInputMessage="1" showErrorMessage="1" sqref="X4:Z5" xr:uid="{00000000-0002-0000-0400-000023000000}">
      <formula1>AirportIdentifiers</formula1>
    </dataValidation>
    <dataValidation allowBlank="1" showInputMessage="1" showErrorMessage="1" promptTitle="ATIS / ASOS Information" prompt="You would normally fill in this field during the flight." sqref="X9:Z16" xr:uid="{00000000-0002-0000-0400-000024000000}"/>
    <dataValidation allowBlank="1" showInputMessage="1" showErrorMessage="1" promptTitle="Notes" prompt="This is the suggested verbiage to use when opening your flight plan after take off." sqref="B5:T5" xr:uid="{00000000-0002-0000-0400-000025000000}"/>
    <dataValidation allowBlank="1" showInputMessage="1" showErrorMessage="1" promptTitle="Notes" prompt="This is the suggested verbiage to use when requesting flight following after take off from a non-tower airport." sqref="B6:T6" xr:uid="{00000000-0002-0000-0400-000026000000}"/>
    <dataValidation allowBlank="1" showInputMessage="1" showErrorMessage="1" promptTitle="Runways" prompt="Enter the runways for this airport (and indicate right traffic if appropriate), if no valid airport identifier has been selected for this column." sqref="X38:Z38" xr:uid="{00000000-0002-0000-0400-000027000000}"/>
    <dataValidation allowBlank="1" showInputMessage="1" showErrorMessage="1" promptTitle="ATIS / ASOS" prompt="Enter a ATIS or ASOS frequency if no valid airport identifier has been selected for this column." sqref="X18:Z18" xr:uid="{00000000-0002-0000-0400-000028000000}"/>
    <dataValidation allowBlank="1" showInputMessage="1" showErrorMessage="1" promptTitle="UNICOM" prompt="Enter a UNICOM if no valid airport identifier has been selected for this column." sqref="X19:Z19" xr:uid="{00000000-0002-0000-0400-000029000000}"/>
    <dataValidation allowBlank="1" showInputMessage="1" showErrorMessage="1" promptTitle="CTAF" prompt="Enter a CTAF frequency if no valid airport identifier has been selected for this column." sqref="X20:Z20" xr:uid="{00000000-0002-0000-0400-00002A000000}"/>
    <dataValidation allowBlank="1" showInputMessage="1" showErrorMessage="1" promptTitle="Clearance delivery" prompt="Enter a clearance delivery frequency if no valid airport identifier has been selected for this column." sqref="X21:Z21" xr:uid="{00000000-0002-0000-0400-00002B000000}"/>
    <dataValidation allowBlank="1" showInputMessage="1" showErrorMessage="1" promptTitle="Ground" prompt="Enter a ground frequency if no valid airport identifier has been selected for this column." sqref="X22:Z22" xr:uid="{00000000-0002-0000-0400-00002C000000}"/>
    <dataValidation allowBlank="1" showInputMessage="1" showErrorMessage="1" promptTitle="Tower operating times" prompt="Enter the hours (zulu) that the control tower is in operation, if no valid airport identifier has been selected for this column." sqref="X23:Z23" xr:uid="{00000000-0002-0000-0400-00002D000000}"/>
    <dataValidation allowBlank="1" showInputMessage="1" showErrorMessage="1" promptTitle="Tower frequencies and applic." prompt="Enter the tower frequencies and their applicabilities (headings, runways, etc.) if no valid airport identifier has been selected for this column." sqref="X24:Z25" xr:uid="{00000000-0002-0000-0400-00002E000000}"/>
    <dataValidation allowBlank="1" showInputMessage="1" showErrorMessage="1" promptTitle="App/Dep ATC Name (normal hours)" prompt="Enter the name of the ATC App/Dep facility during normal operating hours, if no valid airport identifier has been selected for this column." sqref="X26:Z26" xr:uid="{00000000-0002-0000-0400-00002F000000}"/>
    <dataValidation allowBlank="1" showInputMessage="1" showErrorMessage="1" promptTitle="App/Dep ATC Name (other hours)" prompt="Enter the name of the ATC App/Dep facility outside normal operating hours, if no valid airport identifier has been selected for this column." sqref="X30:Z30" xr:uid="{00000000-0002-0000-0400-000030000000}"/>
    <dataValidation allowBlank="1" showInputMessage="1" showErrorMessage="1" promptTitle="App/Dep Times (normal hours)" prompt="Enter the operating hours (zulu) of the ATC App/Dep facility above, if no valid airport identifier has been selected for this column." sqref="X27:Z27" xr:uid="{00000000-0002-0000-0400-000031000000}"/>
    <dataValidation allowBlank="1" showInputMessage="1" showErrorMessage="1" promptTitle="App/Dep Times (other hours)" prompt="Enter the operating hours (zulu) of the ATC App/Dep facility above, if no valid airport identifier has been selected for this column." sqref="X31:Z31" xr:uid="{00000000-0002-0000-0400-000032000000}"/>
    <dataValidation allowBlank="1" showInputMessage="1" showErrorMessage="1" promptTitle="Normal App/Dep freq and applic." prompt="Enter the App/Dep frequencies and their applicabilities (headings, runways, etc.) for normal operating hours, if no valid airport identifier has been selected for this column." sqref="X28:Z29" xr:uid="{00000000-0002-0000-0400-000033000000}"/>
    <dataValidation allowBlank="1" showInputMessage="1" showErrorMessage="1" promptTitle="Other App/Dep freq and applic." prompt="Enter the App/Dep frequencies and their applicabilities (headings, runways, etc.) for outside normal operating hours, if no valid airport identifier has been selected for this column." sqref="X32:Z33" xr:uid="{00000000-0002-0000-0400-000034000000}"/>
    <dataValidation allowBlank="1" showInputMessage="1" showErrorMessage="1" promptTitle="FSS Name" prompt="Enter the name of the FSS facility, if no valid airport identifier has been selected for this column." sqref="X34:Z34" xr:uid="{00000000-0002-0000-0400-000035000000}"/>
    <dataValidation allowBlank="1" showInputMessage="1" showErrorMessage="1" promptTitle="FSS Frequency" prompt="Enter the frequency for the FSS facility, if no valid airport identifier has been selected for this column." sqref="X35:Z35" xr:uid="{00000000-0002-0000-0400-000036000000}"/>
    <dataValidation allowBlank="1" showInputMessage="1" showErrorMessage="1" promptTitle="Field / Pattern Altitude" prompt="Enter the airport field and pattern altitudes, if no valid airport identifier has been selected for this column." sqref="X37:Z37" xr:uid="{00000000-0002-0000-0400-000037000000}"/>
    <dataValidation allowBlank="1" showInputMessage="1" showErrorMessage="1" promptTitle="Takeoff performance" prompt="Calculate (based on density altitude, forcast winds, etc.) the takeoff ground roll and 50' obstacle clearance distances for this airport." sqref="X39:Z39" xr:uid="{00000000-0002-0000-0400-000038000000}"/>
    <dataValidation allowBlank="1" showInputMessage="1" showErrorMessage="1" promptTitle="Landing performance" prompt="Calculate (based on density altitude, forcast winds, etc.) the landing 50' obstacle clearance and ground roll distances for this airport." sqref="X40:Z40" xr:uid="{00000000-0002-0000-0400-000039000000}"/>
    <dataValidation type="whole" allowBlank="1" showInputMessage="1" showErrorMessage="1" errorTitle="Magnetic Variance" error="Enter a value variance in the range -30 to +30." promptTitle="Magnetic Variance" prompt="Enter a the magnetic variance for the isogonic line nearest this leg of the route. " sqref="L20 L22 L24 L26 L28 L30 L32 L34 L36 L38" xr:uid="{00000000-0002-0000-0400-00003A000000}">
      <formula1>-30</formula1>
      <formula2>30</formula2>
    </dataValidation>
    <dataValidation allowBlank="1" showInputMessage="1" showErrorMessage="1" promptTitle="Headwind and Crosswind" prompt="For information only, the calculated headwind and cross wind components." sqref="N20 N22 N24 N26 N28 N30 N32 N34 N36 N38" xr:uid="{00000000-0002-0000-0400-00003B000000}"/>
  </dataValidations>
  <pageMargins left="0.19685039370078741" right="0.19685039370078741" top="0.31496062992125984" bottom="0.31496062992125984" header="0.19685039370078741" footer="0.19685039370078741"/>
  <pageSetup paperSize="9" scale="77" orientation="landscape" r:id="rId1"/>
  <headerFooter alignWithMargins="0"/>
  <ignoredErrors>
    <ignoredError sqref="B18" unlockedFormula="1"/>
    <ignoredError sqref="V6:XFD17 V30:XFD40 V18:Z27 AB18:XFD27 V28:Z28 AB28:XFD28 V29:Z29 AB29:XFD29" evalError="1"/>
  </ignoredErrors>
  <drawing r:id="rId2"/>
  <extLst>
    <ext xmlns:mx="http://schemas.microsoft.com/office/mac/excel/2008/main" uri="{64002731-A6B0-56B0-2670-7721B7C09600}">
      <mx:PLV Mode="0"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pageSetUpPr fitToPage="1"/>
  </sheetPr>
  <dimension ref="B1:AL42"/>
  <sheetViews>
    <sheetView showGridLines="0" showRowColHeaders="0" zoomScaleNormal="100" workbookViewId="0"/>
  </sheetViews>
  <sheetFormatPr baseColWidth="10" defaultColWidth="0" defaultRowHeight="12.75" customHeight="1" zeroHeight="1" x14ac:dyDescent="0.2"/>
  <cols>
    <col min="1" max="1" width="9" customWidth="1"/>
    <col min="2" max="2" width="15.3984375" customWidth="1"/>
    <col min="3" max="3" width="6.3984375" customWidth="1"/>
    <col min="4" max="4" width="1.796875" customWidth="1"/>
    <col min="5" max="5" width="5.3984375" customWidth="1"/>
    <col min="6" max="6" width="7.59765625" customWidth="1"/>
    <col min="7" max="7" width="4.3984375" customWidth="1"/>
    <col min="8" max="8" width="3.3984375" customWidth="1"/>
    <col min="9" max="9" width="5.3984375" customWidth="1"/>
    <col min="10" max="10" width="0.3984375" customWidth="1"/>
    <col min="11" max="14" width="5" customWidth="1"/>
    <col min="15" max="16" width="5.3984375" customWidth="1"/>
    <col min="17" max="17" width="0.3984375" customWidth="1"/>
    <col min="18" max="18" width="5.3984375" customWidth="1"/>
    <col min="19" max="19" width="6.3984375" customWidth="1"/>
    <col min="20" max="20" width="5" customWidth="1"/>
    <col min="21" max="21" width="0.59765625" customWidth="1"/>
    <col min="22" max="22" width="3.3984375" style="1" customWidth="1"/>
    <col min="23" max="23" width="6.3984375" style="1" customWidth="1"/>
    <col min="24" max="26" width="15.3984375" style="1" customWidth="1"/>
    <col min="27" max="27" width="3.3984375" style="19" customWidth="1"/>
    <col min="28" max="31" width="10" hidden="1" customWidth="1"/>
    <col min="32" max="32" width="10.796875" hidden="1" customWidth="1"/>
    <col min="33" max="33" width="5.796875" hidden="1" customWidth="1"/>
    <col min="34" max="34" width="9" hidden="1" customWidth="1"/>
    <col min="35" max="35" width="8.59765625" hidden="1" customWidth="1"/>
    <col min="36" max="37" width="8.796875" hidden="1" customWidth="1"/>
  </cols>
  <sheetData>
    <row r="1" spans="2:31" ht="14" x14ac:dyDescent="0.2"/>
    <row r="2" spans="2:31" ht="19" x14ac:dyDescent="0.2">
      <c r="B2" s="423" t="s">
        <v>306</v>
      </c>
      <c r="C2" s="423"/>
      <c r="D2" s="423"/>
      <c r="E2" s="423"/>
      <c r="F2" s="423"/>
      <c r="G2" s="423"/>
      <c r="H2" s="423"/>
      <c r="I2" s="423"/>
      <c r="J2" s="423"/>
      <c r="K2" s="423"/>
      <c r="L2" s="423"/>
      <c r="M2" s="423"/>
      <c r="N2" s="423"/>
      <c r="O2" s="423"/>
      <c r="P2" s="423"/>
      <c r="Q2" s="423"/>
      <c r="R2" s="423"/>
      <c r="S2" s="423"/>
      <c r="T2" s="423"/>
      <c r="U2" s="423"/>
      <c r="V2" s="419" t="s">
        <v>194</v>
      </c>
      <c r="W2" s="419"/>
      <c r="X2" s="419"/>
      <c r="Y2" s="419"/>
      <c r="Z2" s="419"/>
      <c r="AA2" s="13"/>
    </row>
    <row r="3" spans="2:31" ht="9.75" customHeight="1" x14ac:dyDescent="0.3">
      <c r="B3" s="406" t="s">
        <v>151</v>
      </c>
      <c r="C3" s="398" t="str">
        <f>'Navigation Log'!C3:E4</f>
        <v/>
      </c>
      <c r="D3" s="398"/>
      <c r="E3" s="398"/>
      <c r="F3" s="399" t="s">
        <v>113</v>
      </c>
      <c r="G3" s="399"/>
      <c r="H3" s="399"/>
      <c r="I3" s="424"/>
      <c r="J3" s="424"/>
      <c r="K3" s="424"/>
      <c r="L3" s="424"/>
      <c r="M3" s="424"/>
      <c r="N3" s="424"/>
      <c r="O3" s="424"/>
      <c r="P3" s="424"/>
      <c r="Q3" s="424"/>
      <c r="R3" s="424"/>
      <c r="S3" s="424"/>
      <c r="T3" s="424"/>
      <c r="U3" s="105"/>
      <c r="V3" s="169"/>
      <c r="W3" s="169"/>
      <c r="X3" s="183" t="s">
        <v>33</v>
      </c>
      <c r="Y3" s="183" t="s">
        <v>195</v>
      </c>
      <c r="Z3" s="183" t="s">
        <v>34</v>
      </c>
      <c r="AA3" s="14"/>
    </row>
    <row r="4" spans="2:31" s="3" customFormat="1" ht="9.75" customHeight="1" x14ac:dyDescent="0.3">
      <c r="B4" s="406"/>
      <c r="C4" s="398"/>
      <c r="D4" s="398"/>
      <c r="E4" s="398"/>
      <c r="F4" s="399"/>
      <c r="G4" s="399"/>
      <c r="H4" s="399"/>
      <c r="I4" s="424"/>
      <c r="J4" s="424"/>
      <c r="K4" s="424"/>
      <c r="L4" s="424"/>
      <c r="M4" s="424"/>
      <c r="N4" s="424"/>
      <c r="O4" s="424"/>
      <c r="P4" s="424"/>
      <c r="Q4" s="424"/>
      <c r="R4" s="424"/>
      <c r="S4" s="424"/>
      <c r="T4" s="424"/>
      <c r="U4" s="106"/>
      <c r="V4" s="389" t="s">
        <v>200</v>
      </c>
      <c r="W4" s="389"/>
      <c r="X4" s="386" t="str">
        <f>IF(ISBLANK(DepartureAirportID),"",DepartureAirportID)</f>
        <v/>
      </c>
      <c r="Y4" s="386" t="str">
        <f>IF(ISBLANK(EnrouteAirportID),"",EnrouteAirportID)</f>
        <v/>
      </c>
      <c r="Z4" s="386" t="str">
        <f>IF(ISBLANK(DestinationAirportID),"",DestinationAirportID)</f>
        <v/>
      </c>
      <c r="AA4" s="384">
        <v>1</v>
      </c>
    </row>
    <row r="5" spans="2:31" ht="10.5" customHeight="1" x14ac:dyDescent="0.2">
      <c r="B5" s="425" t="str">
        <f>IF(OR(ISBLANK(DepartureAirportID),ISNA(DepartureAirportName),ISBLANK(DestinationAirportID),ISNA(DepartureAirportName)),"",CONCATENATE("FP: """,DepartureAirportFSSName," Radio, ",C3," receiving ",DepartureAirportFSSFreq,"…[Ack]…Request activate VFR flight plan to ",DestinationAirportName,". Off at XXX minutes past the hour, ",C3,""""))</f>
        <v/>
      </c>
      <c r="C5" s="425"/>
      <c r="D5" s="425"/>
      <c r="E5" s="425"/>
      <c r="F5" s="425"/>
      <c r="G5" s="425"/>
      <c r="H5" s="425"/>
      <c r="I5" s="425"/>
      <c r="J5" s="425"/>
      <c r="K5" s="425"/>
      <c r="L5" s="425"/>
      <c r="M5" s="425"/>
      <c r="N5" s="425"/>
      <c r="O5" s="425"/>
      <c r="P5" s="425"/>
      <c r="Q5" s="425"/>
      <c r="R5" s="425"/>
      <c r="S5" s="425"/>
      <c r="T5" s="425"/>
      <c r="U5" s="107"/>
      <c r="V5" s="389"/>
      <c r="W5" s="389"/>
      <c r="X5" s="386"/>
      <c r="Y5" s="386"/>
      <c r="Z5" s="386"/>
      <c r="AA5" s="384"/>
    </row>
    <row r="6" spans="2:31" ht="10.5" customHeight="1" x14ac:dyDescent="0.2">
      <c r="B6" s="400" t="str">
        <f>IF(OR(ISBLANK(DepartureAirportID),ISNA(DepartureAirportName),ISBLANK(DestinationAirportID),ISNA(DepartureAirportName)),"",CONCATENATE("FF: [ATC Name], ",C3," with request…[Ack]…Request VFR flight following to ",DestinationAirportName," for ",AircraftComment," currently [posn/alt.]. ",C3,""""))</f>
        <v/>
      </c>
      <c r="C6" s="400"/>
      <c r="D6" s="400"/>
      <c r="E6" s="400"/>
      <c r="F6" s="400"/>
      <c r="G6" s="400"/>
      <c r="H6" s="400"/>
      <c r="I6" s="400"/>
      <c r="J6" s="400"/>
      <c r="K6" s="400"/>
      <c r="L6" s="400"/>
      <c r="M6" s="400"/>
      <c r="N6" s="400"/>
      <c r="O6" s="400"/>
      <c r="P6" s="400"/>
      <c r="Q6" s="400"/>
      <c r="R6" s="400"/>
      <c r="S6" s="400"/>
      <c r="T6" s="400"/>
      <c r="U6" s="107"/>
      <c r="V6" s="389" t="s">
        <v>112</v>
      </c>
      <c r="W6" s="389"/>
      <c r="X6" s="386" t="e">
        <f>VLOOKUP(DepartureAirportID,AFDData,AA6,FALSE)</f>
        <v>#N/A</v>
      </c>
      <c r="Y6" s="386" t="e">
        <f>VLOOKUP(EnrouteAirportID,AFDData,AA6,FALSE)</f>
        <v>#N/A</v>
      </c>
      <c r="Z6" s="386" t="e">
        <f>VLOOKUP(DestinationAirportID,AFDData,AA6,FALSE)</f>
        <v>#N/A</v>
      </c>
      <c r="AA6" s="384">
        <v>2</v>
      </c>
      <c r="AC6" s="24"/>
    </row>
    <row r="7" spans="2:31" ht="10.5" customHeight="1" x14ac:dyDescent="0.2">
      <c r="B7" s="403"/>
      <c r="C7" s="403"/>
      <c r="D7" s="403"/>
      <c r="E7" s="403"/>
      <c r="F7" s="403"/>
      <c r="G7" s="403"/>
      <c r="H7" s="403"/>
      <c r="I7" s="403"/>
      <c r="J7" s="403"/>
      <c r="K7" s="403"/>
      <c r="L7" s="403"/>
      <c r="M7" s="403"/>
      <c r="N7" s="403"/>
      <c r="O7" s="403"/>
      <c r="P7" s="403"/>
      <c r="Q7" s="403"/>
      <c r="R7" s="403"/>
      <c r="S7" s="403"/>
      <c r="T7" s="403"/>
      <c r="U7" s="107"/>
      <c r="V7" s="389"/>
      <c r="W7" s="389"/>
      <c r="X7" s="386"/>
      <c r="Y7" s="386"/>
      <c r="Z7" s="386"/>
      <c r="AA7" s="384"/>
      <c r="AC7" s="24"/>
    </row>
    <row r="8" spans="2:31" ht="12" customHeight="1" x14ac:dyDescent="0.2">
      <c r="B8" s="403"/>
      <c r="C8" s="403"/>
      <c r="D8" s="403"/>
      <c r="E8" s="403"/>
      <c r="F8" s="403"/>
      <c r="G8" s="403"/>
      <c r="H8" s="403"/>
      <c r="I8" s="403"/>
      <c r="J8" s="403"/>
      <c r="K8" s="403"/>
      <c r="L8" s="403"/>
      <c r="M8" s="403"/>
      <c r="N8" s="403"/>
      <c r="O8" s="403"/>
      <c r="P8" s="403"/>
      <c r="Q8" s="403"/>
      <c r="R8" s="403"/>
      <c r="S8" s="403"/>
      <c r="T8" s="403"/>
      <c r="U8" s="107"/>
      <c r="V8" s="387" t="s">
        <v>206</v>
      </c>
      <c r="W8" s="387"/>
      <c r="X8" s="387"/>
      <c r="Y8" s="387"/>
      <c r="Z8" s="387"/>
      <c r="AA8" s="15"/>
      <c r="AC8" s="24"/>
    </row>
    <row r="9" spans="2:31" ht="10.5" customHeight="1" x14ac:dyDescent="0.2">
      <c r="B9" s="403"/>
      <c r="C9" s="403"/>
      <c r="D9" s="403"/>
      <c r="E9" s="403"/>
      <c r="F9" s="403"/>
      <c r="G9" s="403"/>
      <c r="H9" s="403"/>
      <c r="I9" s="403"/>
      <c r="J9" s="403"/>
      <c r="K9" s="403"/>
      <c r="L9" s="403"/>
      <c r="M9" s="403"/>
      <c r="N9" s="403"/>
      <c r="O9" s="403"/>
      <c r="P9" s="403"/>
      <c r="Q9" s="403"/>
      <c r="R9" s="403"/>
      <c r="S9" s="403"/>
      <c r="T9" s="403"/>
      <c r="U9" s="107"/>
      <c r="V9" s="388" t="s">
        <v>35</v>
      </c>
      <c r="W9" s="388"/>
      <c r="X9" s="386" t="str">
        <f>IF(ISBLANK('Navigation Log'!X9),"",'Navigation Log'!X9)</f>
        <v/>
      </c>
      <c r="Y9" s="386" t="str">
        <f>IF(ISBLANK('Navigation Log'!Y9),"",'Navigation Log'!Y9)</f>
        <v/>
      </c>
      <c r="Z9" s="386" t="str">
        <f>IF(ISBLANK('Navigation Log'!Z9),"",'Navigation Log'!Z9)</f>
        <v/>
      </c>
      <c r="AA9" s="385"/>
      <c r="AC9" s="24"/>
    </row>
    <row r="10" spans="2:31" ht="10.5" customHeight="1" x14ac:dyDescent="0.2">
      <c r="B10" s="403"/>
      <c r="C10" s="403"/>
      <c r="D10" s="403"/>
      <c r="E10" s="403"/>
      <c r="F10" s="403"/>
      <c r="G10" s="403"/>
      <c r="H10" s="403"/>
      <c r="I10" s="403"/>
      <c r="J10" s="403"/>
      <c r="K10" s="403"/>
      <c r="L10" s="403"/>
      <c r="M10" s="403"/>
      <c r="N10" s="403"/>
      <c r="O10" s="403"/>
      <c r="P10" s="403"/>
      <c r="Q10" s="403"/>
      <c r="R10" s="403"/>
      <c r="S10" s="403"/>
      <c r="T10" s="403"/>
      <c r="U10" s="107"/>
      <c r="V10" s="388"/>
      <c r="W10" s="388"/>
      <c r="X10" s="386"/>
      <c r="Y10" s="386"/>
      <c r="Z10" s="386"/>
      <c r="AA10" s="385"/>
      <c r="AC10" s="24"/>
    </row>
    <row r="11" spans="2:31" ht="10.5" customHeight="1" x14ac:dyDescent="0.2">
      <c r="B11" s="403"/>
      <c r="C11" s="403"/>
      <c r="D11" s="403"/>
      <c r="E11" s="403"/>
      <c r="F11" s="403"/>
      <c r="G11" s="403"/>
      <c r="H11" s="403"/>
      <c r="I11" s="403"/>
      <c r="J11" s="403"/>
      <c r="K11" s="403"/>
      <c r="L11" s="403"/>
      <c r="M11" s="403"/>
      <c r="N11" s="403"/>
      <c r="O11" s="403"/>
      <c r="P11" s="403"/>
      <c r="Q11" s="403"/>
      <c r="R11" s="403"/>
      <c r="S11" s="403"/>
      <c r="T11" s="403"/>
      <c r="U11" s="107"/>
      <c r="V11" s="388" t="s">
        <v>36</v>
      </c>
      <c r="W11" s="388"/>
      <c r="X11" s="386" t="str">
        <f>IF(ISBLANK('Navigation Log'!X11),"",'Navigation Log'!X11)</f>
        <v/>
      </c>
      <c r="Y11" s="386" t="str">
        <f>IF(ISBLANK('Navigation Log'!Y11),"",'Navigation Log'!Y11)</f>
        <v/>
      </c>
      <c r="Z11" s="386" t="str">
        <f>IF(ISBLANK('Navigation Log'!Z11),"",'Navigation Log'!Z11)</f>
        <v/>
      </c>
      <c r="AA11" s="384"/>
      <c r="AC11" s="24"/>
    </row>
    <row r="12" spans="2:31" ht="10.5" customHeight="1" x14ac:dyDescent="0.2">
      <c r="B12" s="403"/>
      <c r="C12" s="403"/>
      <c r="D12" s="403"/>
      <c r="E12" s="403"/>
      <c r="F12" s="403"/>
      <c r="G12" s="403"/>
      <c r="H12" s="403"/>
      <c r="I12" s="403"/>
      <c r="J12" s="403"/>
      <c r="K12" s="403"/>
      <c r="L12" s="403"/>
      <c r="M12" s="403"/>
      <c r="N12" s="403"/>
      <c r="O12" s="403"/>
      <c r="P12" s="403"/>
      <c r="Q12" s="403"/>
      <c r="R12" s="403"/>
      <c r="S12" s="403"/>
      <c r="T12" s="403"/>
      <c r="U12" s="107"/>
      <c r="V12" s="388"/>
      <c r="W12" s="388"/>
      <c r="X12" s="386"/>
      <c r="Y12" s="386"/>
      <c r="Z12" s="386"/>
      <c r="AA12" s="384"/>
    </row>
    <row r="13" spans="2:31" ht="10.5" customHeight="1" x14ac:dyDescent="0.2">
      <c r="B13" s="403"/>
      <c r="C13" s="403"/>
      <c r="D13" s="403"/>
      <c r="E13" s="403"/>
      <c r="F13" s="403"/>
      <c r="G13" s="403"/>
      <c r="H13" s="403"/>
      <c r="I13" s="403"/>
      <c r="J13" s="403"/>
      <c r="K13" s="403"/>
      <c r="L13" s="403"/>
      <c r="M13" s="403"/>
      <c r="N13" s="403"/>
      <c r="O13" s="403"/>
      <c r="P13" s="403"/>
      <c r="Q13" s="403"/>
      <c r="R13" s="403"/>
      <c r="S13" s="403"/>
      <c r="T13" s="403"/>
      <c r="U13" s="107"/>
      <c r="V13" s="388" t="s">
        <v>6</v>
      </c>
      <c r="W13" s="388"/>
      <c r="X13" s="386" t="str">
        <f>IF(ISBLANK('Navigation Log'!X13),"",'Navigation Log'!X13)</f>
        <v/>
      </c>
      <c r="Y13" s="386" t="str">
        <f>IF(ISBLANK('Navigation Log'!Y13),"",'Navigation Log'!Y13)</f>
        <v/>
      </c>
      <c r="Z13" s="386" t="str">
        <f>IF(ISBLANK('Navigation Log'!Z13),"",'Navigation Log'!Z13)</f>
        <v/>
      </c>
      <c r="AA13" s="384"/>
      <c r="AE13" s="25"/>
    </row>
    <row r="14" spans="2:31" ht="10.5" customHeight="1" x14ac:dyDescent="0.2">
      <c r="B14" s="403"/>
      <c r="C14" s="403"/>
      <c r="D14" s="403"/>
      <c r="E14" s="403"/>
      <c r="F14" s="403"/>
      <c r="G14" s="403"/>
      <c r="H14" s="403"/>
      <c r="I14" s="403"/>
      <c r="J14" s="403"/>
      <c r="K14" s="403"/>
      <c r="L14" s="403"/>
      <c r="M14" s="403"/>
      <c r="N14" s="403"/>
      <c r="O14" s="403"/>
      <c r="P14" s="403"/>
      <c r="Q14" s="403"/>
      <c r="R14" s="403"/>
      <c r="S14" s="403"/>
      <c r="T14" s="403"/>
      <c r="U14" s="107"/>
      <c r="V14" s="388"/>
      <c r="W14" s="388"/>
      <c r="X14" s="386"/>
      <c r="Y14" s="386"/>
      <c r="Z14" s="386"/>
      <c r="AA14" s="384"/>
    </row>
    <row r="15" spans="2:31" ht="20.25" customHeight="1" x14ac:dyDescent="0.2">
      <c r="B15" s="426" t="s">
        <v>42</v>
      </c>
      <c r="C15" s="120" t="s">
        <v>2</v>
      </c>
      <c r="D15" s="426" t="s">
        <v>23</v>
      </c>
      <c r="E15" s="405"/>
      <c r="F15" s="405" t="s">
        <v>5</v>
      </c>
      <c r="G15" s="418" t="s">
        <v>6</v>
      </c>
      <c r="H15" s="418"/>
      <c r="I15" s="388" t="s">
        <v>185</v>
      </c>
      <c r="J15" s="121"/>
      <c r="K15" s="405" t="s">
        <v>11</v>
      </c>
      <c r="L15" s="405" t="s">
        <v>13</v>
      </c>
      <c r="M15" s="405" t="s">
        <v>14</v>
      </c>
      <c r="N15" s="405" t="s">
        <v>15</v>
      </c>
      <c r="O15" s="120" t="s">
        <v>16</v>
      </c>
      <c r="P15" s="120" t="s">
        <v>17</v>
      </c>
      <c r="Q15" s="122"/>
      <c r="R15" s="388" t="s">
        <v>307</v>
      </c>
      <c r="S15" s="388"/>
      <c r="T15" s="123" t="s">
        <v>21</v>
      </c>
      <c r="U15" s="108"/>
      <c r="V15" s="388" t="s">
        <v>37</v>
      </c>
      <c r="W15" s="388"/>
      <c r="X15" s="170" t="str">
        <f>IF(ISBLANK('Navigation Log'!X15),"",'Navigation Log'!X15)</f>
        <v/>
      </c>
      <c r="Y15" s="171" t="str">
        <f>IF(ISBLANK('Navigation Log'!Y15),"",'Navigation Log'!Y15)</f>
        <v/>
      </c>
      <c r="Z15" s="171" t="str">
        <f>IF(ISBLANK('Navigation Log'!Z15),"",'Navigation Log'!Z15)</f>
        <v/>
      </c>
      <c r="AA15" s="14"/>
      <c r="AC15" s="4"/>
    </row>
    <row r="16" spans="2:31" ht="20.25" customHeight="1" x14ac:dyDescent="0.2">
      <c r="B16" s="426"/>
      <c r="C16" s="123" t="s">
        <v>3</v>
      </c>
      <c r="D16" s="405"/>
      <c r="E16" s="405"/>
      <c r="F16" s="405"/>
      <c r="G16" s="405" t="s">
        <v>7</v>
      </c>
      <c r="H16" s="405" t="s">
        <v>8</v>
      </c>
      <c r="I16" s="415"/>
      <c r="J16" s="124"/>
      <c r="K16" s="405"/>
      <c r="L16" s="405"/>
      <c r="M16" s="405"/>
      <c r="N16" s="405"/>
      <c r="O16" s="123" t="s">
        <v>26</v>
      </c>
      <c r="P16" s="123" t="s">
        <v>28</v>
      </c>
      <c r="Q16" s="125"/>
      <c r="R16" s="404">
        <f>MAX('Navigation Log'!S19:S38)</f>
        <v>0</v>
      </c>
      <c r="S16" s="404"/>
      <c r="T16" s="267" t="str">
        <f>IF(ISBLANK(CruiseFuelGPH),"",CruiseFuelGPH)</f>
        <v/>
      </c>
      <c r="U16" s="108"/>
      <c r="V16" s="388" t="s">
        <v>210</v>
      </c>
      <c r="W16" s="388"/>
      <c r="X16" s="171" t="str">
        <f>IF(ISBLANK('Navigation Log'!X16),"",'Navigation Log'!X16)</f>
        <v/>
      </c>
      <c r="Y16" s="171" t="str">
        <f>IF(ISBLANK('Navigation Log'!Y16),"",'Navigation Log'!Y16)</f>
        <v/>
      </c>
      <c r="Z16" s="171" t="str">
        <f>IF(ISBLANK('Navigation Log'!Z16),"",'Navigation Log'!Z16)</f>
        <v/>
      </c>
      <c r="AA16" s="14"/>
    </row>
    <row r="17" spans="2:38" ht="20.25" customHeight="1" x14ac:dyDescent="0.2">
      <c r="B17" s="426"/>
      <c r="C17" s="123" t="s">
        <v>4</v>
      </c>
      <c r="D17" s="405"/>
      <c r="E17" s="405"/>
      <c r="F17" s="405"/>
      <c r="G17" s="405"/>
      <c r="H17" s="405"/>
      <c r="I17" s="127"/>
      <c r="J17" s="124"/>
      <c r="K17" s="414" t="s">
        <v>12</v>
      </c>
      <c r="L17" s="414" t="s">
        <v>24</v>
      </c>
      <c r="M17" s="414" t="s">
        <v>25</v>
      </c>
      <c r="N17" s="388" t="s">
        <v>272</v>
      </c>
      <c r="O17" s="123" t="s">
        <v>27</v>
      </c>
      <c r="P17" s="405" t="s">
        <v>29</v>
      </c>
      <c r="Q17" s="125"/>
      <c r="R17" s="123" t="s">
        <v>19</v>
      </c>
      <c r="S17" s="123" t="s">
        <v>20</v>
      </c>
      <c r="T17" s="123" t="s">
        <v>32</v>
      </c>
      <c r="U17" s="108"/>
      <c r="V17" s="411" t="s">
        <v>198</v>
      </c>
      <c r="W17" s="411"/>
      <c r="X17" s="411"/>
      <c r="Y17" s="411"/>
      <c r="Z17" s="411"/>
      <c r="AA17" s="16"/>
      <c r="AB17" s="23"/>
      <c r="AC17" s="23"/>
      <c r="AD17" s="23"/>
      <c r="AE17" s="23"/>
      <c r="AF17" s="23"/>
      <c r="AG17" s="23"/>
      <c r="AH17" s="23"/>
      <c r="AI17" s="23"/>
      <c r="AJ17" s="23"/>
      <c r="AK17" s="23"/>
    </row>
    <row r="18" spans="2:38" ht="20.25" customHeight="1" x14ac:dyDescent="0.2">
      <c r="B18" s="373"/>
      <c r="C18" s="128"/>
      <c r="D18" s="405"/>
      <c r="E18" s="405"/>
      <c r="F18" s="405"/>
      <c r="G18" s="405" t="s">
        <v>9</v>
      </c>
      <c r="H18" s="405"/>
      <c r="I18" s="129" t="s">
        <v>10</v>
      </c>
      <c r="J18" s="124"/>
      <c r="K18" s="414"/>
      <c r="L18" s="414"/>
      <c r="M18" s="414"/>
      <c r="N18" s="388"/>
      <c r="O18" s="130">
        <f>TotalDistance</f>
        <v>0</v>
      </c>
      <c r="P18" s="405"/>
      <c r="Q18" s="125"/>
      <c r="R18" s="123" t="s">
        <v>30</v>
      </c>
      <c r="S18" s="123" t="s">
        <v>31</v>
      </c>
      <c r="T18" s="123" t="s">
        <v>27</v>
      </c>
      <c r="U18" s="108"/>
      <c r="V18" s="388" t="s">
        <v>196</v>
      </c>
      <c r="W18" s="388"/>
      <c r="X18" s="172" t="e">
        <f>VLOOKUP(DepartureAirportID,AFDData,AA18,FALSE)</f>
        <v>#N/A</v>
      </c>
      <c r="Y18" s="172" t="e">
        <f t="shared" ref="Y18:Y34" si="0">VLOOKUP(EnrouteAirportID,AFDData,AA18,FALSE)</f>
        <v>#N/A</v>
      </c>
      <c r="Z18" s="172" t="e">
        <f t="shared" ref="Z18:Z35" si="1">VLOOKUP(DestinationAirportID,AFDData,AA18,FALSE)</f>
        <v>#N/A</v>
      </c>
      <c r="AA18" s="16" t="s">
        <v>308</v>
      </c>
      <c r="AB18" s="20" t="s">
        <v>165</v>
      </c>
      <c r="AC18" s="20" t="s">
        <v>170</v>
      </c>
      <c r="AD18" s="20" t="s">
        <v>166</v>
      </c>
      <c r="AE18" s="20" t="s">
        <v>167</v>
      </c>
      <c r="AF18" s="20" t="s">
        <v>168</v>
      </c>
      <c r="AG18" s="20" t="s">
        <v>11</v>
      </c>
      <c r="AH18" s="20" t="s">
        <v>171</v>
      </c>
      <c r="AI18" s="20" t="s">
        <v>172</v>
      </c>
      <c r="AJ18" s="20" t="s">
        <v>173</v>
      </c>
      <c r="AK18" s="20" t="s">
        <v>174</v>
      </c>
    </row>
    <row r="19" spans="2:38" ht="20.25" customHeight="1" x14ac:dyDescent="0.2">
      <c r="B19" s="373"/>
      <c r="C19" s="131"/>
      <c r="D19" s="116"/>
      <c r="E19" s="422"/>
      <c r="F19" s="413"/>
      <c r="G19" s="132"/>
      <c r="H19" s="133"/>
      <c r="I19" s="402"/>
      <c r="J19" s="134"/>
      <c r="K19" s="135" t="str">
        <f>IF(ISBLANK(E19),BlankCell,IF(NOT(AG19=-1),AG19,0))</f>
        <v xml:space="preserve"> </v>
      </c>
      <c r="L19" s="136" t="str">
        <f>IF(ISBLANK(E19),BlankCell,MOD(K19+K20,360))</f>
        <v xml:space="preserve"> </v>
      </c>
      <c r="M19" s="136" t="str">
        <f>IF(ISBLANK(E19),BlankCell,MOD(L19+L20,360))</f>
        <v xml:space="preserve"> </v>
      </c>
      <c r="N19" s="136" t="str">
        <f>IF(OR(ISBLANK(M20),M20=BlankCell,M20=""),BlankCell,MOD(M19+M20,360))</f>
        <v xml:space="preserve"> </v>
      </c>
      <c r="O19" s="137"/>
      <c r="P19" s="138" t="str">
        <f>IF(ISBLANK(E19),BlankCell,I19*COS(RADIANS(K20))+AE19)</f>
        <v xml:space="preserve"> </v>
      </c>
      <c r="Q19" s="134"/>
      <c r="R19" s="139" t="str">
        <f>IF(ISBLANK(E19),BlankCell,IF(I19&gt;0,(O19/P19)*60,0))</f>
        <v xml:space="preserve"> </v>
      </c>
      <c r="S19" s="140" t="str">
        <f>IF(OR(ISBLANK(E19),ISBLANK($R$16)),BlankCell,R16+(R19/1440))</f>
        <v xml:space="preserve"> </v>
      </c>
      <c r="T19" s="139" t="str">
        <f>IF(ISBLANK(E19),BlankCell,CruiseFuelGPH*R19/60)</f>
        <v xml:space="preserve"> </v>
      </c>
      <c r="U19" s="109"/>
      <c r="V19" s="388" t="s">
        <v>41</v>
      </c>
      <c r="W19" s="388"/>
      <c r="X19" s="172" t="e">
        <f t="shared" ref="X19:X38" si="2">VLOOKUP(DepartureAirportID,AFDData,AA19,FALSE)</f>
        <v>#N/A</v>
      </c>
      <c r="Y19" s="172" t="e">
        <f t="shared" si="0"/>
        <v>#N/A</v>
      </c>
      <c r="Z19" s="172" t="e">
        <f t="shared" si="1"/>
        <v>#N/A</v>
      </c>
      <c r="AA19" s="16" t="s">
        <v>309</v>
      </c>
      <c r="AB19" s="21">
        <f>MOD(G19-180,360)</f>
        <v>180</v>
      </c>
      <c r="AC19" s="21" t="e">
        <f>K19-AB19</f>
        <v>#VALUE!</v>
      </c>
      <c r="AD19" s="21" t="e">
        <f>H19*SIN(RADIANS(AC19))</f>
        <v>#VALUE!</v>
      </c>
      <c r="AE19" s="21" t="e">
        <f>H19*COS(RADIANS(AC19))</f>
        <v>#VALUE!</v>
      </c>
      <c r="AF19" s="21" t="e">
        <f>IF(AND((LEN(E19)=4),OR(LEFT(E19,1)="O",LEFT(E19,1)="I"),OR(RIGHT(E19,3)="000",AND(VALUE(RIGHT(E19,3))&gt;=1,VALUE(RIGHT(E19,3))&lt;=359))),"Y","N")</f>
        <v>#VALUE!</v>
      </c>
      <c r="AG19" s="21">
        <f>IF(ISERROR(AF19),-1,IF(AF19="N",-1,IF(LEFT(E19,1)="I",MOD(VALUE(RIGHT(E19,3))-180-L20,360),MOD(VALUE(RIGHT(E19,3))-L20,360))))</f>
        <v>-1</v>
      </c>
      <c r="AH19" s="21" t="e">
        <f>MOD(IF(MOD(M19,30)&gt;=15,CEILING(M19,30),FLOOR(M19,30)),360)</f>
        <v>#VALUE!</v>
      </c>
      <c r="AI19" s="22" t="e">
        <f>IF(AH19=0,15,(AH19/30)+15)</f>
        <v>#VALUE!</v>
      </c>
      <c r="AJ19" s="21">
        <f>IF(LocatedAircraft="Yes",IF(ISBLANK(VLOOKUP(AircraftNumber,AircraftData,AI19,FALSE)),-1,VLOOKUP(AircraftNumber,AircraftData,AI19,FALSE)),-1)</f>
        <v>-1</v>
      </c>
      <c r="AK19" s="21" t="str">
        <f>IF(AJ19=-1,"NA",IF(AJ19-AH19&gt;180,(AJ19-AH19)-360,AJ19-AH19))</f>
        <v>NA</v>
      </c>
      <c r="AL19" s="4"/>
    </row>
    <row r="20" spans="2:38" ht="20.25" customHeight="1" x14ac:dyDescent="0.2">
      <c r="B20" s="407"/>
      <c r="C20" s="141" t="str">
        <f>IF(OR(ISBLANK(B20),ISBLANK(C18)),BlankCell,C18)</f>
        <v xml:space="preserve"> </v>
      </c>
      <c r="D20" s="116"/>
      <c r="E20" s="422"/>
      <c r="F20" s="413"/>
      <c r="G20" s="410" t="str">
        <f>IF(ISBLANK(E19),BlankCell,15)</f>
        <v xml:space="preserve"> </v>
      </c>
      <c r="H20" s="416"/>
      <c r="I20" s="402"/>
      <c r="J20" s="134"/>
      <c r="K20" s="142" t="str">
        <f>IF(ISBLANK(E19),BlankCell,IF(ISBLANK(I19),0,DEGREES(ASIN(AD19/I19))))</f>
        <v xml:space="preserve"> </v>
      </c>
      <c r="L20" s="143" t="str">
        <f>IF(ISBLANK(E19),BlankCell,L18)</f>
        <v xml:space="preserve"> </v>
      </c>
      <c r="M20" s="143" t="str">
        <f>IF(ISBLANK(E19),BlankCell,IF(AK19="NA","",AK19))</f>
        <v xml:space="preserve"> </v>
      </c>
      <c r="N20" s="136" t="str">
        <f>IF(OR(ISBLANK(E19),ISBLANK(I19)),"",CONCATENATE(TEXT(AD19,"00"),"/",TEXT(-AE19,"00")))</f>
        <v/>
      </c>
      <c r="O20" s="144" t="str">
        <f>IF(OR(ISBLANK(E19),TotalDistance=0),BlankCell,'Navigation Log'!O38-O19)</f>
        <v xml:space="preserve"> </v>
      </c>
      <c r="P20" s="145"/>
      <c r="Q20" s="134"/>
      <c r="R20" s="139"/>
      <c r="S20" s="146"/>
      <c r="T20" s="144" t="str">
        <f>IF(ISBLANK(E19),BlankCell,RemainingFuel1-T19)</f>
        <v xml:space="preserve"> </v>
      </c>
      <c r="U20" s="109"/>
      <c r="V20" s="388" t="s">
        <v>40</v>
      </c>
      <c r="W20" s="388"/>
      <c r="X20" s="172" t="e">
        <f t="shared" si="2"/>
        <v>#N/A</v>
      </c>
      <c r="Y20" s="172" t="e">
        <f t="shared" si="0"/>
        <v>#N/A</v>
      </c>
      <c r="Z20" s="172" t="e">
        <f t="shared" si="1"/>
        <v>#N/A</v>
      </c>
      <c r="AA20" s="16" t="s">
        <v>310</v>
      </c>
      <c r="AB20" s="20"/>
      <c r="AC20" s="20"/>
      <c r="AD20" s="20"/>
      <c r="AE20" s="20"/>
      <c r="AF20" s="20"/>
      <c r="AG20" s="20"/>
      <c r="AH20" s="20"/>
      <c r="AI20" s="20"/>
      <c r="AJ20" s="20"/>
      <c r="AK20" s="20"/>
    </row>
    <row r="21" spans="2:38" ht="20.25" customHeight="1" x14ac:dyDescent="0.2">
      <c r="B21" s="407"/>
      <c r="C21" s="147" t="str">
        <f>IF(OR(ISBLANK(B20),ISBLANK(C18)),BlankCell,C19)</f>
        <v xml:space="preserve"> </v>
      </c>
      <c r="D21" s="117"/>
      <c r="E21" s="421"/>
      <c r="F21" s="417" t="str">
        <f>IF(ISBLANK(E21),BlankCell,F19)</f>
        <v xml:space="preserve"> </v>
      </c>
      <c r="G21" s="148" t="str">
        <f>IF(ISBLANK(E21),BlankCell,G19)</f>
        <v xml:space="preserve"> </v>
      </c>
      <c r="H21" s="149" t="str">
        <f>IF(ISBLANK(E21),BlankCell,H19)</f>
        <v xml:space="preserve"> </v>
      </c>
      <c r="I21" s="401" t="str">
        <f>IF(ISBLANK(E21),BlankCell,I19)</f>
        <v xml:space="preserve"> </v>
      </c>
      <c r="J21" s="150"/>
      <c r="K21" s="151" t="str">
        <f>IF(ISBLANK(E21),BlankCell,IF(NOT(AG21=-1),AG21,0))</f>
        <v xml:space="preserve"> </v>
      </c>
      <c r="L21" s="152" t="str">
        <f>IF(ISBLANK(E21),BlankCell,MOD(K21+K22,360))</f>
        <v xml:space="preserve"> </v>
      </c>
      <c r="M21" s="152" t="str">
        <f>IF(ISBLANK(E21),BlankCell,MOD(L21+L22,360))</f>
        <v xml:space="preserve"> </v>
      </c>
      <c r="N21" s="152" t="str">
        <f>IF(OR(ISBLANK(M22),M22=BlankCell,M22=""),BlankCell,MOD(M21+M22,360))</f>
        <v xml:space="preserve"> </v>
      </c>
      <c r="O21" s="153"/>
      <c r="P21" s="154" t="str">
        <f>IF(ISBLANK(E21),BlankCell,I21*COS(RADIANS(K22))+AE21)</f>
        <v xml:space="preserve"> </v>
      </c>
      <c r="Q21" s="150"/>
      <c r="R21" s="155" t="str">
        <f>IF(ISBLANK(E21),BlankCell,IF(I21&gt;0,(O21/P21)*60,0))</f>
        <v xml:space="preserve"> </v>
      </c>
      <c r="S21" s="156" t="str">
        <f>IF(OR(ISBLANK(E21),ISBLANK($R$16)),BlankCell,S19+(R21/1440))</f>
        <v xml:space="preserve"> </v>
      </c>
      <c r="T21" s="155" t="str">
        <f>IF(ISBLANK(E21),BlankCell,CruiseFuelGPH*R21/60)</f>
        <v xml:space="preserve"> </v>
      </c>
      <c r="U21" s="109"/>
      <c r="V21" s="388" t="s">
        <v>202</v>
      </c>
      <c r="W21" s="388"/>
      <c r="X21" s="172" t="e">
        <f t="shared" si="2"/>
        <v>#N/A</v>
      </c>
      <c r="Y21" s="172" t="e">
        <f t="shared" si="0"/>
        <v>#N/A</v>
      </c>
      <c r="Z21" s="172" t="e">
        <f t="shared" si="1"/>
        <v>#N/A</v>
      </c>
      <c r="AA21" s="16" t="s">
        <v>311</v>
      </c>
      <c r="AB21" s="21" t="e">
        <f>MOD(G21-180,360)</f>
        <v>#VALUE!</v>
      </c>
      <c r="AC21" s="21" t="e">
        <f>K21-AB21</f>
        <v>#VALUE!</v>
      </c>
      <c r="AD21" s="21" t="e">
        <f>H21*SIN(RADIANS(AC21))</f>
        <v>#VALUE!</v>
      </c>
      <c r="AE21" s="21" t="e">
        <f>H21*COS(RADIANS(AC21))</f>
        <v>#VALUE!</v>
      </c>
      <c r="AF21" s="21" t="e">
        <f>IF(AND((LEN(E21)=4),OR(LEFT(E21,1)="O",LEFT(E21,1)="I"),OR(RIGHT(E21,3)="000",AND(VALUE(RIGHT(E21,3))&gt;=1,VALUE(RIGHT(E21,3))&lt;=359))),"Y","N")</f>
        <v>#VALUE!</v>
      </c>
      <c r="AG21" s="21">
        <f>IF(ISERROR(AF21),-1,IF(AF21="N",-1,IF(LEFT(E21,1)="I",MOD(VALUE(RIGHT(E21,3))-180-L22,360),MOD(VALUE(RIGHT(E21,3))-L22,360))))</f>
        <v>-1</v>
      </c>
      <c r="AH21" s="21" t="e">
        <f>MOD(IF(MOD(M21,30)&gt;=15,CEILING(M21,30),FLOOR(M21,30)),360)</f>
        <v>#VALUE!</v>
      </c>
      <c r="AI21" s="22" t="e">
        <f>IF(AH21=0,15,(AH21/30)+15)</f>
        <v>#VALUE!</v>
      </c>
      <c r="AJ21" s="21">
        <f>IF(LocatedAircraft="Yes",IF(ISBLANK(VLOOKUP(AircraftNumber,AircraftData,AI21,FALSE)),-1,VLOOKUP(AircraftNumber,AircraftData,AI21,FALSE)),-1)</f>
        <v>-1</v>
      </c>
      <c r="AK21" s="21" t="str">
        <f>IF(AJ21=-1,"NA",IF(AJ21-AH21&gt;180,(AJ21-AH21)-360,AJ21-AH21))</f>
        <v>NA</v>
      </c>
    </row>
    <row r="22" spans="2:38" ht="20.25" customHeight="1" thickBot="1" x14ac:dyDescent="0.25">
      <c r="B22" s="408"/>
      <c r="C22" s="157" t="str">
        <f>IF(OR(ISBLANK(B22),ISBLANK(C20)),BlankCell,C20)</f>
        <v xml:space="preserve"> </v>
      </c>
      <c r="D22" s="117"/>
      <c r="E22" s="421"/>
      <c r="F22" s="417"/>
      <c r="G22" s="409" t="str">
        <f>IF(ISBLANK(E21),BlankCell,G20)</f>
        <v xml:space="preserve"> </v>
      </c>
      <c r="H22" s="409"/>
      <c r="I22" s="401"/>
      <c r="J22" s="150"/>
      <c r="K22" s="158" t="str">
        <f>IF(ISBLANK(E21),BlankCell,IF(ISBLANK(I21),0,DEGREES(ASIN(AD21/I21))))</f>
        <v xml:space="preserve"> </v>
      </c>
      <c r="L22" s="159" t="str">
        <f>IF(ISBLANK(E21),BlankCell,L20)</f>
        <v xml:space="preserve"> </v>
      </c>
      <c r="M22" s="159" t="str">
        <f>IF(ISBLANK(E21),BlankCell,IF(AK21="NA","",AK21))</f>
        <v xml:space="preserve"> </v>
      </c>
      <c r="N22" s="152" t="str">
        <f>IF(OR(ISBLANK(E21),ISBLANK(I21)),"",CONCATENATE(TEXT(AD21,"00"),"/",TEXT(-AE21,"00")))</f>
        <v/>
      </c>
      <c r="O22" s="160" t="str">
        <f>IF(OR(ISBLANK(E21),TotalDistance=0),BlankCell,O20-O21)</f>
        <v xml:space="preserve"> </v>
      </c>
      <c r="P22" s="161"/>
      <c r="Q22" s="150"/>
      <c r="R22" s="155"/>
      <c r="S22" s="162"/>
      <c r="T22" s="160" t="str">
        <f>IF(ISBLANK(E21),BlankCell,T20-T21)</f>
        <v xml:space="preserve"> </v>
      </c>
      <c r="U22" s="109"/>
      <c r="V22" s="412" t="s">
        <v>38</v>
      </c>
      <c r="W22" s="412"/>
      <c r="X22" s="173" t="e">
        <f t="shared" si="2"/>
        <v>#N/A</v>
      </c>
      <c r="Y22" s="173" t="e">
        <f t="shared" si="0"/>
        <v>#N/A</v>
      </c>
      <c r="Z22" s="173" t="e">
        <f t="shared" si="1"/>
        <v>#N/A</v>
      </c>
      <c r="AA22" s="16" t="s">
        <v>312</v>
      </c>
      <c r="AB22" s="20"/>
      <c r="AC22" s="20"/>
      <c r="AD22" s="20"/>
      <c r="AE22" s="20"/>
      <c r="AF22" s="20"/>
      <c r="AG22" s="20"/>
      <c r="AH22" s="20"/>
      <c r="AI22" s="20"/>
      <c r="AJ22" s="20"/>
      <c r="AK22" s="20"/>
    </row>
    <row r="23" spans="2:38" ht="20.25" customHeight="1" x14ac:dyDescent="0.2">
      <c r="B23" s="408"/>
      <c r="C23" s="131" t="str">
        <f>IF(OR(ISBLANK(B22),ISBLANK(C20)),BlankCell,C21)</f>
        <v xml:space="preserve"> </v>
      </c>
      <c r="D23" s="116"/>
      <c r="E23" s="422"/>
      <c r="F23" s="413" t="str">
        <f>IF(ISBLANK(E23),BlankCell,F21)</f>
        <v xml:space="preserve"> </v>
      </c>
      <c r="G23" s="132" t="str">
        <f>IF(ISBLANK(E23),BlankCell,G21)</f>
        <v xml:space="preserve"> </v>
      </c>
      <c r="H23" s="133" t="str">
        <f>IF(ISBLANK(E23),BlankCell,H21)</f>
        <v xml:space="preserve"> </v>
      </c>
      <c r="I23" s="402" t="str">
        <f>IF(ISBLANK(E23),BlankCell,I21)</f>
        <v xml:space="preserve"> </v>
      </c>
      <c r="J23" s="134"/>
      <c r="K23" s="135" t="str">
        <f>IF(ISBLANK(E23),BlankCell,IF(NOT(AG23=-1),AG23,0))</f>
        <v xml:space="preserve"> </v>
      </c>
      <c r="L23" s="136" t="str">
        <f>IF(ISBLANK(E23),BlankCell,MOD(K23+K24,360))</f>
        <v xml:space="preserve"> </v>
      </c>
      <c r="M23" s="136" t="str">
        <f>IF(ISBLANK(E23),BlankCell,MOD(L23+L24,360))</f>
        <v xml:space="preserve"> </v>
      </c>
      <c r="N23" s="136" t="str">
        <f>IF(OR(ISBLANK(M24),M24=BlankCell,M24=""),BlankCell,MOD(M23+M24,360))</f>
        <v xml:space="preserve"> </v>
      </c>
      <c r="O23" s="137"/>
      <c r="P23" s="138" t="str">
        <f>IF(ISBLANK(E23),BlankCell,I23*COS(RADIANS(K24))+AE23)</f>
        <v xml:space="preserve"> </v>
      </c>
      <c r="Q23" s="134"/>
      <c r="R23" s="139" t="str">
        <f>IF(ISBLANK(E23),BlankCell,IF(I23&gt;0,(O23/P23)*60,0))</f>
        <v xml:space="preserve"> </v>
      </c>
      <c r="S23" s="140" t="str">
        <f>IF(OR(ISBLANK(E23),ISBLANK($R$16)),BlankCell,S21+(R23/1440))</f>
        <v xml:space="preserve"> </v>
      </c>
      <c r="T23" s="139" t="str">
        <f>IF(ISBLANK(E23),BlankCell,CruiseFuelGPH*R23/60)</f>
        <v xml:space="preserve"> </v>
      </c>
      <c r="U23" s="109"/>
      <c r="V23" s="395" t="s">
        <v>39</v>
      </c>
      <c r="W23" s="174" t="s">
        <v>212</v>
      </c>
      <c r="X23" s="175" t="e">
        <f t="shared" si="2"/>
        <v>#N/A</v>
      </c>
      <c r="Y23" s="175" t="e">
        <f t="shared" si="0"/>
        <v>#N/A</v>
      </c>
      <c r="Z23" s="175" t="e">
        <f t="shared" si="1"/>
        <v>#N/A</v>
      </c>
      <c r="AA23" s="16" t="s">
        <v>313</v>
      </c>
      <c r="AB23" s="21" t="e">
        <f>MOD(G23-180,360)</f>
        <v>#VALUE!</v>
      </c>
      <c r="AC23" s="21" t="e">
        <f>K23-AB23</f>
        <v>#VALUE!</v>
      </c>
      <c r="AD23" s="21" t="e">
        <f>H23*SIN(RADIANS(AC23))</f>
        <v>#VALUE!</v>
      </c>
      <c r="AE23" s="21" t="e">
        <f>H23*COS(RADIANS(AC23))</f>
        <v>#VALUE!</v>
      </c>
      <c r="AF23" s="21" t="e">
        <f>IF(AND((LEN(E23)=4),OR(LEFT(E23,1)="O",LEFT(E23,1)="I"),OR(RIGHT(E23,3)="000",AND(VALUE(RIGHT(E23,3))&gt;=1,VALUE(RIGHT(E23,3))&lt;=359))),"Y","N")</f>
        <v>#VALUE!</v>
      </c>
      <c r="AG23" s="21">
        <f>IF(ISERROR(AF23),-1,IF(AF23="N",-1,IF(LEFT(E23,1)="I",MOD(VALUE(RIGHT(E23,3))-180-L24,360),MOD(VALUE(RIGHT(E23,3))-L24,360))))</f>
        <v>-1</v>
      </c>
      <c r="AH23" s="21" t="e">
        <f>MOD(IF(MOD(M23,30)&gt;=15,CEILING(M23,30),FLOOR(M23,30)),360)</f>
        <v>#VALUE!</v>
      </c>
      <c r="AI23" s="22" t="e">
        <f>IF(AH23=0,15,(AH23/30)+15)</f>
        <v>#VALUE!</v>
      </c>
      <c r="AJ23" s="21">
        <f>IF(LocatedAircraft="Yes",IF(ISBLANK(VLOOKUP(AircraftNumber,AircraftData,AI23,FALSE)),-1,VLOOKUP(AircraftNumber,AircraftData,AI23,FALSE)),-1)</f>
        <v>-1</v>
      </c>
      <c r="AK23" s="21" t="str">
        <f>IF(AJ23=-1,"NA",IF(AJ23-AH23&gt;180,(AJ23-AH23)-360,AJ23-AH23))</f>
        <v>NA</v>
      </c>
    </row>
    <row r="24" spans="2:38" ht="20.25" customHeight="1" x14ac:dyDescent="0.2">
      <c r="B24" s="407"/>
      <c r="C24" s="141" t="str">
        <f>IF(OR(ISBLANK(B24),ISBLANK(C22)),BlankCell,C22)</f>
        <v xml:space="preserve"> </v>
      </c>
      <c r="D24" s="116"/>
      <c r="E24" s="422"/>
      <c r="F24" s="413"/>
      <c r="G24" s="410" t="str">
        <f>IF(ISBLANK(E23),BlankCell,G22)</f>
        <v xml:space="preserve"> </v>
      </c>
      <c r="H24" s="410"/>
      <c r="I24" s="402"/>
      <c r="J24" s="134"/>
      <c r="K24" s="142" t="str">
        <f>IF(ISBLANK(E23),BlankCell,IF(ISBLANK(I23),0,DEGREES(ASIN(AD23/I23))))</f>
        <v xml:space="preserve"> </v>
      </c>
      <c r="L24" s="143" t="str">
        <f>IF(ISBLANK(E23),BlankCell,L22)</f>
        <v xml:space="preserve"> </v>
      </c>
      <c r="M24" s="143" t="str">
        <f>IF(ISBLANK(E23),BlankCell,IF(AK23="NA","",AK23))</f>
        <v xml:space="preserve"> </v>
      </c>
      <c r="N24" s="136" t="str">
        <f>IF(OR(ISBLANK(E23),ISBLANK(I23)),"",CONCATENATE(TEXT(AD23,"00"),"/",TEXT(-AE23,"00")))</f>
        <v/>
      </c>
      <c r="O24" s="144" t="str">
        <f>IF(OR(ISBLANK(E23),TotalDistance=0),BlankCell,O22-O23)</f>
        <v xml:space="preserve"> </v>
      </c>
      <c r="P24" s="145"/>
      <c r="Q24" s="134"/>
      <c r="R24" s="139"/>
      <c r="S24" s="146"/>
      <c r="T24" s="144" t="str">
        <f>IF(ISBLANK(E23),BlankCell,T22-T23)</f>
        <v xml:space="preserve"> </v>
      </c>
      <c r="U24" s="109"/>
      <c r="V24" s="396"/>
      <c r="W24" s="388" t="s">
        <v>207</v>
      </c>
      <c r="X24" s="172" t="e">
        <f t="shared" si="2"/>
        <v>#N/A</v>
      </c>
      <c r="Y24" s="172" t="e">
        <f t="shared" si="0"/>
        <v>#N/A</v>
      </c>
      <c r="Z24" s="172" t="e">
        <f t="shared" si="1"/>
        <v>#N/A</v>
      </c>
      <c r="AA24" s="16" t="s">
        <v>314</v>
      </c>
      <c r="AB24" s="20"/>
      <c r="AC24" s="20"/>
      <c r="AD24" s="20"/>
      <c r="AE24" s="20"/>
      <c r="AF24" s="20"/>
      <c r="AG24" s="20"/>
      <c r="AH24" s="20"/>
      <c r="AI24" s="20"/>
      <c r="AJ24" s="20"/>
      <c r="AK24" s="20"/>
    </row>
    <row r="25" spans="2:38" ht="20.25" customHeight="1" thickBot="1" x14ac:dyDescent="0.25">
      <c r="B25" s="407"/>
      <c r="C25" s="147" t="str">
        <f>IF(OR(ISBLANK(B24),ISBLANK(C22)),BlankCell,C23)</f>
        <v xml:space="preserve"> </v>
      </c>
      <c r="D25" s="117"/>
      <c r="E25" s="421"/>
      <c r="F25" s="417" t="str">
        <f>IF(ISBLANK(E25),BlankCell,F23)</f>
        <v xml:space="preserve"> </v>
      </c>
      <c r="G25" s="148" t="str">
        <f>IF(ISBLANK(E25),BlankCell,G23)</f>
        <v xml:space="preserve"> </v>
      </c>
      <c r="H25" s="149" t="str">
        <f>IF(ISBLANK(E25),BlankCell,H23)</f>
        <v xml:space="preserve"> </v>
      </c>
      <c r="I25" s="401" t="str">
        <f>IF(ISBLANK(E25),BlankCell,I23)</f>
        <v xml:space="preserve"> </v>
      </c>
      <c r="J25" s="150"/>
      <c r="K25" s="151" t="str">
        <f>IF(ISBLANK(E25),BlankCell,IF(NOT(AG25=-1),AG25,0))</f>
        <v xml:space="preserve"> </v>
      </c>
      <c r="L25" s="152" t="str">
        <f>IF(ISBLANK(E25),BlankCell,MOD(K25+K26,360))</f>
        <v xml:space="preserve"> </v>
      </c>
      <c r="M25" s="152" t="str">
        <f>IF(ISBLANK(E25),BlankCell,MOD(L25+L26,360))</f>
        <v xml:space="preserve"> </v>
      </c>
      <c r="N25" s="152" t="str">
        <f>IF(OR(ISBLANK(M26),M26=BlankCell,M26=""),BlankCell,MOD(M25+M26,360))</f>
        <v xml:space="preserve"> </v>
      </c>
      <c r="O25" s="153"/>
      <c r="P25" s="154" t="str">
        <f>IF(ISBLANK(E25),BlankCell,I25*COS(RADIANS(K26))+AE25)</f>
        <v xml:space="preserve"> </v>
      </c>
      <c r="Q25" s="150"/>
      <c r="R25" s="155" t="str">
        <f>IF(ISBLANK(E25),BlankCell,IF(I25&gt;0,(O25/P25)*60,0))</f>
        <v xml:space="preserve"> </v>
      </c>
      <c r="S25" s="156" t="str">
        <f>IF(OR(ISBLANK(E25),ISBLANK($R$16)),BlankCell,S23+(R25/1440))</f>
        <v xml:space="preserve"> </v>
      </c>
      <c r="T25" s="155" t="str">
        <f>IF(ISBLANK(E25),BlankCell,CruiseFuelGPH*R25/60)</f>
        <v xml:space="preserve"> </v>
      </c>
      <c r="U25" s="109"/>
      <c r="V25" s="397"/>
      <c r="W25" s="392"/>
      <c r="X25" s="176" t="e">
        <f t="shared" si="2"/>
        <v>#N/A</v>
      </c>
      <c r="Y25" s="176" t="e">
        <f t="shared" si="0"/>
        <v>#N/A</v>
      </c>
      <c r="Z25" s="176" t="e">
        <f t="shared" si="1"/>
        <v>#N/A</v>
      </c>
      <c r="AA25" s="16" t="s">
        <v>315</v>
      </c>
      <c r="AB25" s="21" t="e">
        <f>MOD(G25-180,360)</f>
        <v>#VALUE!</v>
      </c>
      <c r="AC25" s="21" t="e">
        <f>K25-AB25</f>
        <v>#VALUE!</v>
      </c>
      <c r="AD25" s="21" t="e">
        <f>H25*SIN(RADIANS(AC25))</f>
        <v>#VALUE!</v>
      </c>
      <c r="AE25" s="21" t="e">
        <f>H25*COS(RADIANS(AC25))</f>
        <v>#VALUE!</v>
      </c>
      <c r="AF25" s="21" t="e">
        <f>IF(AND((LEN(E25)=4),OR(LEFT(E25,1)="O",LEFT(E25,1)="I"),OR(RIGHT(E25,3)="000",AND(VALUE(RIGHT(E25,3))&gt;=1,VALUE(RIGHT(E25,3))&lt;=359))),"Y","N")</f>
        <v>#VALUE!</v>
      </c>
      <c r="AG25" s="21">
        <f>IF(ISERROR(AF25),-1,IF(AF25="N",-1,IF(LEFT(E25,1)="I",MOD(VALUE(RIGHT(E25,3))-180-L26,360),MOD(VALUE(RIGHT(E25,3))-L26,360))))</f>
        <v>-1</v>
      </c>
      <c r="AH25" s="21" t="e">
        <f>MOD(IF(MOD(M25,30)&gt;=15,CEILING(M25,30),FLOOR(M25,30)),360)</f>
        <v>#VALUE!</v>
      </c>
      <c r="AI25" s="22" t="e">
        <f>IF(AH25=0,15,(AH25/30)+15)</f>
        <v>#VALUE!</v>
      </c>
      <c r="AJ25" s="21">
        <f>IF(LocatedAircraft="Yes",IF(ISBLANK(VLOOKUP(AircraftNumber,AircraftData,AI25,FALSE)),-1,VLOOKUP(AircraftNumber,AircraftData,AI25,FALSE)),-1)</f>
        <v>-1</v>
      </c>
      <c r="AK25" s="21" t="str">
        <f>IF(AJ25=-1,"NA",IF(AJ25-AH25&gt;180,(AJ25-AH25)-360,AJ25-AH25))</f>
        <v>NA</v>
      </c>
    </row>
    <row r="26" spans="2:38" ht="20.25" customHeight="1" x14ac:dyDescent="0.2">
      <c r="B26" s="408"/>
      <c r="C26" s="157" t="str">
        <f>IF(OR(ISBLANK(B26),ISBLANK(C24)),BlankCell,C24)</f>
        <v xml:space="preserve"> </v>
      </c>
      <c r="D26" s="117"/>
      <c r="E26" s="421"/>
      <c r="F26" s="417"/>
      <c r="G26" s="409" t="str">
        <f>IF(ISBLANK(E25),BlankCell,G24)</f>
        <v xml:space="preserve"> </v>
      </c>
      <c r="H26" s="409"/>
      <c r="I26" s="401"/>
      <c r="J26" s="150"/>
      <c r="K26" s="158" t="str">
        <f>IF(ISBLANK(E25),BlankCell,IF(ISBLANK(I25),0,DEGREES(ASIN(AD25/I25))))</f>
        <v xml:space="preserve"> </v>
      </c>
      <c r="L26" s="159" t="str">
        <f>IF(ISBLANK(E25),BlankCell,L24)</f>
        <v xml:space="preserve"> </v>
      </c>
      <c r="M26" s="159" t="str">
        <f>IF(ISBLANK(E25),BlankCell,IF(AK25="NA","",AK25))</f>
        <v xml:space="preserve"> </v>
      </c>
      <c r="N26" s="152" t="str">
        <f>IF(OR(ISBLANK(E25),ISBLANK(I25)),"",CONCATENATE(TEXT(AD25,"00"),"/",TEXT(-AE25,"00")))</f>
        <v/>
      </c>
      <c r="O26" s="160" t="str">
        <f>IF(OR(ISBLANK(E25),TotalDistance=0),BlankCell,O24-O25)</f>
        <v xml:space="preserve"> </v>
      </c>
      <c r="P26" s="161"/>
      <c r="Q26" s="150"/>
      <c r="R26" s="155"/>
      <c r="S26" s="162"/>
      <c r="T26" s="160" t="str">
        <f>IF(ISBLANK(E25),BlankCell,T24-T25)</f>
        <v xml:space="preserve"> </v>
      </c>
      <c r="U26" s="109"/>
      <c r="V26" s="395" t="s">
        <v>201</v>
      </c>
      <c r="W26" s="174" t="s">
        <v>199</v>
      </c>
      <c r="X26" s="175" t="e">
        <f t="shared" si="2"/>
        <v>#N/A</v>
      </c>
      <c r="Y26" s="175" t="e">
        <f t="shared" si="0"/>
        <v>#N/A</v>
      </c>
      <c r="Z26" s="175" t="e">
        <f t="shared" si="1"/>
        <v>#N/A</v>
      </c>
      <c r="AA26" s="16" t="s">
        <v>316</v>
      </c>
      <c r="AB26" s="20"/>
      <c r="AC26" s="20"/>
      <c r="AD26" s="20"/>
      <c r="AE26" s="20"/>
      <c r="AF26" s="20"/>
      <c r="AG26" s="20"/>
      <c r="AH26" s="20"/>
      <c r="AI26" s="20"/>
      <c r="AJ26" s="20"/>
      <c r="AK26" s="20"/>
    </row>
    <row r="27" spans="2:38" ht="20.25" customHeight="1" x14ac:dyDescent="0.2">
      <c r="B27" s="408"/>
      <c r="C27" s="131" t="str">
        <f>IF(OR(ISBLANK(B26),ISBLANK(C24)),BlankCell,C25)</f>
        <v xml:space="preserve"> </v>
      </c>
      <c r="D27" s="116"/>
      <c r="E27" s="422"/>
      <c r="F27" s="413" t="str">
        <f>IF(ISBLANK(E27),BlankCell,F25)</f>
        <v xml:space="preserve"> </v>
      </c>
      <c r="G27" s="132" t="str">
        <f>IF(ISBLANK(E27),BlankCell,G25)</f>
        <v xml:space="preserve"> </v>
      </c>
      <c r="H27" s="133" t="str">
        <f>IF(ISBLANK(E27),BlankCell,H25)</f>
        <v xml:space="preserve"> </v>
      </c>
      <c r="I27" s="402" t="str">
        <f>IF(ISBLANK(E27),BlankCell,I25)</f>
        <v xml:space="preserve"> </v>
      </c>
      <c r="J27" s="134"/>
      <c r="K27" s="135" t="str">
        <f>IF(ISBLANK(E27),BlankCell,IF(NOT(AG27=-1),AG27,0))</f>
        <v xml:space="preserve"> </v>
      </c>
      <c r="L27" s="136" t="str">
        <f>IF(ISBLANK(E27),BlankCell,MOD(K27+K28,360))</f>
        <v xml:space="preserve"> </v>
      </c>
      <c r="M27" s="136" t="str">
        <f>IF(ISBLANK(E27),BlankCell,MOD(L27+L28,360))</f>
        <v xml:space="preserve"> </v>
      </c>
      <c r="N27" s="136" t="str">
        <f>IF(OR(ISBLANK(M28),M28=BlankCell,M28=""),BlankCell,MOD(M27+M28,360))</f>
        <v xml:space="preserve"> </v>
      </c>
      <c r="O27" s="137"/>
      <c r="P27" s="138" t="str">
        <f>IF(ISBLANK(E27),BlankCell,I27*COS(RADIANS(K28))+AE27)</f>
        <v xml:space="preserve"> </v>
      </c>
      <c r="Q27" s="134"/>
      <c r="R27" s="139" t="str">
        <f>IF(ISBLANK(E27),BlankCell,IF(I27&gt;0,(O27/P27)*60,0))</f>
        <v xml:space="preserve"> </v>
      </c>
      <c r="S27" s="140" t="str">
        <f>IF(OR(ISBLANK(E27),ISBLANK($R$16)),BlankCell,S25+(R27/1440))</f>
        <v xml:space="preserve"> </v>
      </c>
      <c r="T27" s="139" t="str">
        <f>IF(ISBLANK(E27),BlankCell,CruiseFuelGPH*R27/60)</f>
        <v xml:space="preserve"> </v>
      </c>
      <c r="U27" s="109"/>
      <c r="V27" s="396"/>
      <c r="W27" s="177" t="s">
        <v>212</v>
      </c>
      <c r="X27" s="170" t="e">
        <f t="shared" ref="X27:X33" si="3">VLOOKUP(DepartureAirportID,AFDData,AA27,FALSE)</f>
        <v>#N/A</v>
      </c>
      <c r="Y27" s="170" t="e">
        <f t="shared" ref="Y27:Y33" si="4">VLOOKUP(EnrouteAirportID,AFDData,AA27,FALSE)</f>
        <v>#N/A</v>
      </c>
      <c r="Z27" s="170" t="e">
        <f t="shared" si="1"/>
        <v>#N/A</v>
      </c>
      <c r="AA27" s="16" t="s">
        <v>317</v>
      </c>
      <c r="AB27" s="21" t="e">
        <f>MOD(G27-180,360)</f>
        <v>#VALUE!</v>
      </c>
      <c r="AC27" s="21" t="e">
        <f>K27-AB27</f>
        <v>#VALUE!</v>
      </c>
      <c r="AD27" s="21" t="e">
        <f>H27*SIN(RADIANS(AC27))</f>
        <v>#VALUE!</v>
      </c>
      <c r="AE27" s="21" t="e">
        <f>H27*COS(RADIANS(AC27))</f>
        <v>#VALUE!</v>
      </c>
      <c r="AF27" s="21" t="e">
        <f>IF(AND((LEN(E27)=4),OR(LEFT(E27,1)="O",LEFT(E27,1)="I"),OR(RIGHT(E27,3)="000",AND(VALUE(RIGHT(E27,3))&gt;=1,VALUE(RIGHT(E27,3))&lt;=359))),"Y","N")</f>
        <v>#VALUE!</v>
      </c>
      <c r="AG27" s="21">
        <f>IF(ISERROR(AF27),-1,IF(AF27="N",-1,IF(LEFT(E27,1)="I",MOD(VALUE(RIGHT(E27,3))-180-L28,360),MOD(VALUE(RIGHT(E27,3))-L28,360))))</f>
        <v>-1</v>
      </c>
      <c r="AH27" s="21" t="e">
        <f>MOD(IF(MOD(M27,30)&gt;=15,CEILING(M27,30),FLOOR(M27,30)),360)</f>
        <v>#VALUE!</v>
      </c>
      <c r="AI27" s="22" t="e">
        <f>IF(AH27=0,15,(AH27/30)+15)</f>
        <v>#VALUE!</v>
      </c>
      <c r="AJ27" s="21">
        <f>IF(LocatedAircraft="Yes",IF(ISBLANK(VLOOKUP(AircraftNumber,AircraftData,AI27,FALSE)),-1,VLOOKUP(AircraftNumber,AircraftData,AI27,FALSE)),-1)</f>
        <v>-1</v>
      </c>
      <c r="AK27" s="21" t="str">
        <f>IF(AJ27=-1,"NA",IF(AJ27-AH27&gt;180,(AJ27-AH27)-360,AJ27-AH27))</f>
        <v>NA</v>
      </c>
    </row>
    <row r="28" spans="2:38" ht="20.25" customHeight="1" x14ac:dyDescent="0.2">
      <c r="B28" s="407"/>
      <c r="C28" s="141" t="str">
        <f>IF(OR(ISBLANK(B28),ISBLANK(C26)),BlankCell,C26)</f>
        <v xml:space="preserve"> </v>
      </c>
      <c r="D28" s="116"/>
      <c r="E28" s="422"/>
      <c r="F28" s="413"/>
      <c r="G28" s="410" t="str">
        <f>IF(ISBLANK(E27),BlankCell,G26)</f>
        <v xml:space="preserve"> </v>
      </c>
      <c r="H28" s="410"/>
      <c r="I28" s="402"/>
      <c r="J28" s="134"/>
      <c r="K28" s="142" t="str">
        <f>IF(ISBLANK(E27),BlankCell,IF(ISBLANK(I27),0,DEGREES(ASIN(AD27/I27))))</f>
        <v xml:space="preserve"> </v>
      </c>
      <c r="L28" s="143" t="str">
        <f>IF(ISBLANK(E27),BlankCell,L26)</f>
        <v xml:space="preserve"> </v>
      </c>
      <c r="M28" s="143" t="str">
        <f>IF(ISBLANK(E27),BlankCell,IF(AK27="NA","",AK27))</f>
        <v xml:space="preserve"> </v>
      </c>
      <c r="N28" s="136" t="str">
        <f>IF(OR(ISBLANK(E27),ISBLANK(I27)),"",CONCATENATE(TEXT(AD27,"00"),"/",TEXT(-AE27,"00")))</f>
        <v/>
      </c>
      <c r="O28" s="144" t="str">
        <f>IF(OR(ISBLANK(E27),TotalDistance=0),BlankCell,O26-O27)</f>
        <v xml:space="preserve"> </v>
      </c>
      <c r="P28" s="145"/>
      <c r="Q28" s="134"/>
      <c r="R28" s="139"/>
      <c r="S28" s="146"/>
      <c r="T28" s="144" t="str">
        <f>IF(ISBLANK(E27),BlankCell,T26-T27)</f>
        <v xml:space="preserve"> </v>
      </c>
      <c r="U28" s="109"/>
      <c r="V28" s="396"/>
      <c r="W28" s="388" t="s">
        <v>207</v>
      </c>
      <c r="X28" s="172" t="e">
        <f t="shared" si="3"/>
        <v>#N/A</v>
      </c>
      <c r="Y28" s="172" t="e">
        <f t="shared" si="4"/>
        <v>#N/A</v>
      </c>
      <c r="Z28" s="172" t="e">
        <f t="shared" si="1"/>
        <v>#N/A</v>
      </c>
      <c r="AA28" s="17">
        <v>13</v>
      </c>
      <c r="AB28" s="20"/>
      <c r="AC28" s="20"/>
      <c r="AD28" s="20"/>
      <c r="AE28" s="20"/>
      <c r="AF28" s="20"/>
      <c r="AG28" s="20"/>
      <c r="AH28" s="20"/>
      <c r="AI28" s="20"/>
      <c r="AJ28" s="20"/>
      <c r="AK28" s="20"/>
    </row>
    <row r="29" spans="2:38" ht="20.25" customHeight="1" thickBot="1" x14ac:dyDescent="0.25">
      <c r="B29" s="407"/>
      <c r="C29" s="147" t="str">
        <f>IF(OR(ISBLANK(B28),ISBLANK(C26)),BlankCell,C27)</f>
        <v xml:space="preserve"> </v>
      </c>
      <c r="D29" s="117"/>
      <c r="E29" s="421"/>
      <c r="F29" s="417" t="str">
        <f>IF(ISBLANK(E29),BlankCell,F27)</f>
        <v xml:space="preserve"> </v>
      </c>
      <c r="G29" s="148" t="str">
        <f>IF(ISBLANK(E29),BlankCell,G27)</f>
        <v xml:space="preserve"> </v>
      </c>
      <c r="H29" s="149" t="str">
        <f>IF(ISBLANK(E29),BlankCell,H27)</f>
        <v xml:space="preserve"> </v>
      </c>
      <c r="I29" s="401" t="str">
        <f>IF(ISBLANK(E29),BlankCell,I27)</f>
        <v xml:space="preserve"> </v>
      </c>
      <c r="J29" s="150"/>
      <c r="K29" s="151" t="str">
        <f>IF(ISBLANK(E29),BlankCell,IF(NOT(AG29=-1),AG29,0))</f>
        <v xml:space="preserve"> </v>
      </c>
      <c r="L29" s="152" t="str">
        <f>IF(ISBLANK(E29),BlankCell,MOD(K29+K30,360))</f>
        <v xml:space="preserve"> </v>
      </c>
      <c r="M29" s="152" t="str">
        <f>IF(ISBLANK(E29),BlankCell,MOD(L29+L30,360))</f>
        <v xml:space="preserve"> </v>
      </c>
      <c r="N29" s="152" t="str">
        <f>IF(OR(ISBLANK(M30),M30=BlankCell,M30=""),BlankCell,MOD(M29+M30,360))</f>
        <v xml:space="preserve"> </v>
      </c>
      <c r="O29" s="153"/>
      <c r="P29" s="154" t="str">
        <f>IF(ISBLANK(E29),BlankCell,I29*COS(RADIANS(K30))+AE29)</f>
        <v xml:space="preserve"> </v>
      </c>
      <c r="Q29" s="150"/>
      <c r="R29" s="155" t="str">
        <f>IF(ISBLANK(E29),BlankCell,IF(I29&gt;0,(O29/P29)*60,0))</f>
        <v xml:space="preserve"> </v>
      </c>
      <c r="S29" s="156" t="str">
        <f>IF(OR(ISBLANK(E29),ISBLANK($R$16)),BlankCell,S27+(R29/1440))</f>
        <v xml:space="preserve"> </v>
      </c>
      <c r="T29" s="155" t="str">
        <f>IF(ISBLANK(E29),BlankCell,CruiseFuelGPH*R29/60)</f>
        <v xml:space="preserve"> </v>
      </c>
      <c r="U29" s="109"/>
      <c r="V29" s="397"/>
      <c r="W29" s="392"/>
      <c r="X29" s="176" t="e">
        <f t="shared" si="3"/>
        <v>#N/A</v>
      </c>
      <c r="Y29" s="176" t="e">
        <f t="shared" si="4"/>
        <v>#N/A</v>
      </c>
      <c r="Z29" s="176" t="e">
        <f t="shared" si="1"/>
        <v>#N/A</v>
      </c>
      <c r="AA29" s="17">
        <v>14</v>
      </c>
      <c r="AB29" s="21" t="e">
        <f>MOD(G29-180,360)</f>
        <v>#VALUE!</v>
      </c>
      <c r="AC29" s="21" t="e">
        <f>K29-AB29</f>
        <v>#VALUE!</v>
      </c>
      <c r="AD29" s="21" t="e">
        <f>H29*SIN(RADIANS(AC29))</f>
        <v>#VALUE!</v>
      </c>
      <c r="AE29" s="21" t="e">
        <f>H29*COS(RADIANS(AC29))</f>
        <v>#VALUE!</v>
      </c>
      <c r="AF29" s="21" t="e">
        <f>IF(AND((LEN(E29)=4),OR(LEFT(E29,1)="O",LEFT(E29,1)="I"),OR(RIGHT(E29,3)="000",AND(VALUE(RIGHT(E29,3))&gt;=1,VALUE(RIGHT(E29,3))&lt;=359))),"Y","N")</f>
        <v>#VALUE!</v>
      </c>
      <c r="AG29" s="21">
        <f>IF(ISERROR(AF29),-1,IF(AF29="N",-1,IF(LEFT(E29,1)="I",MOD(VALUE(RIGHT(E29,3))-180-L30,360),MOD(VALUE(RIGHT(E29,3))-L30,360))))</f>
        <v>-1</v>
      </c>
      <c r="AH29" s="21" t="e">
        <f>MOD(IF(MOD(M29,30)&gt;=15,CEILING(M29,30),FLOOR(M29,30)),360)</f>
        <v>#VALUE!</v>
      </c>
      <c r="AI29" s="22" t="e">
        <f>IF(AH29=0,15,(AH29/30)+15)</f>
        <v>#VALUE!</v>
      </c>
      <c r="AJ29" s="21">
        <f>IF(LocatedAircraft="Yes",IF(ISBLANK(VLOOKUP(AircraftNumber,AircraftData,AI29,FALSE)),-1,VLOOKUP(AircraftNumber,AircraftData,AI29,FALSE)),-1)</f>
        <v>-1</v>
      </c>
      <c r="AK29" s="21" t="str">
        <f>IF(AJ29=-1,"NA",IF(AJ29-AH29&gt;180,(AJ29-AH29)-360,AJ29-AH29))</f>
        <v>NA</v>
      </c>
    </row>
    <row r="30" spans="2:38" ht="20.25" customHeight="1" x14ac:dyDescent="0.2">
      <c r="B30" s="408"/>
      <c r="C30" s="157" t="str">
        <f>IF(OR(ISBLANK(B30),ISBLANK(C28)),BlankCell,C28)</f>
        <v xml:space="preserve"> </v>
      </c>
      <c r="D30" s="117"/>
      <c r="E30" s="421"/>
      <c r="F30" s="417"/>
      <c r="G30" s="409" t="str">
        <f>IF(ISBLANK(E29),BlankCell,G28)</f>
        <v xml:space="preserve"> </v>
      </c>
      <c r="H30" s="409"/>
      <c r="I30" s="401"/>
      <c r="J30" s="150"/>
      <c r="K30" s="158" t="str">
        <f>IF(ISBLANK(E29),BlankCell,IF(ISBLANK(I29),0,DEGREES(ASIN(AD29/I29))))</f>
        <v xml:space="preserve"> </v>
      </c>
      <c r="L30" s="159" t="str">
        <f>IF(ISBLANK(E29),BlankCell,L28)</f>
        <v xml:space="preserve"> </v>
      </c>
      <c r="M30" s="159" t="str">
        <f>IF(ISBLANK(E29),BlankCell,IF(AK29="NA","",AK29))</f>
        <v xml:space="preserve"> </v>
      </c>
      <c r="N30" s="152" t="str">
        <f>IF(OR(ISBLANK(E29),ISBLANK(I29)),"",CONCATENATE(TEXT(AD29,"00"),"/",TEXT(-AE29,"00")))</f>
        <v/>
      </c>
      <c r="O30" s="160" t="str">
        <f>IF(OR(ISBLANK(E29),TotalDistance=0),BlankCell,O28-O29)</f>
        <v xml:space="preserve"> </v>
      </c>
      <c r="P30" s="161"/>
      <c r="Q30" s="150"/>
      <c r="R30" s="155"/>
      <c r="S30" s="162"/>
      <c r="T30" s="160" t="str">
        <f>IF(ISBLANK(E29),BlankCell,T28-T29)</f>
        <v xml:space="preserve"> </v>
      </c>
      <c r="U30" s="109"/>
      <c r="V30" s="395" t="s">
        <v>213</v>
      </c>
      <c r="W30" s="174" t="s">
        <v>199</v>
      </c>
      <c r="X30" s="175" t="e">
        <f t="shared" si="3"/>
        <v>#N/A</v>
      </c>
      <c r="Y30" s="175" t="e">
        <f t="shared" si="4"/>
        <v>#N/A</v>
      </c>
      <c r="Z30" s="175" t="e">
        <f t="shared" si="1"/>
        <v>#N/A</v>
      </c>
      <c r="AA30" s="17">
        <v>15</v>
      </c>
      <c r="AB30" s="20"/>
      <c r="AC30" s="20"/>
      <c r="AD30" s="20"/>
      <c r="AE30" s="20"/>
      <c r="AF30" s="20"/>
      <c r="AG30" s="20"/>
      <c r="AH30" s="20"/>
      <c r="AI30" s="20"/>
      <c r="AJ30" s="20"/>
      <c r="AK30" s="20"/>
    </row>
    <row r="31" spans="2:38" ht="20.25" customHeight="1" x14ac:dyDescent="0.2">
      <c r="B31" s="408"/>
      <c r="C31" s="131" t="str">
        <f>IF(OR(ISBLANK(B30),ISBLANK(C28)),BlankCell,C29)</f>
        <v xml:space="preserve"> </v>
      </c>
      <c r="D31" s="116"/>
      <c r="E31" s="422"/>
      <c r="F31" s="413" t="str">
        <f>IF(ISBLANK(E31),BlankCell,F29)</f>
        <v xml:space="preserve"> </v>
      </c>
      <c r="G31" s="132" t="str">
        <f>IF(ISBLANK(E31),BlankCell,G29)</f>
        <v xml:space="preserve"> </v>
      </c>
      <c r="H31" s="133" t="str">
        <f>IF(ISBLANK(E31),BlankCell,H29)</f>
        <v xml:space="preserve"> </v>
      </c>
      <c r="I31" s="402" t="str">
        <f>IF(ISBLANK(E31),BlankCell,I29)</f>
        <v xml:space="preserve"> </v>
      </c>
      <c r="J31" s="134"/>
      <c r="K31" s="135" t="str">
        <f>IF(ISBLANK(E31),BlankCell,IF(NOT(AG31=-1),AG31,0))</f>
        <v xml:space="preserve"> </v>
      </c>
      <c r="L31" s="136" t="str">
        <f>IF(ISBLANK(E31),BlankCell,MOD(K31+K32,360))</f>
        <v xml:space="preserve"> </v>
      </c>
      <c r="M31" s="136" t="str">
        <f>IF(ISBLANK(E31),BlankCell,MOD(L31+L32,360))</f>
        <v xml:space="preserve"> </v>
      </c>
      <c r="N31" s="136" t="str">
        <f>IF(OR(ISBLANK(M32),M32=BlankCell,M32=""),BlankCell,MOD(M31+M32,360))</f>
        <v xml:space="preserve"> </v>
      </c>
      <c r="O31" s="137"/>
      <c r="P31" s="138" t="str">
        <f>IF(ISBLANK(E31),BlankCell,I31*COS(RADIANS(K32))+AE31)</f>
        <v xml:space="preserve"> </v>
      </c>
      <c r="Q31" s="134"/>
      <c r="R31" s="139" t="str">
        <f>IF(ISBLANK(E31),BlankCell,IF(I31&gt;0,(O31/P31)*60,0))</f>
        <v xml:space="preserve"> </v>
      </c>
      <c r="S31" s="140" t="str">
        <f>IF(OR(ISBLANK(E31),ISBLANK($R$16)),BlankCell,S29+(R31/1440))</f>
        <v xml:space="preserve"> </v>
      </c>
      <c r="T31" s="139" t="str">
        <f>IF(ISBLANK(E31),BlankCell,CruiseFuelGPH*R31/60)</f>
        <v xml:space="preserve"> </v>
      </c>
      <c r="U31" s="109"/>
      <c r="V31" s="396"/>
      <c r="W31" s="177" t="s">
        <v>212</v>
      </c>
      <c r="X31" s="170" t="e">
        <f t="shared" si="3"/>
        <v>#N/A</v>
      </c>
      <c r="Y31" s="170" t="e">
        <f t="shared" si="4"/>
        <v>#N/A</v>
      </c>
      <c r="Z31" s="170" t="e">
        <f t="shared" si="1"/>
        <v>#N/A</v>
      </c>
      <c r="AA31" s="17">
        <v>16</v>
      </c>
      <c r="AB31" s="21" t="e">
        <f>MOD(G31-180,360)</f>
        <v>#VALUE!</v>
      </c>
      <c r="AC31" s="21" t="e">
        <f>K31-AB31</f>
        <v>#VALUE!</v>
      </c>
      <c r="AD31" s="21" t="e">
        <f>H31*SIN(RADIANS(AC31))</f>
        <v>#VALUE!</v>
      </c>
      <c r="AE31" s="21" t="e">
        <f>H31*COS(RADIANS(AC31))</f>
        <v>#VALUE!</v>
      </c>
      <c r="AF31" s="21" t="e">
        <f>IF(AND((LEN(E31)=4),OR(LEFT(E31,1)="O",LEFT(E31,1)="I"),OR(RIGHT(E31,3)="000",AND(VALUE(RIGHT(E31,3))&gt;=1,VALUE(RIGHT(E31,3))&lt;=359))),"Y","N")</f>
        <v>#VALUE!</v>
      </c>
      <c r="AG31" s="21">
        <f>IF(ISERROR(AF31),-1,IF(AF31="N",-1,IF(LEFT(E31,1)="I",MOD(VALUE(RIGHT(E31,3))-180-L32,360),MOD(VALUE(RIGHT(E31,3))-L32,360))))</f>
        <v>-1</v>
      </c>
      <c r="AH31" s="21" t="e">
        <f>MOD(IF(MOD(M31,30)&gt;=15,CEILING(M31,30),FLOOR(M31,30)),360)</f>
        <v>#VALUE!</v>
      </c>
      <c r="AI31" s="22" t="e">
        <f>IF(AH31=0,15,(AH31/30)+15)</f>
        <v>#VALUE!</v>
      </c>
      <c r="AJ31" s="21">
        <f>IF(LocatedAircraft="Yes",IF(ISBLANK(VLOOKUP(AircraftNumber,AircraftData,AI31,FALSE)),-1,VLOOKUP(AircraftNumber,AircraftData,AI31,FALSE)),-1)</f>
        <v>-1</v>
      </c>
      <c r="AK31" s="21" t="str">
        <f>IF(AJ31=-1,"NA",IF(AJ31-AH31&gt;180,(AJ31-AH31)-360,AJ31-AH31))</f>
        <v>NA</v>
      </c>
    </row>
    <row r="32" spans="2:38" ht="20.25" customHeight="1" x14ac:dyDescent="0.2">
      <c r="B32" s="407"/>
      <c r="C32" s="141" t="str">
        <f>IF(OR(ISBLANK(B32),ISBLANK(C30)),BlankCell,C30)</f>
        <v xml:space="preserve"> </v>
      </c>
      <c r="D32" s="116"/>
      <c r="E32" s="422"/>
      <c r="F32" s="413"/>
      <c r="G32" s="410" t="str">
        <f>IF(ISBLANK(E31),BlankCell,G30)</f>
        <v xml:space="preserve"> </v>
      </c>
      <c r="H32" s="410"/>
      <c r="I32" s="402"/>
      <c r="J32" s="134"/>
      <c r="K32" s="142" t="str">
        <f>IF(ISBLANK(E31),BlankCell,IF(ISBLANK(I31),0,DEGREES(ASIN(AD31/I31))))</f>
        <v xml:space="preserve"> </v>
      </c>
      <c r="L32" s="143" t="str">
        <f>IF(ISBLANK(E31),BlankCell,L30)</f>
        <v xml:space="preserve"> </v>
      </c>
      <c r="M32" s="143" t="str">
        <f>IF(ISBLANK(E31),BlankCell,IF(AK31="NA","",AK31))</f>
        <v xml:space="preserve"> </v>
      </c>
      <c r="N32" s="136" t="str">
        <f>IF(OR(ISBLANK(E31),ISBLANK(I31)),"",CONCATENATE(TEXT(AD31,"00"),"/",TEXT(-AE31,"00")))</f>
        <v/>
      </c>
      <c r="O32" s="144" t="str">
        <f>IF(OR(ISBLANK(E31),TotalDistance=0),BlankCell,O30-O31)</f>
        <v xml:space="preserve"> </v>
      </c>
      <c r="P32" s="145"/>
      <c r="Q32" s="134"/>
      <c r="R32" s="139"/>
      <c r="S32" s="146"/>
      <c r="T32" s="144" t="str">
        <f>IF(ISBLANK(E31),BlankCell,T30-T31)</f>
        <v xml:space="preserve"> </v>
      </c>
      <c r="U32" s="109"/>
      <c r="V32" s="396"/>
      <c r="W32" s="388" t="s">
        <v>207</v>
      </c>
      <c r="X32" s="172" t="e">
        <f t="shared" si="3"/>
        <v>#N/A</v>
      </c>
      <c r="Y32" s="172" t="e">
        <f t="shared" si="4"/>
        <v>#N/A</v>
      </c>
      <c r="Z32" s="172" t="e">
        <f t="shared" si="1"/>
        <v>#N/A</v>
      </c>
      <c r="AA32" s="17">
        <v>17</v>
      </c>
      <c r="AB32" s="20"/>
      <c r="AC32" s="20"/>
      <c r="AD32" s="20"/>
      <c r="AE32" s="20"/>
      <c r="AF32" s="20"/>
      <c r="AG32" s="20"/>
      <c r="AH32" s="20"/>
      <c r="AI32" s="20"/>
      <c r="AJ32" s="20"/>
      <c r="AK32" s="20"/>
    </row>
    <row r="33" spans="2:37" ht="20.25" customHeight="1" thickBot="1" x14ac:dyDescent="0.25">
      <c r="B33" s="407"/>
      <c r="C33" s="147" t="str">
        <f>IF(OR(ISBLANK(B32),ISBLANK(C30)),BlankCell,C31)</f>
        <v xml:space="preserve"> </v>
      </c>
      <c r="D33" s="117"/>
      <c r="E33" s="421"/>
      <c r="F33" s="417" t="str">
        <f>IF(ISBLANK(E33),BlankCell,F31)</f>
        <v xml:space="preserve"> </v>
      </c>
      <c r="G33" s="148" t="str">
        <f>IF(ISBLANK(E33),BlankCell,G31)</f>
        <v xml:space="preserve"> </v>
      </c>
      <c r="H33" s="149" t="str">
        <f>IF(ISBLANK(E33),BlankCell,H31)</f>
        <v xml:space="preserve"> </v>
      </c>
      <c r="I33" s="401" t="str">
        <f>IF(ISBLANK(E33),BlankCell,I31)</f>
        <v xml:space="preserve"> </v>
      </c>
      <c r="J33" s="150"/>
      <c r="K33" s="151" t="str">
        <f>IF(ISBLANK(E33),BlankCell,IF(NOT(AG33=-1),AG33,0))</f>
        <v xml:space="preserve"> </v>
      </c>
      <c r="L33" s="152" t="str">
        <f>IF(ISBLANK(E33),BlankCell,MOD(K33+K34,360))</f>
        <v xml:space="preserve"> </v>
      </c>
      <c r="M33" s="152" t="str">
        <f>IF(ISBLANK(E33),BlankCell,MOD(L33+L34,360))</f>
        <v xml:space="preserve"> </v>
      </c>
      <c r="N33" s="152" t="str">
        <f>IF(OR(ISBLANK(M34),M34=BlankCell,M34=""),BlankCell,MOD(M33+M34,360))</f>
        <v xml:space="preserve"> </v>
      </c>
      <c r="O33" s="153"/>
      <c r="P33" s="154" t="str">
        <f>IF(ISBLANK(E33),BlankCell,I33*COS(RADIANS(K34))+AE33)</f>
        <v xml:space="preserve"> </v>
      </c>
      <c r="Q33" s="150"/>
      <c r="R33" s="155" t="str">
        <f>IF(ISBLANK(E33),BlankCell,IF(I33&gt;0,(O33/P33)*60,0))</f>
        <v xml:space="preserve"> </v>
      </c>
      <c r="S33" s="156" t="str">
        <f>IF(OR(ISBLANK(E33),ISBLANK($R$16)),BlankCell,S31+(R33/1440))</f>
        <v xml:space="preserve"> </v>
      </c>
      <c r="T33" s="155" t="str">
        <f>IF(ISBLANK(E33),BlankCell,CruiseFuelGPH*R33/60)</f>
        <v xml:space="preserve"> </v>
      </c>
      <c r="U33" s="109"/>
      <c r="V33" s="397"/>
      <c r="W33" s="392"/>
      <c r="X33" s="176" t="e">
        <f t="shared" si="3"/>
        <v>#N/A</v>
      </c>
      <c r="Y33" s="176" t="e">
        <f t="shared" si="4"/>
        <v>#N/A</v>
      </c>
      <c r="Z33" s="176" t="e">
        <f t="shared" si="1"/>
        <v>#N/A</v>
      </c>
      <c r="AA33" s="17">
        <v>18</v>
      </c>
      <c r="AB33" s="21" t="e">
        <f>MOD(G33-180,360)</f>
        <v>#VALUE!</v>
      </c>
      <c r="AC33" s="21" t="e">
        <f>K33-AB33</f>
        <v>#VALUE!</v>
      </c>
      <c r="AD33" s="21" t="e">
        <f>H33*SIN(RADIANS(AC33))</f>
        <v>#VALUE!</v>
      </c>
      <c r="AE33" s="21" t="e">
        <f>H33*COS(RADIANS(AC33))</f>
        <v>#VALUE!</v>
      </c>
      <c r="AF33" s="21" t="e">
        <f>IF(AND((LEN(E33)=4),OR(LEFT(E33,1)="O",LEFT(E33,1)="I"),OR(RIGHT(E33,3)="000",AND(VALUE(RIGHT(E33,3))&gt;=1,VALUE(RIGHT(E33,3))&lt;=359))),"Y","N")</f>
        <v>#VALUE!</v>
      </c>
      <c r="AG33" s="21">
        <f>IF(ISERROR(AF33),-1,IF(AF33="N",-1,IF(LEFT(E33,1)="I",MOD(VALUE(RIGHT(E33,3))-180-L34,360),MOD(VALUE(RIGHT(E33,3))-L34,360))))</f>
        <v>-1</v>
      </c>
      <c r="AH33" s="21" t="e">
        <f>MOD(IF(MOD(M33,30)&gt;=15,CEILING(M33,30),FLOOR(M33,30)),360)</f>
        <v>#VALUE!</v>
      </c>
      <c r="AI33" s="22" t="e">
        <f>IF(AH33=0,15,(AH33/30)+15)</f>
        <v>#VALUE!</v>
      </c>
      <c r="AJ33" s="21">
        <f>IF(LocatedAircraft="Yes",IF(ISBLANK(VLOOKUP(AircraftNumber,AircraftData,AI33,FALSE)),-1,VLOOKUP(AircraftNumber,AircraftData,AI33,FALSE)),-1)</f>
        <v>-1</v>
      </c>
      <c r="AK33" s="21" t="str">
        <f>IF(AJ33=-1,"NA",IF(AJ33-AH33&gt;180,(AJ33-AH33)-360,AJ33-AH33))</f>
        <v>NA</v>
      </c>
    </row>
    <row r="34" spans="2:37" ht="20.25" customHeight="1" x14ac:dyDescent="0.2">
      <c r="B34" s="408"/>
      <c r="C34" s="157" t="str">
        <f>IF(OR(ISBLANK(B34),ISBLANK(C32)),BlankCell,C32)</f>
        <v xml:space="preserve"> </v>
      </c>
      <c r="D34" s="117"/>
      <c r="E34" s="421"/>
      <c r="F34" s="417"/>
      <c r="G34" s="409" t="str">
        <f>IF(ISBLANK(E33),BlankCell,G32)</f>
        <v xml:space="preserve"> </v>
      </c>
      <c r="H34" s="409"/>
      <c r="I34" s="401"/>
      <c r="J34" s="150"/>
      <c r="K34" s="158" t="str">
        <f>IF(ISBLANK(E33),BlankCell,IF(ISBLANK(I33),0,DEGREES(ASIN(AD33/I33))))</f>
        <v xml:space="preserve"> </v>
      </c>
      <c r="L34" s="159" t="str">
        <f>IF(ISBLANK(E33),BlankCell,L32)</f>
        <v xml:space="preserve"> </v>
      </c>
      <c r="M34" s="159" t="str">
        <f>IF(ISBLANK(E33),BlankCell,IF(AK33="NA","",AK33))</f>
        <v xml:space="preserve"> </v>
      </c>
      <c r="N34" s="152" t="str">
        <f>IF(OR(ISBLANK(E33),ISBLANK(I33)),"",CONCATENATE(TEXT(AD33,"00"),"/",TEXT(-AE33,"00")))</f>
        <v/>
      </c>
      <c r="O34" s="160" t="str">
        <f>IF(OR(ISBLANK(E33),TotalDistance=0),BlankCell,O32-O33)</f>
        <v xml:space="preserve"> </v>
      </c>
      <c r="P34" s="161"/>
      <c r="Q34" s="150"/>
      <c r="R34" s="155"/>
      <c r="S34" s="162"/>
      <c r="T34" s="160" t="str">
        <f>IF(ISBLANK(E33),BlankCell,T32-T33)</f>
        <v xml:space="preserve"> </v>
      </c>
      <c r="U34" s="109"/>
      <c r="V34" s="390" t="s">
        <v>197</v>
      </c>
      <c r="W34" s="178" t="s">
        <v>112</v>
      </c>
      <c r="X34" s="175" t="e">
        <f t="shared" si="2"/>
        <v>#N/A</v>
      </c>
      <c r="Y34" s="175" t="e">
        <f t="shared" si="0"/>
        <v>#N/A</v>
      </c>
      <c r="Z34" s="175" t="e">
        <f t="shared" si="1"/>
        <v>#N/A</v>
      </c>
      <c r="AA34" s="17">
        <v>19</v>
      </c>
      <c r="AB34" s="20"/>
      <c r="AC34" s="20"/>
      <c r="AD34" s="20"/>
      <c r="AE34" s="20"/>
      <c r="AF34" s="20"/>
      <c r="AG34" s="20"/>
      <c r="AH34" s="20"/>
      <c r="AI34" s="20"/>
      <c r="AJ34" s="20"/>
      <c r="AK34" s="20"/>
    </row>
    <row r="35" spans="2:37" ht="20.25" customHeight="1" x14ac:dyDescent="0.2">
      <c r="B35" s="408"/>
      <c r="C35" s="131" t="str">
        <f>IF(OR(ISBLANK(B34),ISBLANK(C32)),BlankCell,C33)</f>
        <v xml:space="preserve"> </v>
      </c>
      <c r="D35" s="116"/>
      <c r="E35" s="422"/>
      <c r="F35" s="413" t="str">
        <f>IF(ISBLANK(E35),BlankCell,F33)</f>
        <v xml:space="preserve"> </v>
      </c>
      <c r="G35" s="132" t="str">
        <f>IF(ISBLANK(E35),BlankCell,G33)</f>
        <v xml:space="preserve"> </v>
      </c>
      <c r="H35" s="133" t="str">
        <f>IF(ISBLANK(E35),BlankCell,H33)</f>
        <v xml:space="preserve"> </v>
      </c>
      <c r="I35" s="402" t="str">
        <f>IF(ISBLANK(E35),BlankCell,I33)</f>
        <v xml:space="preserve"> </v>
      </c>
      <c r="J35" s="134"/>
      <c r="K35" s="135" t="str">
        <f>IF(ISBLANK(E35),BlankCell,IF(NOT(AG35=-1),AG35,0))</f>
        <v xml:space="preserve"> </v>
      </c>
      <c r="L35" s="136" t="str">
        <f>IF(ISBLANK(E35),BlankCell,MOD(K35+K36,360))</f>
        <v xml:space="preserve"> </v>
      </c>
      <c r="M35" s="136" t="str">
        <f>IF(ISBLANK(E35),BlankCell,MOD(L35+L36,360))</f>
        <v xml:space="preserve"> </v>
      </c>
      <c r="N35" s="136" t="str">
        <f>IF(OR(ISBLANK(M36),M36=BlankCell,M36=""),BlankCell,MOD(M35+M36,360))</f>
        <v xml:space="preserve"> </v>
      </c>
      <c r="O35" s="137"/>
      <c r="P35" s="138" t="str">
        <f>IF(ISBLANK(E35),BlankCell,I35*COS(RADIANS(K36))+AE35)</f>
        <v xml:space="preserve"> </v>
      </c>
      <c r="Q35" s="134"/>
      <c r="R35" s="139" t="str">
        <f>IF(ISBLANK(E35),BlankCell,IF(I35&gt;0,(O35/P35)*60,0))</f>
        <v xml:space="preserve"> </v>
      </c>
      <c r="S35" s="140" t="str">
        <f>IF(OR(ISBLANK(E35),ISBLANK($R$16)),BlankCell,S33+(R35/1440))</f>
        <v xml:space="preserve"> </v>
      </c>
      <c r="T35" s="139" t="str">
        <f>IF(ISBLANK(E35),BlankCell,CruiseFuelGPH*R35/60)</f>
        <v xml:space="preserve"> </v>
      </c>
      <c r="U35" s="109"/>
      <c r="V35" s="391"/>
      <c r="W35" s="179" t="s">
        <v>211</v>
      </c>
      <c r="X35" s="173" t="e">
        <f>VLOOKUP(DepartureAirportID,AFDData,AA35,FALSE)</f>
        <v>#N/A</v>
      </c>
      <c r="Y35" s="173" t="e">
        <f>VLOOKUP(EnrouteAirportID,AFDData,AA35,FALSE)</f>
        <v>#N/A</v>
      </c>
      <c r="Z35" s="173" t="e">
        <f t="shared" si="1"/>
        <v>#N/A</v>
      </c>
      <c r="AA35" s="17">
        <v>20</v>
      </c>
      <c r="AB35" s="21" t="e">
        <f>MOD(G35-180,360)</f>
        <v>#VALUE!</v>
      </c>
      <c r="AC35" s="21" t="e">
        <f>K35-AB35</f>
        <v>#VALUE!</v>
      </c>
      <c r="AD35" s="21" t="e">
        <f>H35*SIN(RADIANS(AC35))</f>
        <v>#VALUE!</v>
      </c>
      <c r="AE35" s="21" t="e">
        <f>H35*COS(RADIANS(AC35))</f>
        <v>#VALUE!</v>
      </c>
      <c r="AF35" s="21" t="e">
        <f>IF(AND((LEN(E35)=4),OR(LEFT(E35,1)="O",LEFT(E35,1)="I"),OR(RIGHT(E35,3)="000",AND(VALUE(RIGHT(E35,3))&gt;=1,VALUE(RIGHT(E35,3))&lt;=359))),"Y","N")</f>
        <v>#VALUE!</v>
      </c>
      <c r="AG35" s="21">
        <f>IF(ISERROR(AF35),-1,IF(AF35="N",-1,IF(LEFT(E35,1)="I",MOD(VALUE(RIGHT(E35,3))-180-L36,360),MOD(VALUE(RIGHT(E35,3))-L36,360))))</f>
        <v>-1</v>
      </c>
      <c r="AH35" s="21" t="e">
        <f>MOD(IF(MOD(M35,30)&gt;=15,CEILING(M35,30),FLOOR(M35,30)),360)</f>
        <v>#VALUE!</v>
      </c>
      <c r="AI35" s="22" t="e">
        <f>IF(AH35=0,15,(AH35/30)+15)</f>
        <v>#VALUE!</v>
      </c>
      <c r="AJ35" s="21">
        <f>IF(LocatedAircraft="Yes",IF(ISBLANK(VLOOKUP(AircraftNumber,AircraftData,AI35,FALSE)),-1,VLOOKUP(AircraftNumber,AircraftData,AI35,FALSE)),-1)</f>
        <v>-1</v>
      </c>
      <c r="AK35" s="21" t="str">
        <f>IF(AJ35=-1,"NA",IF(AJ35-AH35&gt;180,(AJ35-AH35)-360,AJ35-AH35))</f>
        <v>NA</v>
      </c>
    </row>
    <row r="36" spans="2:37" ht="20.25" customHeight="1" x14ac:dyDescent="0.2">
      <c r="B36" s="407"/>
      <c r="C36" s="141" t="str">
        <f>IF(OR(ISBLANK(B36),ISBLANK(C34)),BlankCell,C34)</f>
        <v xml:space="preserve"> </v>
      </c>
      <c r="D36" s="116"/>
      <c r="E36" s="422"/>
      <c r="F36" s="413"/>
      <c r="G36" s="410" t="str">
        <f>IF(ISBLANK(E35),BlankCell,G34)</f>
        <v xml:space="preserve"> </v>
      </c>
      <c r="H36" s="410"/>
      <c r="I36" s="402"/>
      <c r="J36" s="134"/>
      <c r="K36" s="142" t="str">
        <f>IF(ISBLANK(E35),BlankCell,IF(ISBLANK(I35),0,DEGREES(ASIN(AD35/I35))))</f>
        <v xml:space="preserve"> </v>
      </c>
      <c r="L36" s="143" t="str">
        <f>IF(ISBLANK(E35),BlankCell,L34)</f>
        <v xml:space="preserve"> </v>
      </c>
      <c r="M36" s="143" t="str">
        <f>IF(ISBLANK(E35),BlankCell,IF(AK35="NA","",AK35))</f>
        <v xml:space="preserve"> </v>
      </c>
      <c r="N36" s="136" t="str">
        <f>IF(OR(ISBLANK(E35),ISBLANK(I35)),"",CONCATENATE(TEXT(AD35,"00"),"/",TEXT(-AE35,"00")))</f>
        <v/>
      </c>
      <c r="O36" s="144" t="str">
        <f>IF(OR(ISBLANK(E35),TotalDistance=0),BlankCell,O34-O35)</f>
        <v xml:space="preserve"> </v>
      </c>
      <c r="P36" s="145"/>
      <c r="Q36" s="134"/>
      <c r="R36" s="139"/>
      <c r="S36" s="146"/>
      <c r="T36" s="144" t="str">
        <f>IF(ISBLANK(E35),BlankCell,T34-T35)</f>
        <v xml:space="preserve"> </v>
      </c>
      <c r="U36" s="109"/>
      <c r="V36" s="394" t="s">
        <v>203</v>
      </c>
      <c r="W36" s="394"/>
      <c r="X36" s="394"/>
      <c r="Y36" s="394"/>
      <c r="Z36" s="394"/>
      <c r="AA36" s="18"/>
      <c r="AB36" s="20"/>
      <c r="AC36" s="20"/>
      <c r="AD36" s="20"/>
      <c r="AE36" s="20"/>
      <c r="AF36" s="20"/>
      <c r="AG36" s="20"/>
      <c r="AH36" s="20"/>
      <c r="AI36" s="20"/>
      <c r="AJ36" s="20"/>
      <c r="AK36" s="20"/>
    </row>
    <row r="37" spans="2:37" ht="20.25" customHeight="1" x14ac:dyDescent="0.2">
      <c r="B37" s="407"/>
      <c r="C37" s="147" t="str">
        <f>IF(OR(ISBLANK(B36),ISBLANK(C34)),BlankCell,C35)</f>
        <v xml:space="preserve"> </v>
      </c>
      <c r="D37" s="117"/>
      <c r="E37" s="421"/>
      <c r="F37" s="417" t="str">
        <f>IF(ISBLANK(E37),BlankCell,F31)</f>
        <v xml:space="preserve"> </v>
      </c>
      <c r="G37" s="148" t="str">
        <f>IF(ISBLANK(E37),BlankCell,G31)</f>
        <v xml:space="preserve"> </v>
      </c>
      <c r="H37" s="149" t="str">
        <f>IF(ISBLANK(E37),BlankCell,H31)</f>
        <v xml:space="preserve"> </v>
      </c>
      <c r="I37" s="401" t="str">
        <f>IF(ISBLANK(E37),BlankCell,I31)</f>
        <v xml:space="preserve"> </v>
      </c>
      <c r="J37" s="150"/>
      <c r="K37" s="151" t="str">
        <f>IF(ISBLANK(E37),BlankCell,IF(NOT(AG37=-1),AG37,0))</f>
        <v xml:space="preserve"> </v>
      </c>
      <c r="L37" s="152" t="str">
        <f>IF(ISBLANK(E37),BlankCell,MOD(K37+K38,360))</f>
        <v xml:space="preserve"> </v>
      </c>
      <c r="M37" s="152" t="str">
        <f>IF(ISBLANK(E37),BlankCell,MOD(L37+L38,360))</f>
        <v xml:space="preserve"> </v>
      </c>
      <c r="N37" s="152" t="str">
        <f>IF(OR(ISBLANK(M38),M38=BlankCell,M38=""),BlankCell,MOD(M37+M38,360))</f>
        <v xml:space="preserve"> </v>
      </c>
      <c r="O37" s="153"/>
      <c r="P37" s="154" t="str">
        <f>IF(ISBLANK(E37),BlankCell,I37*COS(RADIANS(K38))+AE37)</f>
        <v xml:space="preserve"> </v>
      </c>
      <c r="Q37" s="150"/>
      <c r="R37" s="155" t="str">
        <f>IF(ISBLANK(E37),BlankCell,IF(I37&gt;0,(O37/P37)*60,0))</f>
        <v xml:space="preserve"> </v>
      </c>
      <c r="S37" s="156" t="str">
        <f>IF(OR(ISBLANK(E37),ISBLANK($R$16)),BlankCell,S35+(R37/1440))</f>
        <v xml:space="preserve"> </v>
      </c>
      <c r="T37" s="155" t="str">
        <f>IF(ISBLANK(E37),BlankCell,CruiseFuelGPH*R37/60)</f>
        <v xml:space="preserve"> </v>
      </c>
      <c r="U37" s="109"/>
      <c r="V37" s="388" t="s">
        <v>204</v>
      </c>
      <c r="W37" s="388"/>
      <c r="X37" s="170" t="e">
        <f t="shared" si="2"/>
        <v>#N/A</v>
      </c>
      <c r="Y37" s="170" t="e">
        <f>VLOOKUP(EnrouteAirportID,AFDData,AA37,FALSE)</f>
        <v>#N/A</v>
      </c>
      <c r="Z37" s="170" t="e">
        <f>VLOOKUP(DestinationAirportID,AFDData,AA37,FALSE)</f>
        <v>#N/A</v>
      </c>
      <c r="AA37" s="17">
        <v>21</v>
      </c>
      <c r="AB37" s="21" t="e">
        <f>MOD(G37-180,360)</f>
        <v>#VALUE!</v>
      </c>
      <c r="AC37" s="21" t="e">
        <f>K37-AB37</f>
        <v>#VALUE!</v>
      </c>
      <c r="AD37" s="21" t="e">
        <f>H37*SIN(RADIANS(AC37))</f>
        <v>#VALUE!</v>
      </c>
      <c r="AE37" s="21" t="e">
        <f>H37*COS(RADIANS(AC37))</f>
        <v>#VALUE!</v>
      </c>
      <c r="AF37" s="21" t="e">
        <f>IF(AND((LEN(E37)=4),OR(LEFT(E37,1)="O",LEFT(E37,1)="I"),OR(RIGHT(E37,3)="000",AND(VALUE(RIGHT(E37,3))&gt;=1,VALUE(RIGHT(E37,3))&lt;=359))),"Y","N")</f>
        <v>#VALUE!</v>
      </c>
      <c r="AG37" s="21">
        <f>IF(ISERROR(AF37),-1,IF(AF37="N",-1,IF(LEFT(E37,1)="I",MOD(VALUE(RIGHT(E37,3))-180-L38,360),MOD(VALUE(RIGHT(E37,3))-L38,360))))</f>
        <v>-1</v>
      </c>
      <c r="AH37" s="21" t="e">
        <f>MOD(IF(MOD(M37,30)&gt;=15,CEILING(M37,30),FLOOR(M37,30)),360)</f>
        <v>#VALUE!</v>
      </c>
      <c r="AI37" s="22" t="e">
        <f>IF(AH37=0,15,(AH37/30)+15)</f>
        <v>#VALUE!</v>
      </c>
      <c r="AJ37" s="21">
        <f>IF(LocatedAircraft="Yes",IF(ISBLANK(VLOOKUP(AircraftNumber,AircraftData,AI37,FALSE)),-1,VLOOKUP(AircraftNumber,AircraftData,AI37,FALSE)),-1)</f>
        <v>-1</v>
      </c>
      <c r="AK37" s="21" t="str">
        <f>IF(AJ37=-1,"NA",IF(AJ37-AH37&gt;180,(AJ37-AH37)-360,AJ37-AH37))</f>
        <v>NA</v>
      </c>
    </row>
    <row r="38" spans="2:37" ht="20.25" customHeight="1" thickBot="1" x14ac:dyDescent="0.25">
      <c r="B38" s="408"/>
      <c r="C38" s="157" t="str">
        <f>IF(OR(ISBLANK(B38),ISBLANK(C36)),BlankCell,C36)</f>
        <v xml:space="preserve"> </v>
      </c>
      <c r="D38" s="117"/>
      <c r="E38" s="421"/>
      <c r="F38" s="417"/>
      <c r="G38" s="409" t="str">
        <f>IF(ISBLANK(E37),BlankCell,G32)</f>
        <v xml:space="preserve"> </v>
      </c>
      <c r="H38" s="409"/>
      <c r="I38" s="401"/>
      <c r="J38" s="163"/>
      <c r="K38" s="158" t="str">
        <f>IF(ISBLANK(E37),BlankCell,IF(ISBLANK(I37),0,DEGREES(ASIN(AD37/I37))))</f>
        <v xml:space="preserve"> </v>
      </c>
      <c r="L38" s="159" t="str">
        <f>IF(ISBLANK(E37),BlankCell,L32)</f>
        <v xml:space="preserve"> </v>
      </c>
      <c r="M38" s="159" t="str">
        <f>IF(ISBLANK(E37),BlankCell,IF(AK37="NA","",AK37))</f>
        <v xml:space="preserve"> </v>
      </c>
      <c r="N38" s="152" t="str">
        <f>IF(OR(ISBLANK(E37),ISBLANK(I37)),"",CONCATENATE(TEXT(AD37,"00"),"/",TEXT(-AE37,"00")))</f>
        <v/>
      </c>
      <c r="O38" s="160" t="str">
        <f>IF(OR(ISBLANK(E37),TotalDistance=0),BlankCell,O36-O37)</f>
        <v xml:space="preserve"> </v>
      </c>
      <c r="P38" s="161"/>
      <c r="Q38" s="150"/>
      <c r="R38" s="155"/>
      <c r="S38" s="162"/>
      <c r="T38" s="160" t="str">
        <f>IF(ISBLANK(E37),BlankCell,T36-T37)</f>
        <v xml:space="preserve"> </v>
      </c>
      <c r="U38" s="109"/>
      <c r="V38" s="392" t="s">
        <v>205</v>
      </c>
      <c r="W38" s="392"/>
      <c r="X38" s="180" t="e">
        <f t="shared" si="2"/>
        <v>#N/A</v>
      </c>
      <c r="Y38" s="180" t="e">
        <f>VLOOKUP(EnrouteAirportID,AFDData,AA38,FALSE)</f>
        <v>#N/A</v>
      </c>
      <c r="Z38" s="180" t="e">
        <f>VLOOKUP(DestinationAirportID,AFDData,AA38,FALSE)</f>
        <v>#N/A</v>
      </c>
      <c r="AA38" s="17">
        <v>22</v>
      </c>
      <c r="AB38" s="20"/>
      <c r="AC38" s="20"/>
      <c r="AD38" s="20"/>
      <c r="AE38" s="20"/>
      <c r="AF38" s="20"/>
      <c r="AG38" s="20"/>
      <c r="AH38" s="20"/>
      <c r="AI38" s="20"/>
      <c r="AJ38" s="20"/>
      <c r="AK38" s="20"/>
    </row>
    <row r="39" spans="2:37" ht="20.25" customHeight="1" x14ac:dyDescent="0.2">
      <c r="B39" s="420"/>
      <c r="C39" s="164" t="str">
        <f>IF(OR(ISBLANK(B38),ISBLANK(C36)),BlankCell,C37)</f>
        <v xml:space="preserve"> </v>
      </c>
      <c r="D39" s="428" t="str">
        <f>IF(OR(IsNavLogFilled=FALSE,CruiseFuelGPH=0,UsableFuelGallons&lt;=0),"",IF(RemainingFuel2&lt;CruiseFuelGPH*0.5,"Insufficient fuel reserves for VFR day or night",IF(RemainingFuel2&lt;CruiseFuelGPH*0.75,"Insufficient fuel reserves for VFR night","")))</f>
        <v/>
      </c>
      <c r="E39" s="428"/>
      <c r="F39" s="428"/>
      <c r="G39" s="428"/>
      <c r="H39" s="428"/>
      <c r="I39" s="428"/>
      <c r="J39" s="429"/>
      <c r="K39" s="428"/>
      <c r="L39" s="428"/>
      <c r="M39" s="118"/>
      <c r="N39" s="110" t="s">
        <v>102</v>
      </c>
      <c r="O39" s="268">
        <f>TotalDistance</f>
        <v>0</v>
      </c>
      <c r="P39" s="118"/>
      <c r="Q39" s="119"/>
      <c r="R39" s="166">
        <f>SUM('Navigation Log'!R39,R19,R21,R23,R25,R27,R29,R31,R33,R35,R37)</f>
        <v>0</v>
      </c>
      <c r="S39" s="167" t="s">
        <v>304</v>
      </c>
      <c r="T39" s="168">
        <f>SUM(T19,T21,T23,T25,T27,T29,T31,T33,T35,T37)</f>
        <v>0</v>
      </c>
      <c r="U39" s="109"/>
      <c r="V39" s="393" t="s">
        <v>208</v>
      </c>
      <c r="W39" s="393"/>
      <c r="X39" s="181" t="str">
        <f>IF(ISBLANK('Navigation Log'!X39),"",'Navigation Log'!X39)</f>
        <v/>
      </c>
      <c r="Y39" s="181" t="str">
        <f>IF(ISBLANK('Navigation Log'!Y39),"",'Navigation Log'!Y39)</f>
        <v/>
      </c>
      <c r="Z39" s="181" t="str">
        <f>IF(ISBLANK('Navigation Log'!Z39),"",'Navigation Log'!Z39)</f>
        <v/>
      </c>
      <c r="AA39" s="17"/>
      <c r="AB39" s="20"/>
      <c r="AC39" s="20"/>
      <c r="AD39" s="20"/>
      <c r="AE39" s="20"/>
      <c r="AF39" s="20"/>
      <c r="AG39" s="20"/>
      <c r="AH39" s="20"/>
      <c r="AI39" s="20"/>
      <c r="AJ39" s="20"/>
      <c r="AK39" s="20"/>
    </row>
    <row r="40" spans="2:37" ht="20.25" customHeight="1" thickBot="1" x14ac:dyDescent="0.25">
      <c r="B40" s="113" t="s">
        <v>22</v>
      </c>
      <c r="C40" s="114"/>
      <c r="D40" s="114"/>
      <c r="E40" s="114"/>
      <c r="F40" s="114"/>
      <c r="G40" s="114"/>
      <c r="H40" s="114"/>
      <c r="I40" s="114"/>
      <c r="J40" s="114"/>
      <c r="K40" s="114"/>
      <c r="L40" s="114"/>
      <c r="M40" s="114"/>
      <c r="N40" s="115"/>
      <c r="O40" s="427" t="s">
        <v>134</v>
      </c>
      <c r="P40" s="427"/>
      <c r="Q40" s="427"/>
      <c r="R40" s="427"/>
      <c r="S40" s="427"/>
      <c r="T40" s="111">
        <f>MIN(T20,T22,T24,T26,T28,T30,T32,T34,T36,T38)</f>
        <v>0</v>
      </c>
      <c r="U40" s="112"/>
      <c r="V40" s="392" t="s">
        <v>209</v>
      </c>
      <c r="W40" s="392"/>
      <c r="X40" s="182" t="str">
        <f>IF(ISBLANK('Navigation Log'!X40),"",'Navigation Log'!X40)</f>
        <v/>
      </c>
      <c r="Y40" s="182" t="str">
        <f>IF(ISBLANK('Navigation Log'!Y40),"",'Navigation Log'!Y40)</f>
        <v/>
      </c>
      <c r="Z40" s="182" t="str">
        <f>IF(ISBLANK('Navigation Log'!Z40),"",'Navigation Log'!Z40)</f>
        <v/>
      </c>
      <c r="AA40" s="17"/>
    </row>
    <row r="41" spans="2:37" ht="14" x14ac:dyDescent="0.2">
      <c r="B41" s="5" t="str">
        <f ca="1">'Check Lists'!A50</f>
        <v>©2025 Nick Elsey.  Version 3.53.  Printed: March 07, 2025</v>
      </c>
    </row>
    <row r="42" spans="2:37" ht="7.5" customHeight="1" x14ac:dyDescent="0.2"/>
  </sheetData>
  <sheetProtection algorithmName="SHA-512" hashValue="KWmIh0vQEgddK8v06fXvgqNYEcM5jNRZVbYZoWXrsYnid6l+O+9Yq37NrDPD/ZMpY0s8JiZoF9XEhyogxaCPZw==" saltValue="azOUNEfh56LlDO4r2WT7tg==" spinCount="100000" sheet="1" objects="1" scenarios="1"/>
  <mergeCells count="130">
    <mergeCell ref="D39:L39"/>
    <mergeCell ref="V39:W39"/>
    <mergeCell ref="O40:S40"/>
    <mergeCell ref="V40:W40"/>
    <mergeCell ref="B36:B37"/>
    <mergeCell ref="G36:H36"/>
    <mergeCell ref="V36:Z36"/>
    <mergeCell ref="E37:E38"/>
    <mergeCell ref="F37:F38"/>
    <mergeCell ref="I37:I38"/>
    <mergeCell ref="V37:W37"/>
    <mergeCell ref="B38:B39"/>
    <mergeCell ref="G38:H38"/>
    <mergeCell ref="V38:W38"/>
    <mergeCell ref="F29:F30"/>
    <mergeCell ref="I29:I30"/>
    <mergeCell ref="B30:B31"/>
    <mergeCell ref="G30:H30"/>
    <mergeCell ref="W32:W33"/>
    <mergeCell ref="E33:E34"/>
    <mergeCell ref="F33:F34"/>
    <mergeCell ref="I33:I34"/>
    <mergeCell ref="B34:B35"/>
    <mergeCell ref="G34:H34"/>
    <mergeCell ref="V34:V35"/>
    <mergeCell ref="E35:E36"/>
    <mergeCell ref="F35:F36"/>
    <mergeCell ref="I35:I36"/>
    <mergeCell ref="V30:V33"/>
    <mergeCell ref="E31:E32"/>
    <mergeCell ref="F31:F32"/>
    <mergeCell ref="I31:I32"/>
    <mergeCell ref="B32:B33"/>
    <mergeCell ref="G32:H32"/>
    <mergeCell ref="B20:B21"/>
    <mergeCell ref="G20:H20"/>
    <mergeCell ref="V20:W20"/>
    <mergeCell ref="E21:E22"/>
    <mergeCell ref="F21:F22"/>
    <mergeCell ref="I21:I22"/>
    <mergeCell ref="V21:W21"/>
    <mergeCell ref="B22:B23"/>
    <mergeCell ref="B24:B25"/>
    <mergeCell ref="G24:H24"/>
    <mergeCell ref="W24:W25"/>
    <mergeCell ref="E25:E26"/>
    <mergeCell ref="F25:F26"/>
    <mergeCell ref="I25:I26"/>
    <mergeCell ref="B26:B27"/>
    <mergeCell ref="G26:H26"/>
    <mergeCell ref="V26:V29"/>
    <mergeCell ref="E27:E28"/>
    <mergeCell ref="F27:F28"/>
    <mergeCell ref="I27:I28"/>
    <mergeCell ref="B28:B29"/>
    <mergeCell ref="G28:H28"/>
    <mergeCell ref="W28:W29"/>
    <mergeCell ref="E29:E30"/>
    <mergeCell ref="M17:M18"/>
    <mergeCell ref="N17:N18"/>
    <mergeCell ref="P17:P18"/>
    <mergeCell ref="V17:Z17"/>
    <mergeCell ref="E23:E24"/>
    <mergeCell ref="F23:F24"/>
    <mergeCell ref="I23:I24"/>
    <mergeCell ref="V23:V25"/>
    <mergeCell ref="I19:I20"/>
    <mergeCell ref="V19:W19"/>
    <mergeCell ref="B18:B19"/>
    <mergeCell ref="G18:H18"/>
    <mergeCell ref="V18:W18"/>
    <mergeCell ref="E19:E20"/>
    <mergeCell ref="F19:F20"/>
    <mergeCell ref="B15:B17"/>
    <mergeCell ref="D15:E18"/>
    <mergeCell ref="F15:F18"/>
    <mergeCell ref="G22:H22"/>
    <mergeCell ref="V22:W22"/>
    <mergeCell ref="L15:L16"/>
    <mergeCell ref="M15:M16"/>
    <mergeCell ref="N15:N16"/>
    <mergeCell ref="R15:S15"/>
    <mergeCell ref="V15:W15"/>
    <mergeCell ref="G16:G17"/>
    <mergeCell ref="H16:H17"/>
    <mergeCell ref="R16:S16"/>
    <mergeCell ref="V16:W16"/>
    <mergeCell ref="K17:K18"/>
    <mergeCell ref="G15:H15"/>
    <mergeCell ref="I15:I16"/>
    <mergeCell ref="K15:K16"/>
    <mergeCell ref="L17:L18"/>
    <mergeCell ref="AA13:AA14"/>
    <mergeCell ref="B11:T12"/>
    <mergeCell ref="V11:W12"/>
    <mergeCell ref="X11:X12"/>
    <mergeCell ref="Y11:Y12"/>
    <mergeCell ref="Z11:Z12"/>
    <mergeCell ref="AA11:AA12"/>
    <mergeCell ref="B9:T10"/>
    <mergeCell ref="V9:W10"/>
    <mergeCell ref="X9:X10"/>
    <mergeCell ref="Y9:Y10"/>
    <mergeCell ref="Z9:Z10"/>
    <mergeCell ref="AA9:AA10"/>
    <mergeCell ref="B13:T14"/>
    <mergeCell ref="V13:W14"/>
    <mergeCell ref="X13:X14"/>
    <mergeCell ref="Y13:Y14"/>
    <mergeCell ref="Z13:Z14"/>
    <mergeCell ref="AA4:AA5"/>
    <mergeCell ref="B5:T5"/>
    <mergeCell ref="B6:T6"/>
    <mergeCell ref="V6:W7"/>
    <mergeCell ref="X6:X7"/>
    <mergeCell ref="Y6:Y7"/>
    <mergeCell ref="Z6:Z7"/>
    <mergeCell ref="AA6:AA7"/>
    <mergeCell ref="B7:T8"/>
    <mergeCell ref="V8:Z8"/>
    <mergeCell ref="B2:U2"/>
    <mergeCell ref="V2:Z2"/>
    <mergeCell ref="B3:B4"/>
    <mergeCell ref="C3:E4"/>
    <mergeCell ref="F3:H4"/>
    <mergeCell ref="I3:T4"/>
    <mergeCell ref="V4:W5"/>
    <mergeCell ref="X4:X5"/>
    <mergeCell ref="Y4:Y5"/>
    <mergeCell ref="Z4:Z5"/>
  </mergeCells>
  <conditionalFormatting sqref="T39 R39 B18:B19 O39 O18">
    <cfRule type="cellIs" dxfId="15" priority="1" stopIfTrue="1" operator="equal">
      <formula>0</formula>
    </cfRule>
  </conditionalFormatting>
  <conditionalFormatting sqref="W35 X39:Z40">
    <cfRule type="expression" dxfId="14" priority="2" stopIfTrue="1">
      <formula>ISBLANK($Y$28)=TRUE</formula>
    </cfRule>
  </conditionalFormatting>
  <conditionalFormatting sqref="X6:X7 X18:X35 X37:X38">
    <cfRule type="expression" dxfId="13" priority="3" stopIfTrue="1">
      <formula>ISBLANK(DepartureAirportID)=TRUE</formula>
    </cfRule>
    <cfRule type="cellIs" dxfId="12" priority="4" stopIfTrue="1" operator="equal">
      <formula>0</formula>
    </cfRule>
  </conditionalFormatting>
  <conditionalFormatting sqref="Y6:Y7">
    <cfRule type="expression" dxfId="11" priority="5" stopIfTrue="1">
      <formula>ISBLANK(EnrouteAirportID)=TRUE</formula>
    </cfRule>
    <cfRule type="cellIs" dxfId="10" priority="6" stopIfTrue="1" operator="equal">
      <formula>0</formula>
    </cfRule>
  </conditionalFormatting>
  <conditionalFormatting sqref="Z6:Z7">
    <cfRule type="expression" dxfId="9" priority="7" stopIfTrue="1">
      <formula>ISBLANK(DestinationAirportID)=TRUE</formula>
    </cfRule>
    <cfRule type="cellIs" dxfId="8" priority="8" stopIfTrue="1" operator="equal">
      <formula>0</formula>
    </cfRule>
  </conditionalFormatting>
  <conditionalFormatting sqref="Y18:Y35 Y37:Y38">
    <cfRule type="expression" dxfId="7" priority="9" stopIfTrue="1">
      <formula>ISBLANK(EnrouteAirportID)=TRUE</formula>
    </cfRule>
    <cfRule type="cellIs" dxfId="6" priority="10" stopIfTrue="1" operator="equal">
      <formula>0</formula>
    </cfRule>
  </conditionalFormatting>
  <conditionalFormatting sqref="Z18:Z35 Z37:Z38">
    <cfRule type="expression" dxfId="5" priority="11" stopIfTrue="1">
      <formula>ISBLANK(DestinationAirportID)=TRUE</formula>
    </cfRule>
    <cfRule type="cellIs" dxfId="4" priority="12" stopIfTrue="1" operator="equal">
      <formula>0</formula>
    </cfRule>
  </conditionalFormatting>
  <conditionalFormatting sqref="AB1:AK1048576">
    <cfRule type="expression" dxfId="3" priority="13" stopIfTrue="1">
      <formula>IsTemplateInstalled="Yes"</formula>
    </cfRule>
  </conditionalFormatting>
  <conditionalFormatting sqref="K19 K21 K23 K25 K27 K29 K31 K33 K35 K37">
    <cfRule type="expression" dxfId="2" priority="14" stopIfTrue="1">
      <formula>AG19&gt;=0</formula>
    </cfRule>
  </conditionalFormatting>
  <dataValidations count="60">
    <dataValidation allowBlank="1" showInputMessage="1" showErrorMessage="1" promptTitle="Headwind and Crosswind" prompt="For information only, the calculated headwind and cross wind components." sqref="N20 N22 N24 N26 N28 N30 N32 N34 N36 N38" xr:uid="{00000000-0002-0000-0500-000000000000}"/>
    <dataValidation type="whole" allowBlank="1" showInputMessage="1" showErrorMessage="1" errorTitle="Magnetic Variance" error="Enter a value variance in the range -30 to +30." promptTitle="Magnetic Variance" prompt="Enter a the magnetic variance for the isogonic line nearest this leg of the route. " sqref="L20 L22 L24 L26 L28 L30 L32 L34 L36 L38" xr:uid="{00000000-0002-0000-0500-000001000000}">
      <formula1>-30</formula1>
      <formula2>30</formula2>
    </dataValidation>
    <dataValidation allowBlank="1" showInputMessage="1" showErrorMessage="1" promptTitle="Landing performance" prompt="Calculate (based on density altitude, forcast winds, etc.) the landing 50' obstacle clearance and ground roll distances for this airport." sqref="X40:Z40" xr:uid="{00000000-0002-0000-0500-000002000000}"/>
    <dataValidation allowBlank="1" showInputMessage="1" showErrorMessage="1" promptTitle="Takeoff performance" prompt="Calculate (based on density altitude, forcast winds, etc.) the takeoff ground roll and 50' obstacle clearance distances for this airport." sqref="X39:Z39" xr:uid="{00000000-0002-0000-0500-000003000000}"/>
    <dataValidation allowBlank="1" showInputMessage="1" showErrorMessage="1" promptTitle="Field / Pattern Altitude" prompt="Enter the airport field and pattern altitudes, if no valid airport identifier has been selected for this column." sqref="X37:Z37" xr:uid="{00000000-0002-0000-0500-000004000000}"/>
    <dataValidation allowBlank="1" showInputMessage="1" showErrorMessage="1" promptTitle="FSS Frequency" prompt="Enter the frequency for the FSS facility, if no valid airport identifier has been selected for this column." sqref="X35:Z35" xr:uid="{00000000-0002-0000-0500-000005000000}"/>
    <dataValidation allowBlank="1" showInputMessage="1" showErrorMessage="1" promptTitle="FSS Name" prompt="Enter the name of the FSS facility, if no valid airport identifier has been selected for this column." sqref="X34:Z34" xr:uid="{00000000-0002-0000-0500-000006000000}"/>
    <dataValidation allowBlank="1" showInputMessage="1" showErrorMessage="1" promptTitle="Other App/Dep freq and applic." prompt="Enter the App/Dep frequencies and their applicabilities (headings, runways, etc.) for outside normal operating hours, if no valid airport identifier has been selected for this column." sqref="X32:Z33" xr:uid="{00000000-0002-0000-0500-000007000000}"/>
    <dataValidation allowBlank="1" showInputMessage="1" showErrorMessage="1" promptTitle="Normal App/Dep freq and applic." prompt="Enter the App/Dep frequencies and their applicabilities (headings, runways, etc.) for normal operating hours, if no valid airport identifier has been selected for this column." sqref="X28:Z29" xr:uid="{00000000-0002-0000-0500-000008000000}"/>
    <dataValidation allowBlank="1" showInputMessage="1" showErrorMessage="1" promptTitle="App/Dep Times (other hours)" prompt="Enter the operating hours (zulu) of the ATC App/Dep facility above, if no valid airport identifier has been selected for this column." sqref="X31:Z31" xr:uid="{00000000-0002-0000-0500-000009000000}"/>
    <dataValidation allowBlank="1" showInputMessage="1" showErrorMessage="1" promptTitle="App/Dep Times (normal hours)" prompt="Enter the operating hours (zulu) of the ATC App/Dep facility above, if no valid airport identifier has been selected for this column." sqref="X27:Z27" xr:uid="{00000000-0002-0000-0500-00000A000000}"/>
    <dataValidation allowBlank="1" showInputMessage="1" showErrorMessage="1" promptTitle="App/Dep ATC Name (other hours)" prompt="Enter the name of the ATC App/Dep facility outside normal operating hours, if no valid airport identifier has been selected for this column." sqref="X30:Z30" xr:uid="{00000000-0002-0000-0500-00000B000000}"/>
    <dataValidation allowBlank="1" showInputMessage="1" showErrorMessage="1" promptTitle="App/Dep ATC Name (normal hours)" prompt="Enter the name of the ATC App/Dep facility during normal operating hours, if no valid airport identifier has been selected for this column." sqref="X26:Z26" xr:uid="{00000000-0002-0000-0500-00000C000000}"/>
    <dataValidation allowBlank="1" showInputMessage="1" showErrorMessage="1" promptTitle="Tower frequencies and applic." prompt="Enter the tower frequencies and their applicabilities (headings, runways, etc.) if no valid airport identifier has been selected for this column." sqref="X24:Z25" xr:uid="{00000000-0002-0000-0500-00000D000000}"/>
    <dataValidation allowBlank="1" showInputMessage="1" showErrorMessage="1" promptTitle="Tower operating times" prompt="Enter the hours (zulu) that the control tower is in operation, if no valid airport identifier has been selected for this column." sqref="X23:Z23" xr:uid="{00000000-0002-0000-0500-00000E000000}"/>
    <dataValidation allowBlank="1" showInputMessage="1" showErrorMessage="1" promptTitle="Ground" prompt="Enter a ground frequency if no valid airport identifier has been selected for this column." sqref="X22:Z22" xr:uid="{00000000-0002-0000-0500-00000F000000}"/>
    <dataValidation allowBlank="1" showInputMessage="1" showErrorMessage="1" promptTitle="Clearance delivery" prompt="Enter a clearance delivery frequency if no valid airport identifier has been selected for this column." sqref="X21:Z21" xr:uid="{00000000-0002-0000-0500-000010000000}"/>
    <dataValidation allowBlank="1" showInputMessage="1" showErrorMessage="1" promptTitle="CTAF" prompt="Enter a CTAF frequency if no valid airport identifier has been selected for this column." sqref="X20:Z20" xr:uid="{00000000-0002-0000-0500-000011000000}"/>
    <dataValidation allowBlank="1" showInputMessage="1" showErrorMessage="1" promptTitle="UNICOM" prompt="Enter a UNICOM if no valid airport identifier has been selected for this column." sqref="X19:Z19" xr:uid="{00000000-0002-0000-0500-000012000000}"/>
    <dataValidation allowBlank="1" showInputMessage="1" showErrorMessage="1" promptTitle="ATIS / ASOS" prompt="Enter a ATIS or ASOS frequency if no valid airport identifier has been selected for this column." sqref="X18:Z18" xr:uid="{00000000-0002-0000-0500-000013000000}"/>
    <dataValidation allowBlank="1" showInputMessage="1" showErrorMessage="1" promptTitle="Runways" prompt="Enter the runways for this airport (and indicate right traffic if appropriate), if no valid airport identifier has been selected for this column." sqref="X38:Z38" xr:uid="{00000000-0002-0000-0500-000014000000}"/>
    <dataValidation allowBlank="1" showInputMessage="1" showErrorMessage="1" promptTitle="Notes" prompt="This is the suggested verbiage to use when requesting flight following after take off from a non-tower airport." sqref="B6:T6" xr:uid="{00000000-0002-0000-0500-000015000000}"/>
    <dataValidation allowBlank="1" showInputMessage="1" showErrorMessage="1" promptTitle="Notes" prompt="This is the suggested verbiage to use when opening your flight plan after take off." sqref="B5:T5" xr:uid="{00000000-0002-0000-0500-000016000000}"/>
    <dataValidation allowBlank="1" showInputMessage="1" showErrorMessage="1" promptTitle="ATIS / ASOS Information" prompt="You would normally fill in this field during the flight." sqref="X9:Z16" xr:uid="{00000000-0002-0000-0500-000017000000}"/>
    <dataValidation type="list" allowBlank="1" showInputMessage="1" showErrorMessage="1" sqref="X4:Z5" xr:uid="{00000000-0002-0000-0500-000018000000}">
      <formula1>AirportIdentifiers</formula1>
    </dataValidation>
    <dataValidation allowBlank="1" showInputMessage="1" showErrorMessage="1" errorTitle="VOR Frequency" error="Frequency must be a valid number in the range 108.000 to 117.950" promptTitle="VOR Frequency" prompt="Optional VOR / NavAid frequency to use for this check point." sqref="C21 C25 C29 C33 C37" xr:uid="{00000000-0002-0000-0500-000019000000}"/>
    <dataValidation type="whole" allowBlank="1" showInputMessage="1" showErrorMessage="1" errorTitle="Magnetic Deviation" error="Enter a valid devation value (whole number in the range -10 to 10)." promptTitle="Magnetic Deviation" prompt="Enter the magnetic deviation of your aircraft's compass for this segment of the compass rose." sqref="M20 M22 M24 M26 M28 M30 M32 M34 M36 M38" xr:uid="{00000000-0002-0000-0500-00001A000000}">
      <formula1>-20</formula1>
      <formula2>20</formula2>
    </dataValidation>
    <dataValidation allowBlank="1" showInputMessage="1" showErrorMessage="1" promptTitle="Calculation Cell" prompt="This cell is used to perform intermediate calculations and should not be modified." sqref="T40" xr:uid="{00000000-0002-0000-0500-00001B000000}"/>
    <dataValidation type="decimal" allowBlank="1" showInputMessage="1" showErrorMessage="1" errorTitle="Leg Fuel Consumption" error="Please enter a valid decimal number." promptTitle="Leg Fuel Consumption" prompt="This will be normally be calculated from the GPH value above, and the ETE time for this leg, but you may over-ride it for a climb leg." sqref="T19 T21 T23 T25 T27 T29 T31 T37 T33 T35" xr:uid="{00000000-0002-0000-0500-00001C000000}">
      <formula1>0</formula1>
      <formula2>1000</formula2>
    </dataValidation>
    <dataValidation type="decimal" allowBlank="1" showInputMessage="1" showErrorMessage="1" promptTitle="Calculated Est. Time Enroute" prompt="This is the calculated crusie time between check points and is normally calculated for you, but you may over-ride it for climbing legs." sqref="R19 R33 R21 R23 R25 R27 R29 R35 R31 R37" xr:uid="{00000000-0002-0000-0500-00001D000000}">
      <formula1>0</formula1>
      <formula2>1000</formula2>
    </dataValidation>
    <dataValidation type="whole" allowBlank="1" showInputMessage="1" showErrorMessage="1" errorTitle="True Course" error="Enter a valid direction (0 to 359)." promptTitle="True Course" prompt="Enter the true course for this leg of the route. If you entered a valid VOR radial in the 'Course' cell, this will be calcualted for you (but you must enter a valid variance for this leg)." sqref="K19 K33 K21 K23 K25 K27 K29 K35 K31 K37" xr:uid="{00000000-0002-0000-0500-00001E000000}">
      <formula1>0</formula1>
      <formula2>359</formula2>
    </dataValidation>
    <dataValidation type="whole" allowBlank="1" showInputMessage="1" showErrorMessage="1" errorTitle="Wind Velocity" error="Please enter a valid numeric wind velocity." promptTitle="Wind Velocity" prompt="Enter the wind velocity in knots for this leg. If climbing or descending on this leg, average the values for top &amp; bottom." sqref="H35 H21 H23 H25 H27 H29 H31 H37 H33 H19" xr:uid="{00000000-0002-0000-0500-00001F000000}">
      <formula1>0</formula1>
      <formula2>200</formula2>
    </dataValidation>
    <dataValidation type="whole" allowBlank="1" showInputMessage="1" showErrorMessage="1" errorTitle="Wind Direection" error="Value must be a valid compass direction (0 to 359)." promptTitle="Wind Direction" prompt="Enter the true wind heading. Be sure to correct ATIS/ASOS wind reports from magnetic to true heading (un-correct for variance). If climbing or descending, average values for top &amp; bottom." sqref="G35 G21 G23 G25 G27 G29 G31 G37 G33 G19" xr:uid="{00000000-0002-0000-0500-000020000000}">
      <formula1>0</formula1>
      <formula2>359</formula2>
    </dataValidation>
    <dataValidation type="decimal" allowBlank="1" showInputMessage="1" showErrorMessage="1" errorTitle="Leg Distance" error="Enter a valid distance in miles." promptTitle="Leg Distance" prompt="The distance (in nm) between the two check points. You must enter this value." sqref="O21 O19 O23 O25 O27 O29 O31 O37 O33 O35" xr:uid="{00000000-0002-0000-0500-000021000000}">
      <formula1>0</formula1>
      <formula2>1000</formula2>
    </dataValidation>
    <dataValidation type="whole" allowBlank="1" showInputMessage="1" showErrorMessage="1" errorTitle="Airspeed" error="Enter a valid airpseed (0 to 1000) in knots." promptTitle="Airspeed" prompt="Enter a valid cruise, climb or descent airspeed, as taken from the performance section of your POH." sqref="I19:I38" xr:uid="{00000000-0002-0000-0500-000022000000}">
      <formula1>0</formula1>
      <formula2>1000</formula2>
    </dataValidation>
    <dataValidation allowBlank="1" showInputMessage="1" showErrorMessage="1" errorTitle="Temperature" error="Enter a valid temperature between -50 and +50." promptTitle="Temperature" prompt="Enter the temperature in degress C. If climbing or descending, average values between top &amp; bottom." sqref="G22:H22 G36:H36 G24:H24 G26:H26 G28:H28 G30:H30 G38:H38 G32:H32 G34:H34 G20" xr:uid="{00000000-0002-0000-0500-000023000000}"/>
    <dataValidation allowBlank="1" showInputMessage="1" showErrorMessage="1" promptTitle="Calculation Cell" prompt="Please ignore these cells." sqref="AF18:AK39 AB17:AE39" xr:uid="{00000000-0002-0000-0500-000024000000}"/>
    <dataValidation allowBlank="1" showInputMessage="1" showErrorMessage="1" promptTitle="Calculated Total Fuel Used" prompt="The total fuel used for the trip, including taxi, runup, takeoff and climb." sqref="T39" xr:uid="{00000000-0002-0000-0500-000025000000}"/>
    <dataValidation allowBlank="1" showInputMessage="1" showErrorMessage="1" promptTitle="Calculated Fuel Remaining" prompt="The calculated usable fuel after this leg of the route." sqref="T38 T22 T20 T24 T26 T28 T30 T32 T34 T36" xr:uid="{00000000-0002-0000-0500-000026000000}"/>
    <dataValidation allowBlank="1" showInputMessage="1" showErrorMessage="1" errorTitle="Gallons Per Hour" error="Enter a valid decimal number (0.1 to 1000)." promptTitle="Gallons Per Hour" prompt="Enter a GPH value for your cruise performance." sqref="T16" xr:uid="{00000000-0002-0000-0500-000027000000}"/>
    <dataValidation allowBlank="1" showInputMessage="1" showErrorMessage="1" errorTitle="Time Off" error="Please enter a valid zulu time in the format &quot;hh:mm&quot;." promptTitle="Time Off" prompt="The time you took off. Normally you would write this in, but if you enter a value the ETA's below will be calculated." sqref="R16:S16" xr:uid="{00000000-0002-0000-0500-000028000000}"/>
    <dataValidation allowBlank="1" showInputMessage="1" showErrorMessage="1" promptTitle="Actual Time of Arrival" prompt="The actual time you reached the end of this leg. Normally you would write this in en-route." sqref="S38 S22 S20 S24 S26 S28 S30 S32 S34 S36" xr:uid="{00000000-0002-0000-0500-000029000000}"/>
    <dataValidation allowBlank="1" showInputMessage="1" showErrorMessage="1" promptTitle="Estimated Time of Arrival" prompt="The estimated time to reach the end of this leg. Normally you would write this in en-route, but it will be calculated if you fill in the 'Time Off' field above." sqref="S31 S21 S19 S23 S25 S27 S29 S37 S33 S35" xr:uid="{00000000-0002-0000-0500-00002A000000}"/>
    <dataValidation allowBlank="1" showInputMessage="1" showErrorMessage="1" promptTitle="Calculated Total Time En-route" prompt="The total time for the trip." sqref="R39" xr:uid="{00000000-0002-0000-0500-00002B000000}"/>
    <dataValidation allowBlank="1" showInputMessage="1" showErrorMessage="1" promptTitle="Actual Time En-route" prompt="You would normally enter this value en-route" sqref="R38 R22 R20 R24 R26 R28 R30 R32 R34 R36" xr:uid="{00000000-0002-0000-0500-00002C000000}"/>
    <dataValidation allowBlank="1" showInputMessage="1" showErrorMessage="1" promptTitle="Actual Ground Speed" prompt="You would normally write this value in en-route." sqref="P38 P22 P20 P24 P26 P28 P30 P32 P34 P36" xr:uid="{00000000-0002-0000-0500-00002D000000}"/>
    <dataValidation allowBlank="1" showInputMessage="1" showErrorMessage="1" promptTitle="Calculated Est. Ground Speed" prompt="This is calculated from the supplied TAS value and the wind correct factor." sqref="P31 P21 P19 P23 P25 P27 P29 P37 P33 P35" xr:uid="{00000000-0002-0000-0500-00002E000000}"/>
    <dataValidation allowBlank="1" showInputMessage="1" showErrorMessage="1" promptTitle="Calculated remaning distance" prompt="The distance after the end of this leg to the end of the route." sqref="O38 O22 O20 O24 O26 O28 O30 O32 O34 O36" xr:uid="{00000000-0002-0000-0500-00002F000000}"/>
    <dataValidation allowBlank="1" showInputMessage="1" showErrorMessage="1" promptTitle="Calculated Total Distance" prompt="This is the total distance (in miles) for this trip." sqref="O39 O18" xr:uid="{00000000-0002-0000-0500-000030000000}"/>
    <dataValidation allowBlank="1" showInputMessage="1" showErrorMessage="1" promptTitle="Calculated Compass Heading" prompt="This is the magnetic heading, corrected for compass the deviation you supplied." sqref="N19 N21 N23 N25 N27 N29 N31 N33 N35 N37" xr:uid="{00000000-0002-0000-0500-000031000000}"/>
    <dataValidation allowBlank="1" showInputMessage="1" showErrorMessage="1" promptTitle="Calculated Magnetic Heading" prompt="This is the true heading, corrected for the magnetic variance you supplied." sqref="M31 M21 M19 M23 M25 M27 M29 M37 M33 M35" xr:uid="{00000000-0002-0000-0500-000032000000}"/>
    <dataValidation allowBlank="1" showInputMessage="1" showErrorMessage="1" promptTitle="Calculated True Heading" prompt="This value is calculated from the true course, corrected by the WCA." sqref="L31 L21 L19 L23 L25 L27 L29 L37 L33 L35" xr:uid="{00000000-0002-0000-0500-000033000000}"/>
    <dataValidation allowBlank="1" showInputMessage="1" showErrorMessage="1" promptTitle="Calculated Wind Correction Angle" prompt="The WCA (in degrees) will be automatically calculated from the supplied KTAS and wind direction &amp; speed for this leg." sqref="K36 K34 K20 K22 K24 K26 K28 K30 K32 K38" xr:uid="{00000000-0002-0000-0500-000034000000}"/>
    <dataValidation allowBlank="1" showInputMessage="1" showErrorMessage="1" promptTitle="Altitude" prompt="The altitude to fly for this leg of the route. Above 3000 AGL, use odd 1000's+500' for 0 to 179 deg magnetic, even 1000's+500' otherwise. " sqref="F19:F38" xr:uid="{00000000-0002-0000-0500-000035000000}"/>
    <dataValidation allowBlank="1" showInputMessage="1" showErrorMessage="1" promptTitle="Course" prompt="Use &quot;D-&gt;&quot; for direct, or &quot;Onnn&quot; for an outbound VOR radial (where nnn is the heading), or  &quot;Innn&quot; for an inbound VOR radial." sqref="E19:E38" xr:uid="{00000000-0002-0000-0500-000036000000}"/>
    <dataValidation type="decimal" allowBlank="1" showInputMessage="1" showErrorMessage="1" errorTitle="VOR Frequency" error="Frequency must be a valid number in the range 108.000 to 117.950" promptTitle="VOR Frequency" prompt="Optional VOR / NavAid frequency to use for this check point." sqref="C19 C27 C23 C31 C35 C39" xr:uid="{00000000-0002-0000-0500-000037000000}">
      <formula1>108</formula1>
      <formula2>117.95</formula2>
    </dataValidation>
    <dataValidation allowBlank="1" showInputMessage="1" showErrorMessage="1" promptTitle="VOR Ident" prompt="Optional VOR / NavAid identifier to use for this check point." sqref="C18 C38 C34 C22 C32 C36 C24 C26 C28 C30 C20" xr:uid="{00000000-0002-0000-0500-000038000000}"/>
    <dataValidation allowBlank="1" showInputMessage="1" showErrorMessage="1" promptTitle="Notes" prompt="Use these fields for general notes, details on contact procedures at intermediate airports &amp; controlled airspace, FSS frequencies, etc." sqref="AA11:AA13 U5:U14 B7:T14" xr:uid="{00000000-0002-0000-0500-000039000000}"/>
    <dataValidation allowBlank="1" showInputMessage="1" showErrorMessage="1" promptTitle="Referenced Aircraft Number" prompt="Enter the Aircraft Number on the 'Check Lists' sheet." sqref="C3" xr:uid="{00000000-0002-0000-0500-00003A000000}"/>
    <dataValidation allowBlank="1" showInputMessage="1" showErrorMessage="1" promptTitle="Check Point" prompt="Enter a descption of the check point (way point)" sqref="B18:B39" xr:uid="{00000000-0002-0000-0500-00003B000000}"/>
  </dataValidations>
  <pageMargins left="0.19685039370078741" right="0.19685039370078741" top="0.31496062992125984" bottom="0.31496062992125984" header="0.19685039370078741" footer="0.19685039370078741"/>
  <pageSetup paperSize="9" scale="77" orientation="landscape" r:id="rId1"/>
  <headerFooter alignWithMargins="0"/>
  <ignoredErrors>
    <ignoredError sqref="V6:Z8 V17:Z38 V9:W9 V10:X10 V11:W12 V13:W14 V15:W16" evalError="1"/>
  </ignoredErrors>
  <drawing r:id="rId2"/>
  <extLst>
    <ext xmlns:mx="http://schemas.microsoft.com/office/mac/excel/2008/main" uri="{64002731-A6B0-56B0-2670-7721B7C09600}">
      <mx:PLV Mode="0" OnePage="0" WScale="0"/>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pageSetUpPr fitToPage="1"/>
  </sheetPr>
  <dimension ref="A1:F27"/>
  <sheetViews>
    <sheetView showGridLines="0" showRowColHeaders="0" zoomScaleNormal="100" zoomScalePageLayoutView="83" workbookViewId="0">
      <selection sqref="A1:E1"/>
    </sheetView>
  </sheetViews>
  <sheetFormatPr baseColWidth="10" defaultColWidth="0" defaultRowHeight="14" zeroHeight="1" x14ac:dyDescent="0.2"/>
  <cols>
    <col min="1" max="1" width="5.3984375" customWidth="1"/>
    <col min="2" max="2" width="97.796875" customWidth="1"/>
    <col min="3" max="3" width="2" customWidth="1"/>
    <col min="4" max="4" width="5.3984375" customWidth="1"/>
    <col min="5" max="5" width="97.796875" customWidth="1"/>
    <col min="6" max="6" width="2" customWidth="1"/>
    <col min="7" max="16384" width="9" hidden="1"/>
  </cols>
  <sheetData>
    <row r="1" spans="1:5" ht="19" x14ac:dyDescent="0.2">
      <c r="A1" s="430" t="str">
        <f>IF(TripDescription="","Notes",CONCATENATE("Notes for ",TripDescription))</f>
        <v>Notes</v>
      </c>
      <c r="B1" s="430"/>
      <c r="C1" s="430"/>
      <c r="D1" s="430"/>
      <c r="E1" s="430"/>
    </row>
    <row r="2" spans="1:5" s="27" customFormat="1" ht="29.25" customHeight="1" x14ac:dyDescent="0.2">
      <c r="A2" s="184">
        <v>1</v>
      </c>
      <c r="B2" s="185"/>
      <c r="D2" s="184">
        <f>A26+1</f>
        <v>26</v>
      </c>
      <c r="E2" s="185"/>
    </row>
    <row r="3" spans="1:5" s="27" customFormat="1" ht="29.25" customHeight="1" x14ac:dyDescent="0.2">
      <c r="A3" s="184">
        <f>A2+1</f>
        <v>2</v>
      </c>
      <c r="B3" s="185"/>
      <c r="D3" s="184">
        <f>D2+1</f>
        <v>27</v>
      </c>
      <c r="E3" s="185"/>
    </row>
    <row r="4" spans="1:5" s="27" customFormat="1" ht="29.25" customHeight="1" x14ac:dyDescent="0.2">
      <c r="A4" s="184">
        <f t="shared" ref="A4:A26" si="0">A3+1</f>
        <v>3</v>
      </c>
      <c r="B4" s="185"/>
      <c r="D4" s="184">
        <f t="shared" ref="D4:D26" si="1">D3+1</f>
        <v>28</v>
      </c>
      <c r="E4" s="185"/>
    </row>
    <row r="5" spans="1:5" s="27" customFormat="1" ht="29.25" customHeight="1" x14ac:dyDescent="0.2">
      <c r="A5" s="184">
        <f t="shared" si="0"/>
        <v>4</v>
      </c>
      <c r="B5" s="185"/>
      <c r="D5" s="184">
        <f t="shared" si="1"/>
        <v>29</v>
      </c>
      <c r="E5" s="185"/>
    </row>
    <row r="6" spans="1:5" s="27" customFormat="1" ht="29.25" customHeight="1" x14ac:dyDescent="0.2">
      <c r="A6" s="184">
        <f t="shared" si="0"/>
        <v>5</v>
      </c>
      <c r="B6" s="185"/>
      <c r="D6" s="184">
        <f t="shared" si="1"/>
        <v>30</v>
      </c>
      <c r="E6" s="185"/>
    </row>
    <row r="7" spans="1:5" s="27" customFormat="1" ht="29.25" customHeight="1" x14ac:dyDescent="0.2">
      <c r="A7" s="184">
        <f t="shared" si="0"/>
        <v>6</v>
      </c>
      <c r="B7" s="185"/>
      <c r="D7" s="184">
        <f t="shared" si="1"/>
        <v>31</v>
      </c>
      <c r="E7" s="185"/>
    </row>
    <row r="8" spans="1:5" s="27" customFormat="1" ht="29.25" customHeight="1" x14ac:dyDescent="0.2">
      <c r="A8" s="184">
        <f t="shared" si="0"/>
        <v>7</v>
      </c>
      <c r="B8" s="185"/>
      <c r="D8" s="184">
        <f t="shared" si="1"/>
        <v>32</v>
      </c>
      <c r="E8" s="185"/>
    </row>
    <row r="9" spans="1:5" s="27" customFormat="1" ht="29.25" customHeight="1" x14ac:dyDescent="0.2">
      <c r="A9" s="184">
        <f t="shared" si="0"/>
        <v>8</v>
      </c>
      <c r="B9" s="185"/>
      <c r="D9" s="184">
        <f t="shared" si="1"/>
        <v>33</v>
      </c>
      <c r="E9" s="185"/>
    </row>
    <row r="10" spans="1:5" s="27" customFormat="1" ht="29.25" customHeight="1" x14ac:dyDescent="0.2">
      <c r="A10" s="184">
        <f t="shared" si="0"/>
        <v>9</v>
      </c>
      <c r="B10" s="185"/>
      <c r="D10" s="184">
        <f t="shared" si="1"/>
        <v>34</v>
      </c>
      <c r="E10" s="185"/>
    </row>
    <row r="11" spans="1:5" s="27" customFormat="1" ht="29.25" customHeight="1" x14ac:dyDescent="0.2">
      <c r="A11" s="184">
        <f t="shared" si="0"/>
        <v>10</v>
      </c>
      <c r="B11" s="185"/>
      <c r="D11" s="184">
        <f t="shared" si="1"/>
        <v>35</v>
      </c>
      <c r="E11" s="185"/>
    </row>
    <row r="12" spans="1:5" s="27" customFormat="1" ht="29.25" customHeight="1" x14ac:dyDescent="0.2">
      <c r="A12" s="184">
        <f t="shared" si="0"/>
        <v>11</v>
      </c>
      <c r="B12" s="185"/>
      <c r="D12" s="184">
        <f t="shared" si="1"/>
        <v>36</v>
      </c>
      <c r="E12" s="185"/>
    </row>
    <row r="13" spans="1:5" s="27" customFormat="1" ht="29.25" customHeight="1" x14ac:dyDescent="0.2">
      <c r="A13" s="184">
        <f t="shared" si="0"/>
        <v>12</v>
      </c>
      <c r="B13" s="185"/>
      <c r="D13" s="184">
        <f t="shared" si="1"/>
        <v>37</v>
      </c>
      <c r="E13" s="185"/>
    </row>
    <row r="14" spans="1:5" s="27" customFormat="1" ht="29.25" customHeight="1" x14ac:dyDescent="0.2">
      <c r="A14" s="184">
        <f t="shared" si="0"/>
        <v>13</v>
      </c>
      <c r="B14" s="185"/>
      <c r="D14" s="184">
        <f t="shared" si="1"/>
        <v>38</v>
      </c>
      <c r="E14" s="185"/>
    </row>
    <row r="15" spans="1:5" s="27" customFormat="1" ht="29.25" customHeight="1" x14ac:dyDescent="0.2">
      <c r="A15" s="184">
        <f t="shared" si="0"/>
        <v>14</v>
      </c>
      <c r="B15" s="185"/>
      <c r="D15" s="184">
        <f t="shared" si="1"/>
        <v>39</v>
      </c>
      <c r="E15" s="185"/>
    </row>
    <row r="16" spans="1:5" s="27" customFormat="1" ht="29.25" customHeight="1" x14ac:dyDescent="0.2">
      <c r="A16" s="184">
        <f t="shared" si="0"/>
        <v>15</v>
      </c>
      <c r="B16" s="185"/>
      <c r="D16" s="184">
        <f t="shared" si="1"/>
        <v>40</v>
      </c>
      <c r="E16" s="185"/>
    </row>
    <row r="17" spans="1:5" s="27" customFormat="1" ht="29.25" customHeight="1" x14ac:dyDescent="0.2">
      <c r="A17" s="184">
        <f t="shared" si="0"/>
        <v>16</v>
      </c>
      <c r="B17" s="185"/>
      <c r="D17" s="184">
        <f t="shared" si="1"/>
        <v>41</v>
      </c>
      <c r="E17" s="185"/>
    </row>
    <row r="18" spans="1:5" s="27" customFormat="1" ht="29.25" customHeight="1" x14ac:dyDescent="0.2">
      <c r="A18" s="184">
        <f t="shared" si="0"/>
        <v>17</v>
      </c>
      <c r="B18" s="185"/>
      <c r="D18" s="184">
        <f t="shared" si="1"/>
        <v>42</v>
      </c>
      <c r="E18" s="185"/>
    </row>
    <row r="19" spans="1:5" s="27" customFormat="1" ht="29.25" customHeight="1" x14ac:dyDescent="0.2">
      <c r="A19" s="184">
        <f t="shared" si="0"/>
        <v>18</v>
      </c>
      <c r="B19" s="185"/>
      <c r="D19" s="184">
        <f t="shared" si="1"/>
        <v>43</v>
      </c>
      <c r="E19" s="185"/>
    </row>
    <row r="20" spans="1:5" s="27" customFormat="1" ht="29.25" customHeight="1" x14ac:dyDescent="0.2">
      <c r="A20" s="184">
        <f t="shared" si="0"/>
        <v>19</v>
      </c>
      <c r="B20" s="185"/>
      <c r="D20" s="184">
        <f t="shared" si="1"/>
        <v>44</v>
      </c>
      <c r="E20" s="185"/>
    </row>
    <row r="21" spans="1:5" s="27" customFormat="1" ht="29.25" customHeight="1" x14ac:dyDescent="0.2">
      <c r="A21" s="184">
        <f t="shared" si="0"/>
        <v>20</v>
      </c>
      <c r="B21" s="185"/>
      <c r="D21" s="184">
        <f t="shared" si="1"/>
        <v>45</v>
      </c>
      <c r="E21" s="185"/>
    </row>
    <row r="22" spans="1:5" s="27" customFormat="1" ht="29.25" customHeight="1" x14ac:dyDescent="0.2">
      <c r="A22" s="184">
        <f t="shared" si="0"/>
        <v>21</v>
      </c>
      <c r="B22" s="185"/>
      <c r="D22" s="184">
        <f t="shared" si="1"/>
        <v>46</v>
      </c>
      <c r="E22" s="185"/>
    </row>
    <row r="23" spans="1:5" s="27" customFormat="1" ht="29.25" customHeight="1" x14ac:dyDescent="0.2">
      <c r="A23" s="184">
        <f t="shared" si="0"/>
        <v>22</v>
      </c>
      <c r="B23" s="185"/>
      <c r="D23" s="184">
        <f t="shared" si="1"/>
        <v>47</v>
      </c>
      <c r="E23" s="185"/>
    </row>
    <row r="24" spans="1:5" s="27" customFormat="1" ht="29.25" customHeight="1" x14ac:dyDescent="0.2">
      <c r="A24" s="184">
        <f t="shared" si="0"/>
        <v>23</v>
      </c>
      <c r="B24" s="185"/>
      <c r="D24" s="184">
        <f t="shared" si="1"/>
        <v>48</v>
      </c>
      <c r="E24" s="185"/>
    </row>
    <row r="25" spans="1:5" s="27" customFormat="1" ht="29.25" customHeight="1" x14ac:dyDescent="0.2">
      <c r="A25" s="184">
        <f t="shared" si="0"/>
        <v>24</v>
      </c>
      <c r="B25" s="185"/>
      <c r="D25" s="184">
        <f t="shared" si="1"/>
        <v>49</v>
      </c>
      <c r="E25" s="185"/>
    </row>
    <row r="26" spans="1:5" s="27" customFormat="1" ht="29.25" customHeight="1" x14ac:dyDescent="0.2">
      <c r="A26" s="184">
        <f t="shared" si="0"/>
        <v>25</v>
      </c>
      <c r="B26" s="185"/>
      <c r="D26" s="184">
        <f t="shared" si="1"/>
        <v>50</v>
      </c>
      <c r="E26" s="185"/>
    </row>
    <row r="27" spans="1:5" x14ac:dyDescent="0.2"/>
  </sheetData>
  <sheetProtection algorithmName="SHA-512" hashValue="KKdIcsfe8IgEu8Od0kTm4XJ/12yP+2wRp+96M2QoOfM7IcNPZDiK87qv9MEwu/X8iAiLh2rE2EqgUegPNk8AuQ==" saltValue="EirSrv3uGnwY5qjgmjkTPg==" spinCount="100000" sheet="1" objects="1" scenarios="1"/>
  <mergeCells count="1">
    <mergeCell ref="A1:E1"/>
  </mergeCells>
  <phoneticPr fontId="0" type="noConversion"/>
  <pageMargins left="0.19685039370078741" right="0.19685039370078741" top="0.31496062992125984" bottom="0.31496062992125984" header="0.19685039370078741" footer="0.19685039370078741"/>
  <pageSetup paperSize="9" scale="70" orientation="landscape" horizontalDpi="4294967292" r:id="rId1"/>
  <headerFooter alignWithMargins="0"/>
  <extLst>
    <ext xmlns:mx="http://schemas.microsoft.com/office/mac/excel/2008/main" uri="{64002731-A6B0-56B0-2670-7721B7C09600}">
      <mx:PLV Mode="0"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5">
    <pageSetUpPr fitToPage="1"/>
  </sheetPr>
  <dimension ref="A1:AI59"/>
  <sheetViews>
    <sheetView showGridLines="0" showRowColHeaders="0" zoomScale="82" zoomScaleNormal="82" zoomScalePageLayoutView="75" workbookViewId="0">
      <pane ySplit="4" topLeftCell="A5" activePane="bottomLeft" state="frozen"/>
      <selection sqref="A1:P1"/>
      <selection pane="bottomLeft"/>
    </sheetView>
  </sheetViews>
  <sheetFormatPr baseColWidth="10" defaultColWidth="0" defaultRowHeight="14" x14ac:dyDescent="0.2"/>
  <cols>
    <col min="1" max="1" width="12.796875" style="11" customWidth="1"/>
    <col min="2" max="2" width="18.59765625" style="11" customWidth="1"/>
    <col min="3" max="3" width="13.59765625" style="12" customWidth="1"/>
    <col min="4" max="6" width="11.796875" style="12" customWidth="1"/>
    <col min="7" max="7" width="15.59765625" style="12" customWidth="1"/>
    <col min="8" max="8" width="14.3984375" style="11" customWidth="1"/>
    <col min="9" max="10" width="17.3984375" style="12" customWidth="1"/>
    <col min="11" max="11" width="17" style="11" customWidth="1"/>
    <col min="12" max="12" width="14.59765625" style="11" customWidth="1"/>
    <col min="13" max="14" width="17.3984375" style="12" customWidth="1"/>
    <col min="15" max="15" width="17" style="11" customWidth="1"/>
    <col min="16" max="16" width="14.59765625" style="11" customWidth="1"/>
    <col min="17" max="18" width="19" style="12" customWidth="1"/>
    <col min="19" max="19" width="17" style="11" customWidth="1"/>
    <col min="20" max="20" width="16" style="12" customWidth="1"/>
    <col min="21" max="21" width="16.796875" style="11" customWidth="1"/>
    <col min="22" max="22" width="19.59765625" style="11" customWidth="1"/>
    <col min="23" max="27" width="3.3984375" style="6" customWidth="1"/>
    <col min="28" max="35" width="0" style="6" hidden="1" customWidth="1"/>
    <col min="36" max="16384" width="9" style="6" hidden="1"/>
  </cols>
  <sheetData>
    <row r="1" spans="1:35" ht="21" x14ac:dyDescent="0.3">
      <c r="A1" s="207" t="s">
        <v>214</v>
      </c>
      <c r="B1" s="208"/>
      <c r="C1" s="209"/>
      <c r="D1" s="209"/>
      <c r="E1" s="209"/>
      <c r="F1" s="209"/>
      <c r="G1" s="209"/>
      <c r="H1" s="208"/>
      <c r="I1" s="209"/>
      <c r="J1" s="209"/>
      <c r="K1" s="208"/>
      <c r="L1" s="208"/>
      <c r="M1" s="209"/>
      <c r="N1" s="209"/>
      <c r="O1" s="208"/>
      <c r="P1" s="208"/>
      <c r="Q1" s="209"/>
      <c r="R1" s="209"/>
      <c r="S1" s="208"/>
      <c r="T1" s="209"/>
      <c r="U1" s="208"/>
      <c r="V1" s="208"/>
      <c r="W1" s="208"/>
      <c r="X1" s="208"/>
      <c r="Y1" s="208"/>
      <c r="Z1" s="208"/>
      <c r="AA1" s="210"/>
    </row>
    <row r="2" spans="1:35" s="42" customFormat="1" ht="15" customHeight="1" x14ac:dyDescent="0.2">
      <c r="A2" s="435" t="s">
        <v>200</v>
      </c>
      <c r="B2" s="436" t="s">
        <v>287</v>
      </c>
      <c r="C2" s="440" t="s">
        <v>305</v>
      </c>
      <c r="D2" s="441"/>
      <c r="E2" s="442"/>
      <c r="F2" s="434" t="s">
        <v>292</v>
      </c>
      <c r="G2" s="437" t="s">
        <v>215</v>
      </c>
      <c r="H2" s="438"/>
      <c r="I2" s="438"/>
      <c r="J2" s="439"/>
      <c r="K2" s="431" t="s">
        <v>216</v>
      </c>
      <c r="L2" s="432"/>
      <c r="M2" s="432"/>
      <c r="N2" s="432"/>
      <c r="O2" s="431" t="s">
        <v>217</v>
      </c>
      <c r="P2" s="432"/>
      <c r="Q2" s="432"/>
      <c r="R2" s="433"/>
      <c r="S2" s="431" t="s">
        <v>218</v>
      </c>
      <c r="T2" s="433"/>
      <c r="U2" s="230"/>
      <c r="V2" s="230"/>
      <c r="W2" s="239" t="s">
        <v>219</v>
      </c>
      <c r="X2" s="240"/>
      <c r="Y2" s="240"/>
      <c r="Z2" s="241"/>
      <c r="AA2" s="242"/>
    </row>
    <row r="3" spans="1:35" s="43" customFormat="1" ht="30" x14ac:dyDescent="0.2">
      <c r="A3" s="435"/>
      <c r="B3" s="436"/>
      <c r="C3" s="213" t="s">
        <v>288</v>
      </c>
      <c r="D3" s="199" t="s">
        <v>289</v>
      </c>
      <c r="E3" s="214" t="s">
        <v>290</v>
      </c>
      <c r="F3" s="434"/>
      <c r="G3" s="213" t="s">
        <v>291</v>
      </c>
      <c r="H3" s="200" t="s">
        <v>221</v>
      </c>
      <c r="I3" s="199" t="s">
        <v>222</v>
      </c>
      <c r="J3" s="214" t="s">
        <v>222</v>
      </c>
      <c r="K3" s="224" t="s">
        <v>199</v>
      </c>
      <c r="L3" s="200" t="s">
        <v>221</v>
      </c>
      <c r="M3" s="199" t="s">
        <v>222</v>
      </c>
      <c r="N3" s="227" t="s">
        <v>222</v>
      </c>
      <c r="O3" s="224" t="s">
        <v>199</v>
      </c>
      <c r="P3" s="200" t="s">
        <v>221</v>
      </c>
      <c r="Q3" s="199" t="s">
        <v>223</v>
      </c>
      <c r="R3" s="214" t="s">
        <v>223</v>
      </c>
      <c r="S3" s="224" t="s">
        <v>112</v>
      </c>
      <c r="T3" s="214" t="s">
        <v>220</v>
      </c>
      <c r="U3" s="221" t="s">
        <v>293</v>
      </c>
      <c r="V3" s="231" t="s">
        <v>205</v>
      </c>
      <c r="W3" s="234" t="s">
        <v>224</v>
      </c>
      <c r="X3" s="198" t="s">
        <v>225</v>
      </c>
      <c r="Y3" s="198" t="s">
        <v>226</v>
      </c>
      <c r="Z3" s="198" t="s">
        <v>227</v>
      </c>
      <c r="AA3" s="233" t="s">
        <v>228</v>
      </c>
    </row>
    <row r="4" spans="1:35" s="26" customFormat="1" ht="1.5" customHeight="1" x14ac:dyDescent="0.2">
      <c r="A4" s="201"/>
      <c r="B4" s="211"/>
      <c r="C4" s="215"/>
      <c r="D4" s="202"/>
      <c r="E4" s="216"/>
      <c r="F4" s="219"/>
      <c r="G4" s="215"/>
      <c r="H4" s="202"/>
      <c r="I4" s="202"/>
      <c r="J4" s="216"/>
      <c r="K4" s="225"/>
      <c r="L4" s="201"/>
      <c r="M4" s="202"/>
      <c r="N4" s="228"/>
      <c r="O4" s="225"/>
      <c r="P4" s="201"/>
      <c r="Q4" s="202"/>
      <c r="R4" s="216"/>
      <c r="S4" s="225"/>
      <c r="T4" s="216"/>
      <c r="U4" s="222"/>
      <c r="V4" s="211"/>
      <c r="W4" s="235"/>
      <c r="X4" s="203"/>
      <c r="Y4" s="203"/>
      <c r="Z4" s="203"/>
      <c r="AA4" s="236"/>
      <c r="AB4" s="6"/>
      <c r="AC4" s="6"/>
      <c r="AD4" s="6"/>
      <c r="AE4" s="6"/>
      <c r="AF4" s="6"/>
      <c r="AG4" s="6"/>
      <c r="AH4" s="6"/>
      <c r="AI4" s="6"/>
    </row>
    <row r="5" spans="1:35" ht="36" customHeight="1" x14ac:dyDescent="0.2">
      <c r="A5" s="204" t="s">
        <v>243</v>
      </c>
      <c r="B5" s="212" t="s">
        <v>244</v>
      </c>
      <c r="C5" s="217" t="s">
        <v>245</v>
      </c>
      <c r="D5" s="205">
        <v>122.95</v>
      </c>
      <c r="E5" s="218"/>
      <c r="F5" s="220" t="s">
        <v>246</v>
      </c>
      <c r="G5" s="217" t="s">
        <v>247</v>
      </c>
      <c r="H5" s="205" t="s">
        <v>248</v>
      </c>
      <c r="I5" s="205" t="s">
        <v>249</v>
      </c>
      <c r="J5" s="218" t="s">
        <v>250</v>
      </c>
      <c r="K5" s="226" t="s">
        <v>251</v>
      </c>
      <c r="L5" s="204" t="s">
        <v>248</v>
      </c>
      <c r="M5" s="205" t="s">
        <v>252</v>
      </c>
      <c r="N5" s="229"/>
      <c r="O5" s="226"/>
      <c r="P5" s="204"/>
      <c r="Q5" s="205"/>
      <c r="R5" s="218"/>
      <c r="S5" s="226" t="s">
        <v>253</v>
      </c>
      <c r="T5" s="218"/>
      <c r="U5" s="223" t="s">
        <v>254</v>
      </c>
      <c r="V5" s="232" t="s">
        <v>255</v>
      </c>
      <c r="W5" s="237"/>
      <c r="X5" s="206"/>
      <c r="Y5" s="206"/>
      <c r="Z5" s="206"/>
      <c r="AA5" s="238"/>
    </row>
    <row r="6" spans="1:35" ht="36" customHeight="1" x14ac:dyDescent="0.2">
      <c r="A6" s="204" t="s">
        <v>256</v>
      </c>
      <c r="B6" s="212" t="s">
        <v>257</v>
      </c>
      <c r="C6" s="217">
        <v>128.35</v>
      </c>
      <c r="D6" s="205">
        <v>122.95</v>
      </c>
      <c r="E6" s="218"/>
      <c r="F6" s="220">
        <v>120.125</v>
      </c>
      <c r="G6" s="217">
        <v>121.9</v>
      </c>
      <c r="H6" s="205" t="s">
        <v>248</v>
      </c>
      <c r="I6" s="205" t="s">
        <v>258</v>
      </c>
      <c r="J6" s="218" t="s">
        <v>259</v>
      </c>
      <c r="K6" s="226" t="s">
        <v>260</v>
      </c>
      <c r="L6" s="204" t="s">
        <v>248</v>
      </c>
      <c r="M6" s="205" t="s">
        <v>261</v>
      </c>
      <c r="N6" s="229" t="s">
        <v>262</v>
      </c>
      <c r="O6" s="226"/>
      <c r="P6" s="204"/>
      <c r="Q6" s="205"/>
      <c r="R6" s="218"/>
      <c r="S6" s="226" t="s">
        <v>263</v>
      </c>
      <c r="T6" s="218">
        <v>122.6</v>
      </c>
      <c r="U6" s="223" t="s">
        <v>264</v>
      </c>
      <c r="V6" s="232" t="s">
        <v>265</v>
      </c>
      <c r="W6" s="237"/>
      <c r="X6" s="206"/>
      <c r="Y6" s="206"/>
      <c r="Z6" s="206"/>
      <c r="AA6" s="238"/>
    </row>
    <row r="7" spans="1:35" ht="36" customHeight="1" x14ac:dyDescent="0.2">
      <c r="A7" s="204" t="s">
        <v>268</v>
      </c>
      <c r="B7" s="212" t="s">
        <v>269</v>
      </c>
      <c r="C7" s="217">
        <v>118.52500000000001</v>
      </c>
      <c r="D7" s="205">
        <v>122.7</v>
      </c>
      <c r="E7" s="218">
        <v>122.7</v>
      </c>
      <c r="F7" s="220"/>
      <c r="G7" s="217"/>
      <c r="H7" s="205"/>
      <c r="I7" s="205"/>
      <c r="J7" s="218"/>
      <c r="K7" s="226" t="s">
        <v>260</v>
      </c>
      <c r="L7" s="204" t="s">
        <v>248</v>
      </c>
      <c r="M7" s="205">
        <v>126</v>
      </c>
      <c r="N7" s="229"/>
      <c r="O7" s="226"/>
      <c r="P7" s="204"/>
      <c r="Q7" s="205"/>
      <c r="R7" s="218"/>
      <c r="S7" s="226" t="s">
        <v>263</v>
      </c>
      <c r="T7" s="218">
        <v>122.45</v>
      </c>
      <c r="U7" s="223" t="s">
        <v>270</v>
      </c>
      <c r="V7" s="232" t="s">
        <v>271</v>
      </c>
      <c r="W7" s="237"/>
      <c r="X7" s="206"/>
      <c r="Y7" s="206"/>
      <c r="Z7" s="206"/>
      <c r="AA7" s="238"/>
    </row>
    <row r="8" spans="1:35" ht="36" customHeight="1" x14ac:dyDescent="0.2">
      <c r="A8" s="204"/>
      <c r="B8" s="212"/>
      <c r="C8" s="217"/>
      <c r="D8" s="205"/>
      <c r="E8" s="218"/>
      <c r="F8" s="220"/>
      <c r="G8" s="217"/>
      <c r="H8" s="205"/>
      <c r="I8" s="205"/>
      <c r="J8" s="218"/>
      <c r="K8" s="226"/>
      <c r="L8" s="204"/>
      <c r="M8" s="205"/>
      <c r="N8" s="229"/>
      <c r="O8" s="226"/>
      <c r="P8" s="204"/>
      <c r="Q8" s="205"/>
      <c r="R8" s="218"/>
      <c r="S8" s="226"/>
      <c r="T8" s="218"/>
      <c r="U8" s="223"/>
      <c r="V8" s="232"/>
      <c r="W8" s="237"/>
      <c r="X8" s="206"/>
      <c r="Y8" s="206"/>
      <c r="Z8" s="206"/>
      <c r="AA8" s="238"/>
    </row>
    <row r="9" spans="1:35" ht="36" customHeight="1" x14ac:dyDescent="0.2">
      <c r="A9" s="204"/>
      <c r="B9" s="212"/>
      <c r="C9" s="217"/>
      <c r="D9" s="205"/>
      <c r="E9" s="218"/>
      <c r="F9" s="220"/>
      <c r="G9" s="217"/>
      <c r="H9" s="205"/>
      <c r="I9" s="205"/>
      <c r="J9" s="218"/>
      <c r="K9" s="226"/>
      <c r="L9" s="204"/>
      <c r="M9" s="205"/>
      <c r="N9" s="229"/>
      <c r="O9" s="226"/>
      <c r="P9" s="204"/>
      <c r="Q9" s="205"/>
      <c r="R9" s="218"/>
      <c r="S9" s="226"/>
      <c r="T9" s="218"/>
      <c r="U9" s="223"/>
      <c r="V9" s="232"/>
      <c r="W9" s="237"/>
      <c r="X9" s="206"/>
      <c r="Y9" s="206"/>
      <c r="Z9" s="206"/>
      <c r="AA9" s="238"/>
    </row>
    <row r="10" spans="1:35" ht="36" customHeight="1" x14ac:dyDescent="0.2">
      <c r="A10" s="204"/>
      <c r="B10" s="212"/>
      <c r="C10" s="217"/>
      <c r="D10" s="205"/>
      <c r="E10" s="218"/>
      <c r="F10" s="220"/>
      <c r="G10" s="217"/>
      <c r="H10" s="205"/>
      <c r="I10" s="205"/>
      <c r="J10" s="218"/>
      <c r="K10" s="226"/>
      <c r="L10" s="204"/>
      <c r="M10" s="205"/>
      <c r="N10" s="229"/>
      <c r="O10" s="226"/>
      <c r="P10" s="204"/>
      <c r="Q10" s="205"/>
      <c r="R10" s="218"/>
      <c r="S10" s="226"/>
      <c r="T10" s="218"/>
      <c r="U10" s="223"/>
      <c r="V10" s="232"/>
      <c r="W10" s="237"/>
      <c r="X10" s="206"/>
      <c r="Y10" s="206"/>
      <c r="Z10" s="206"/>
      <c r="AA10" s="238"/>
    </row>
    <row r="11" spans="1:35" ht="36" customHeight="1" x14ac:dyDescent="0.2">
      <c r="A11" s="204"/>
      <c r="B11" s="212"/>
      <c r="C11" s="217"/>
      <c r="D11" s="205"/>
      <c r="E11" s="218"/>
      <c r="F11" s="220"/>
      <c r="G11" s="217"/>
      <c r="H11" s="205"/>
      <c r="I11" s="205"/>
      <c r="J11" s="218"/>
      <c r="K11" s="226"/>
      <c r="L11" s="204"/>
      <c r="M11" s="205"/>
      <c r="N11" s="229"/>
      <c r="O11" s="226"/>
      <c r="P11" s="204"/>
      <c r="Q11" s="205"/>
      <c r="R11" s="218"/>
      <c r="S11" s="226"/>
      <c r="T11" s="218"/>
      <c r="U11" s="223"/>
      <c r="V11" s="232"/>
      <c r="W11" s="237"/>
      <c r="X11" s="206"/>
      <c r="Y11" s="206"/>
      <c r="Z11" s="206"/>
      <c r="AA11" s="238"/>
    </row>
    <row r="12" spans="1:35" ht="36" customHeight="1" x14ac:dyDescent="0.2">
      <c r="A12" s="204"/>
      <c r="B12" s="212"/>
      <c r="C12" s="217"/>
      <c r="D12" s="205"/>
      <c r="E12" s="218"/>
      <c r="F12" s="220"/>
      <c r="G12" s="217"/>
      <c r="H12" s="205"/>
      <c r="I12" s="205"/>
      <c r="J12" s="218"/>
      <c r="K12" s="226"/>
      <c r="L12" s="204"/>
      <c r="M12" s="205"/>
      <c r="N12" s="229"/>
      <c r="O12" s="226"/>
      <c r="P12" s="204"/>
      <c r="Q12" s="205"/>
      <c r="R12" s="218"/>
      <c r="S12" s="226"/>
      <c r="T12" s="218"/>
      <c r="U12" s="223"/>
      <c r="V12" s="232"/>
      <c r="W12" s="237"/>
      <c r="X12" s="206"/>
      <c r="Y12" s="206"/>
      <c r="Z12" s="206"/>
      <c r="AA12" s="238"/>
    </row>
    <row r="13" spans="1:35" ht="36" customHeight="1" x14ac:dyDescent="0.2">
      <c r="A13" s="204"/>
      <c r="B13" s="212"/>
      <c r="C13" s="217"/>
      <c r="D13" s="205"/>
      <c r="E13" s="218"/>
      <c r="F13" s="220"/>
      <c r="G13" s="217"/>
      <c r="H13" s="205"/>
      <c r="I13" s="205"/>
      <c r="J13" s="218"/>
      <c r="K13" s="226"/>
      <c r="L13" s="204"/>
      <c r="M13" s="205"/>
      <c r="N13" s="229"/>
      <c r="O13" s="226"/>
      <c r="P13" s="204"/>
      <c r="Q13" s="205"/>
      <c r="R13" s="218"/>
      <c r="S13" s="226"/>
      <c r="T13" s="218"/>
      <c r="U13" s="223"/>
      <c r="V13" s="232"/>
      <c r="W13" s="237"/>
      <c r="X13" s="206"/>
      <c r="Y13" s="206"/>
      <c r="Z13" s="206"/>
      <c r="AA13" s="238"/>
    </row>
    <row r="14" spans="1:35" ht="36" customHeight="1" x14ac:dyDescent="0.2">
      <c r="A14" s="204"/>
      <c r="B14" s="212"/>
      <c r="C14" s="217"/>
      <c r="D14" s="205"/>
      <c r="E14" s="218"/>
      <c r="F14" s="220"/>
      <c r="G14" s="217"/>
      <c r="H14" s="205"/>
      <c r="I14" s="205"/>
      <c r="J14" s="218"/>
      <c r="K14" s="226"/>
      <c r="L14" s="204"/>
      <c r="M14" s="205"/>
      <c r="N14" s="229"/>
      <c r="O14" s="226"/>
      <c r="P14" s="204"/>
      <c r="Q14" s="205"/>
      <c r="R14" s="218"/>
      <c r="S14" s="226"/>
      <c r="T14" s="218"/>
      <c r="U14" s="223"/>
      <c r="V14" s="232"/>
      <c r="W14" s="237"/>
      <c r="X14" s="206"/>
      <c r="Y14" s="206"/>
      <c r="Z14" s="206"/>
      <c r="AA14" s="238"/>
    </row>
    <row r="15" spans="1:35" ht="36" customHeight="1" x14ac:dyDescent="0.2">
      <c r="A15" s="204"/>
      <c r="B15" s="212"/>
      <c r="C15" s="217"/>
      <c r="D15" s="205"/>
      <c r="E15" s="218"/>
      <c r="F15" s="220"/>
      <c r="G15" s="217"/>
      <c r="H15" s="205"/>
      <c r="I15" s="205"/>
      <c r="J15" s="218"/>
      <c r="K15" s="226"/>
      <c r="L15" s="204"/>
      <c r="M15" s="205"/>
      <c r="N15" s="229"/>
      <c r="O15" s="226"/>
      <c r="P15" s="204"/>
      <c r="Q15" s="205"/>
      <c r="R15" s="218"/>
      <c r="S15" s="226"/>
      <c r="T15" s="218"/>
      <c r="U15" s="223"/>
      <c r="V15" s="232"/>
      <c r="W15" s="237"/>
      <c r="X15" s="206"/>
      <c r="Y15" s="206"/>
      <c r="Z15" s="206"/>
      <c r="AA15" s="238"/>
    </row>
    <row r="16" spans="1:35" ht="36" customHeight="1" x14ac:dyDescent="0.2">
      <c r="A16" s="204"/>
      <c r="B16" s="212"/>
      <c r="C16" s="217"/>
      <c r="D16" s="205"/>
      <c r="E16" s="218"/>
      <c r="F16" s="220"/>
      <c r="G16" s="217"/>
      <c r="H16" s="205"/>
      <c r="I16" s="205"/>
      <c r="J16" s="218"/>
      <c r="K16" s="226"/>
      <c r="L16" s="204"/>
      <c r="M16" s="205"/>
      <c r="N16" s="229"/>
      <c r="O16" s="226"/>
      <c r="P16" s="204"/>
      <c r="Q16" s="205"/>
      <c r="R16" s="218"/>
      <c r="S16" s="226"/>
      <c r="T16" s="218"/>
      <c r="U16" s="223"/>
      <c r="V16" s="232"/>
      <c r="W16" s="237"/>
      <c r="X16" s="206"/>
      <c r="Y16" s="206"/>
      <c r="Z16" s="206"/>
      <c r="AA16" s="238"/>
    </row>
    <row r="17" spans="1:27" ht="36" customHeight="1" x14ac:dyDescent="0.2">
      <c r="A17" s="204"/>
      <c r="B17" s="212"/>
      <c r="C17" s="217"/>
      <c r="D17" s="205"/>
      <c r="E17" s="218"/>
      <c r="F17" s="220"/>
      <c r="G17" s="217"/>
      <c r="H17" s="205"/>
      <c r="I17" s="205"/>
      <c r="J17" s="218"/>
      <c r="K17" s="226"/>
      <c r="L17" s="204"/>
      <c r="M17" s="205"/>
      <c r="N17" s="229"/>
      <c r="O17" s="226"/>
      <c r="P17" s="204"/>
      <c r="Q17" s="205"/>
      <c r="R17" s="218"/>
      <c r="S17" s="226"/>
      <c r="T17" s="218"/>
      <c r="U17" s="223"/>
      <c r="V17" s="232"/>
      <c r="W17" s="237"/>
      <c r="X17" s="206"/>
      <c r="Y17" s="206"/>
      <c r="Z17" s="206"/>
      <c r="AA17" s="238"/>
    </row>
    <row r="18" spans="1:27" ht="36" customHeight="1" x14ac:dyDescent="0.2">
      <c r="A18" s="204"/>
      <c r="B18" s="212"/>
      <c r="C18" s="217"/>
      <c r="D18" s="205"/>
      <c r="E18" s="218"/>
      <c r="F18" s="220"/>
      <c r="G18" s="217"/>
      <c r="H18" s="205"/>
      <c r="I18" s="205"/>
      <c r="J18" s="218"/>
      <c r="K18" s="226"/>
      <c r="L18" s="204"/>
      <c r="M18" s="205"/>
      <c r="N18" s="229"/>
      <c r="O18" s="226"/>
      <c r="P18" s="204"/>
      <c r="Q18" s="205"/>
      <c r="R18" s="218"/>
      <c r="S18" s="226"/>
      <c r="T18" s="218"/>
      <c r="U18" s="223"/>
      <c r="V18" s="232"/>
      <c r="W18" s="237"/>
      <c r="X18" s="206"/>
      <c r="Y18" s="206"/>
      <c r="Z18" s="206"/>
      <c r="AA18" s="238"/>
    </row>
    <row r="19" spans="1:27" ht="36" customHeight="1" x14ac:dyDescent="0.2">
      <c r="A19" s="204"/>
      <c r="B19" s="212"/>
      <c r="C19" s="217"/>
      <c r="D19" s="205"/>
      <c r="E19" s="218"/>
      <c r="F19" s="220"/>
      <c r="G19" s="217"/>
      <c r="H19" s="205"/>
      <c r="I19" s="205"/>
      <c r="J19" s="218"/>
      <c r="K19" s="226"/>
      <c r="L19" s="204"/>
      <c r="M19" s="205"/>
      <c r="N19" s="229"/>
      <c r="O19" s="226"/>
      <c r="P19" s="204"/>
      <c r="Q19" s="205"/>
      <c r="R19" s="218"/>
      <c r="S19" s="226"/>
      <c r="T19" s="218"/>
      <c r="U19" s="223"/>
      <c r="V19" s="232"/>
      <c r="W19" s="237"/>
      <c r="X19" s="206"/>
      <c r="Y19" s="206"/>
      <c r="Z19" s="206"/>
      <c r="AA19" s="238"/>
    </row>
    <row r="20" spans="1:27" ht="36" customHeight="1" x14ac:dyDescent="0.2">
      <c r="A20" s="204"/>
      <c r="B20" s="212"/>
      <c r="C20" s="217"/>
      <c r="D20" s="205"/>
      <c r="E20" s="218"/>
      <c r="F20" s="220"/>
      <c r="G20" s="217"/>
      <c r="H20" s="205"/>
      <c r="I20" s="205"/>
      <c r="J20" s="218"/>
      <c r="K20" s="226"/>
      <c r="L20" s="204"/>
      <c r="M20" s="205"/>
      <c r="N20" s="229"/>
      <c r="O20" s="226"/>
      <c r="P20" s="204"/>
      <c r="Q20" s="205"/>
      <c r="R20" s="218"/>
      <c r="S20" s="226"/>
      <c r="T20" s="218"/>
      <c r="U20" s="223"/>
      <c r="V20" s="232"/>
      <c r="W20" s="237"/>
      <c r="X20" s="206"/>
      <c r="Y20" s="206"/>
      <c r="Z20" s="206"/>
      <c r="AA20" s="238"/>
    </row>
    <row r="21" spans="1:27" ht="36" customHeight="1" x14ac:dyDescent="0.2">
      <c r="A21" s="204"/>
      <c r="B21" s="212"/>
      <c r="C21" s="217"/>
      <c r="D21" s="205"/>
      <c r="E21" s="218"/>
      <c r="F21" s="220"/>
      <c r="G21" s="217"/>
      <c r="H21" s="205"/>
      <c r="I21" s="205"/>
      <c r="J21" s="218"/>
      <c r="K21" s="226"/>
      <c r="L21" s="204"/>
      <c r="M21" s="205"/>
      <c r="N21" s="229"/>
      <c r="O21" s="226"/>
      <c r="P21" s="204"/>
      <c r="Q21" s="205"/>
      <c r="R21" s="218"/>
      <c r="S21" s="226"/>
      <c r="T21" s="218"/>
      <c r="U21" s="223"/>
      <c r="V21" s="232"/>
      <c r="W21" s="237"/>
      <c r="X21" s="206"/>
      <c r="Y21" s="206"/>
      <c r="Z21" s="206"/>
      <c r="AA21" s="238"/>
    </row>
    <row r="22" spans="1:27" ht="36" customHeight="1" x14ac:dyDescent="0.2">
      <c r="A22" s="204"/>
      <c r="B22" s="212"/>
      <c r="C22" s="217"/>
      <c r="D22" s="205"/>
      <c r="E22" s="218"/>
      <c r="F22" s="220"/>
      <c r="G22" s="217"/>
      <c r="H22" s="205"/>
      <c r="I22" s="205"/>
      <c r="J22" s="218"/>
      <c r="K22" s="226"/>
      <c r="L22" s="204"/>
      <c r="M22" s="205"/>
      <c r="N22" s="229"/>
      <c r="O22" s="226"/>
      <c r="P22" s="204"/>
      <c r="Q22" s="205"/>
      <c r="R22" s="218"/>
      <c r="S22" s="226"/>
      <c r="T22" s="218"/>
      <c r="U22" s="223"/>
      <c r="V22" s="232"/>
      <c r="W22" s="237"/>
      <c r="X22" s="206"/>
      <c r="Y22" s="206"/>
      <c r="Z22" s="206"/>
      <c r="AA22" s="238"/>
    </row>
    <row r="23" spans="1:27" ht="36" customHeight="1" x14ac:dyDescent="0.2">
      <c r="A23" s="204"/>
      <c r="B23" s="212"/>
      <c r="C23" s="217"/>
      <c r="D23" s="205"/>
      <c r="E23" s="218"/>
      <c r="F23" s="220"/>
      <c r="G23" s="217"/>
      <c r="H23" s="205"/>
      <c r="I23" s="205"/>
      <c r="J23" s="218"/>
      <c r="K23" s="226"/>
      <c r="L23" s="204"/>
      <c r="M23" s="205"/>
      <c r="N23" s="229"/>
      <c r="O23" s="226"/>
      <c r="P23" s="204"/>
      <c r="Q23" s="205"/>
      <c r="R23" s="218"/>
      <c r="S23" s="226"/>
      <c r="T23" s="218"/>
      <c r="U23" s="223"/>
      <c r="V23" s="232"/>
      <c r="W23" s="237"/>
      <c r="X23" s="206"/>
      <c r="Y23" s="206"/>
      <c r="Z23" s="206"/>
      <c r="AA23" s="238"/>
    </row>
    <row r="24" spans="1:27" ht="36" customHeight="1" x14ac:dyDescent="0.2">
      <c r="A24" s="204"/>
      <c r="B24" s="212"/>
      <c r="C24" s="217"/>
      <c r="D24" s="205"/>
      <c r="E24" s="218"/>
      <c r="F24" s="220"/>
      <c r="G24" s="217"/>
      <c r="H24" s="205"/>
      <c r="I24" s="205"/>
      <c r="J24" s="218"/>
      <c r="K24" s="226"/>
      <c r="L24" s="204"/>
      <c r="M24" s="205"/>
      <c r="N24" s="229"/>
      <c r="O24" s="226"/>
      <c r="P24" s="204"/>
      <c r="Q24" s="205"/>
      <c r="R24" s="218"/>
      <c r="S24" s="226"/>
      <c r="T24" s="218"/>
      <c r="U24" s="223"/>
      <c r="V24" s="232"/>
      <c r="W24" s="237"/>
      <c r="X24" s="206"/>
      <c r="Y24" s="206"/>
      <c r="Z24" s="206"/>
      <c r="AA24" s="238"/>
    </row>
    <row r="25" spans="1:27" ht="36" customHeight="1" x14ac:dyDescent="0.2">
      <c r="A25" s="204"/>
      <c r="B25" s="212"/>
      <c r="C25" s="217"/>
      <c r="D25" s="205"/>
      <c r="E25" s="218"/>
      <c r="F25" s="220"/>
      <c r="G25" s="217"/>
      <c r="H25" s="205"/>
      <c r="I25" s="205"/>
      <c r="J25" s="218"/>
      <c r="K25" s="226"/>
      <c r="L25" s="204"/>
      <c r="M25" s="205"/>
      <c r="N25" s="229"/>
      <c r="O25" s="226"/>
      <c r="P25" s="204"/>
      <c r="Q25" s="205"/>
      <c r="R25" s="218"/>
      <c r="S25" s="226"/>
      <c r="T25" s="218"/>
      <c r="U25" s="223"/>
      <c r="V25" s="232"/>
      <c r="W25" s="237"/>
      <c r="X25" s="206"/>
      <c r="Y25" s="206"/>
      <c r="Z25" s="206"/>
      <c r="AA25" s="238"/>
    </row>
    <row r="26" spans="1:27" ht="36" customHeight="1" x14ac:dyDescent="0.2">
      <c r="A26" s="204"/>
      <c r="B26" s="212"/>
      <c r="C26" s="217"/>
      <c r="D26" s="205"/>
      <c r="E26" s="218"/>
      <c r="F26" s="220"/>
      <c r="G26" s="217"/>
      <c r="H26" s="205"/>
      <c r="I26" s="205"/>
      <c r="J26" s="218"/>
      <c r="K26" s="226"/>
      <c r="L26" s="204"/>
      <c r="M26" s="205"/>
      <c r="N26" s="229"/>
      <c r="O26" s="226"/>
      <c r="P26" s="204"/>
      <c r="Q26" s="205"/>
      <c r="R26" s="218"/>
      <c r="S26" s="226"/>
      <c r="T26" s="218"/>
      <c r="U26" s="223"/>
      <c r="V26" s="232"/>
      <c r="W26" s="237"/>
      <c r="X26" s="206"/>
      <c r="Y26" s="206"/>
      <c r="Z26" s="206"/>
      <c r="AA26" s="238"/>
    </row>
    <row r="27" spans="1:27" ht="36" customHeight="1" x14ac:dyDescent="0.2">
      <c r="A27" s="204"/>
      <c r="B27" s="212"/>
      <c r="C27" s="217"/>
      <c r="D27" s="205"/>
      <c r="E27" s="218"/>
      <c r="F27" s="220"/>
      <c r="G27" s="217"/>
      <c r="H27" s="205"/>
      <c r="I27" s="205"/>
      <c r="J27" s="218"/>
      <c r="K27" s="226"/>
      <c r="L27" s="204"/>
      <c r="M27" s="205"/>
      <c r="N27" s="229"/>
      <c r="O27" s="226"/>
      <c r="P27" s="204"/>
      <c r="Q27" s="205"/>
      <c r="R27" s="218"/>
      <c r="S27" s="226"/>
      <c r="T27" s="218"/>
      <c r="U27" s="223"/>
      <c r="V27" s="232"/>
      <c r="W27" s="237"/>
      <c r="X27" s="206"/>
      <c r="Y27" s="206"/>
      <c r="Z27" s="206"/>
      <c r="AA27" s="238"/>
    </row>
    <row r="28" spans="1:27" ht="36" customHeight="1" x14ac:dyDescent="0.2">
      <c r="A28" s="204"/>
      <c r="B28" s="212"/>
      <c r="C28" s="217"/>
      <c r="D28" s="205"/>
      <c r="E28" s="218"/>
      <c r="F28" s="220"/>
      <c r="G28" s="217"/>
      <c r="H28" s="205"/>
      <c r="I28" s="205"/>
      <c r="J28" s="218"/>
      <c r="K28" s="226"/>
      <c r="L28" s="204"/>
      <c r="M28" s="205"/>
      <c r="N28" s="229"/>
      <c r="O28" s="226"/>
      <c r="P28" s="204"/>
      <c r="Q28" s="205"/>
      <c r="R28" s="218"/>
      <c r="S28" s="226"/>
      <c r="T28" s="218"/>
      <c r="U28" s="223"/>
      <c r="V28" s="232"/>
      <c r="W28" s="237"/>
      <c r="X28" s="206"/>
      <c r="Y28" s="206"/>
      <c r="Z28" s="206"/>
      <c r="AA28" s="238"/>
    </row>
    <row r="29" spans="1:27" ht="36" customHeight="1" x14ac:dyDescent="0.2">
      <c r="A29" s="204"/>
      <c r="B29" s="212"/>
      <c r="C29" s="217"/>
      <c r="D29" s="205"/>
      <c r="E29" s="218"/>
      <c r="F29" s="220"/>
      <c r="G29" s="217"/>
      <c r="H29" s="205"/>
      <c r="I29" s="205"/>
      <c r="J29" s="218"/>
      <c r="K29" s="226"/>
      <c r="L29" s="204"/>
      <c r="M29" s="205"/>
      <c r="N29" s="229"/>
      <c r="O29" s="226"/>
      <c r="P29" s="204"/>
      <c r="Q29" s="205"/>
      <c r="R29" s="218"/>
      <c r="S29" s="226"/>
      <c r="T29" s="218"/>
      <c r="U29" s="223"/>
      <c r="V29" s="232"/>
      <c r="W29" s="237"/>
      <c r="X29" s="206"/>
      <c r="Y29" s="206"/>
      <c r="Z29" s="206"/>
      <c r="AA29" s="238"/>
    </row>
    <row r="30" spans="1:27" ht="36" customHeight="1" x14ac:dyDescent="0.2">
      <c r="A30" s="204"/>
      <c r="B30" s="212"/>
      <c r="C30" s="217"/>
      <c r="D30" s="205"/>
      <c r="E30" s="218"/>
      <c r="F30" s="220"/>
      <c r="G30" s="217"/>
      <c r="H30" s="205"/>
      <c r="I30" s="205"/>
      <c r="J30" s="218"/>
      <c r="K30" s="226"/>
      <c r="L30" s="204"/>
      <c r="M30" s="205"/>
      <c r="N30" s="229"/>
      <c r="O30" s="226"/>
      <c r="P30" s="204"/>
      <c r="Q30" s="205"/>
      <c r="R30" s="218"/>
      <c r="S30" s="226"/>
      <c r="T30" s="218"/>
      <c r="U30" s="223"/>
      <c r="V30" s="232"/>
      <c r="W30" s="237"/>
      <c r="X30" s="206"/>
      <c r="Y30" s="206"/>
      <c r="Z30" s="206"/>
      <c r="AA30" s="238"/>
    </row>
    <row r="31" spans="1:27" ht="36" customHeight="1" x14ac:dyDescent="0.2">
      <c r="A31" s="204"/>
      <c r="B31" s="212"/>
      <c r="C31" s="217"/>
      <c r="D31" s="205"/>
      <c r="E31" s="218"/>
      <c r="F31" s="220"/>
      <c r="G31" s="217"/>
      <c r="H31" s="205"/>
      <c r="I31" s="205"/>
      <c r="J31" s="218"/>
      <c r="K31" s="226"/>
      <c r="L31" s="204"/>
      <c r="M31" s="205"/>
      <c r="N31" s="229"/>
      <c r="O31" s="226"/>
      <c r="P31" s="204"/>
      <c r="Q31" s="205"/>
      <c r="R31" s="218"/>
      <c r="S31" s="226"/>
      <c r="T31" s="218"/>
      <c r="U31" s="223"/>
      <c r="V31" s="232"/>
      <c r="W31" s="237"/>
      <c r="X31" s="206"/>
      <c r="Y31" s="206"/>
      <c r="Z31" s="206"/>
      <c r="AA31" s="238"/>
    </row>
    <row r="32" spans="1:27" ht="36" customHeight="1" x14ac:dyDescent="0.2">
      <c r="A32" s="204"/>
      <c r="B32" s="212"/>
      <c r="C32" s="217"/>
      <c r="D32" s="205"/>
      <c r="E32" s="218"/>
      <c r="F32" s="220"/>
      <c r="G32" s="217"/>
      <c r="H32" s="205"/>
      <c r="I32" s="205"/>
      <c r="J32" s="218"/>
      <c r="K32" s="226"/>
      <c r="L32" s="204"/>
      <c r="M32" s="205"/>
      <c r="N32" s="229"/>
      <c r="O32" s="226"/>
      <c r="P32" s="204"/>
      <c r="Q32" s="205"/>
      <c r="R32" s="218"/>
      <c r="S32" s="226"/>
      <c r="T32" s="218"/>
      <c r="U32" s="223"/>
      <c r="V32" s="232"/>
      <c r="W32" s="237"/>
      <c r="X32" s="206"/>
      <c r="Y32" s="206"/>
      <c r="Z32" s="206"/>
      <c r="AA32" s="238"/>
    </row>
    <row r="33" spans="1:27" ht="36" customHeight="1" x14ac:dyDescent="0.2">
      <c r="A33" s="204"/>
      <c r="B33" s="212"/>
      <c r="C33" s="217"/>
      <c r="D33" s="205"/>
      <c r="E33" s="218"/>
      <c r="F33" s="220"/>
      <c r="G33" s="217"/>
      <c r="H33" s="205"/>
      <c r="I33" s="205"/>
      <c r="J33" s="218"/>
      <c r="K33" s="226"/>
      <c r="L33" s="204"/>
      <c r="M33" s="205"/>
      <c r="N33" s="229"/>
      <c r="O33" s="226"/>
      <c r="P33" s="204"/>
      <c r="Q33" s="205"/>
      <c r="R33" s="218"/>
      <c r="S33" s="226"/>
      <c r="T33" s="218"/>
      <c r="U33" s="223"/>
      <c r="V33" s="232"/>
      <c r="W33" s="237"/>
      <c r="X33" s="206"/>
      <c r="Y33" s="206"/>
      <c r="Z33" s="206"/>
      <c r="AA33" s="238"/>
    </row>
    <row r="34" spans="1:27" ht="36" customHeight="1" x14ac:dyDescent="0.2">
      <c r="A34" s="204"/>
      <c r="B34" s="212"/>
      <c r="C34" s="217"/>
      <c r="D34" s="205"/>
      <c r="E34" s="218"/>
      <c r="F34" s="220"/>
      <c r="G34" s="217"/>
      <c r="H34" s="205"/>
      <c r="I34" s="205"/>
      <c r="J34" s="218"/>
      <c r="K34" s="226"/>
      <c r="L34" s="204"/>
      <c r="M34" s="205"/>
      <c r="N34" s="229"/>
      <c r="O34" s="226"/>
      <c r="P34" s="204"/>
      <c r="Q34" s="205"/>
      <c r="R34" s="218"/>
      <c r="S34" s="226"/>
      <c r="T34" s="218"/>
      <c r="U34" s="223"/>
      <c r="V34" s="232"/>
      <c r="W34" s="237"/>
      <c r="X34" s="206"/>
      <c r="Y34" s="206"/>
      <c r="Z34" s="206"/>
      <c r="AA34" s="238"/>
    </row>
    <row r="35" spans="1:27" ht="36" customHeight="1" x14ac:dyDescent="0.2">
      <c r="A35" s="204"/>
      <c r="B35" s="212"/>
      <c r="C35" s="217"/>
      <c r="D35" s="205"/>
      <c r="E35" s="218"/>
      <c r="F35" s="220"/>
      <c r="G35" s="217"/>
      <c r="H35" s="205"/>
      <c r="I35" s="205"/>
      <c r="J35" s="218"/>
      <c r="K35" s="226"/>
      <c r="L35" s="204"/>
      <c r="M35" s="205"/>
      <c r="N35" s="229"/>
      <c r="O35" s="226"/>
      <c r="P35" s="204"/>
      <c r="Q35" s="205"/>
      <c r="R35" s="218"/>
      <c r="S35" s="226"/>
      <c r="T35" s="218"/>
      <c r="U35" s="223"/>
      <c r="V35" s="232"/>
      <c r="W35" s="237"/>
      <c r="X35" s="206"/>
      <c r="Y35" s="206"/>
      <c r="Z35" s="206"/>
      <c r="AA35" s="238"/>
    </row>
    <row r="36" spans="1:27" ht="36" customHeight="1" x14ac:dyDescent="0.2">
      <c r="A36" s="204"/>
      <c r="B36" s="212"/>
      <c r="C36" s="217"/>
      <c r="D36" s="205"/>
      <c r="E36" s="218"/>
      <c r="F36" s="220"/>
      <c r="G36" s="217"/>
      <c r="H36" s="205"/>
      <c r="I36" s="205"/>
      <c r="J36" s="218"/>
      <c r="K36" s="226"/>
      <c r="L36" s="204"/>
      <c r="M36" s="205"/>
      <c r="N36" s="229"/>
      <c r="O36" s="226"/>
      <c r="P36" s="204"/>
      <c r="Q36" s="205"/>
      <c r="R36" s="218"/>
      <c r="S36" s="226"/>
      <c r="T36" s="218"/>
      <c r="U36" s="223"/>
      <c r="V36" s="232"/>
      <c r="W36" s="237"/>
      <c r="X36" s="206"/>
      <c r="Y36" s="206"/>
      <c r="Z36" s="206"/>
      <c r="AA36" s="238"/>
    </row>
    <row r="37" spans="1:27" ht="36" customHeight="1" x14ac:dyDescent="0.2">
      <c r="A37" s="204"/>
      <c r="B37" s="212"/>
      <c r="C37" s="217"/>
      <c r="D37" s="205"/>
      <c r="E37" s="218"/>
      <c r="F37" s="220"/>
      <c r="G37" s="217"/>
      <c r="H37" s="205"/>
      <c r="I37" s="205"/>
      <c r="J37" s="218"/>
      <c r="K37" s="226"/>
      <c r="L37" s="204"/>
      <c r="M37" s="205"/>
      <c r="N37" s="229"/>
      <c r="O37" s="226"/>
      <c r="P37" s="204"/>
      <c r="Q37" s="205"/>
      <c r="R37" s="218"/>
      <c r="S37" s="226"/>
      <c r="T37" s="218"/>
      <c r="U37" s="223"/>
      <c r="V37" s="232"/>
      <c r="W37" s="237"/>
      <c r="X37" s="206"/>
      <c r="Y37" s="206"/>
      <c r="Z37" s="206"/>
      <c r="AA37" s="238"/>
    </row>
    <row r="38" spans="1:27" ht="36" customHeight="1" x14ac:dyDescent="0.2">
      <c r="A38" s="204"/>
      <c r="B38" s="212"/>
      <c r="C38" s="217"/>
      <c r="D38" s="205"/>
      <c r="E38" s="218"/>
      <c r="F38" s="220"/>
      <c r="G38" s="217"/>
      <c r="H38" s="205"/>
      <c r="I38" s="205"/>
      <c r="J38" s="218"/>
      <c r="K38" s="226"/>
      <c r="L38" s="204"/>
      <c r="M38" s="205"/>
      <c r="N38" s="229"/>
      <c r="O38" s="226"/>
      <c r="P38" s="204"/>
      <c r="Q38" s="205"/>
      <c r="R38" s="218"/>
      <c r="S38" s="226"/>
      <c r="T38" s="218"/>
      <c r="U38" s="223"/>
      <c r="V38" s="232"/>
      <c r="W38" s="237"/>
      <c r="X38" s="206"/>
      <c r="Y38" s="206"/>
      <c r="Z38" s="206"/>
      <c r="AA38" s="238"/>
    </row>
    <row r="39" spans="1:27" ht="36" customHeight="1" x14ac:dyDescent="0.2">
      <c r="A39" s="204"/>
      <c r="B39" s="212"/>
      <c r="C39" s="217"/>
      <c r="D39" s="205"/>
      <c r="E39" s="218"/>
      <c r="F39" s="220"/>
      <c r="G39" s="217"/>
      <c r="H39" s="205"/>
      <c r="I39" s="205"/>
      <c r="J39" s="218"/>
      <c r="K39" s="226"/>
      <c r="L39" s="204"/>
      <c r="M39" s="205"/>
      <c r="N39" s="229"/>
      <c r="O39" s="226"/>
      <c r="P39" s="204"/>
      <c r="Q39" s="205"/>
      <c r="R39" s="218"/>
      <c r="S39" s="226"/>
      <c r="T39" s="218"/>
      <c r="U39" s="223"/>
      <c r="V39" s="232"/>
      <c r="W39" s="237"/>
      <c r="X39" s="206"/>
      <c r="Y39" s="206"/>
      <c r="Z39" s="206"/>
      <c r="AA39" s="238"/>
    </row>
    <row r="40" spans="1:27" ht="36" customHeight="1" x14ac:dyDescent="0.2">
      <c r="A40" s="204"/>
      <c r="B40" s="212"/>
      <c r="C40" s="217"/>
      <c r="D40" s="205"/>
      <c r="E40" s="218"/>
      <c r="F40" s="220"/>
      <c r="G40" s="217"/>
      <c r="H40" s="205"/>
      <c r="I40" s="205"/>
      <c r="J40" s="218"/>
      <c r="K40" s="226"/>
      <c r="L40" s="204"/>
      <c r="M40" s="205"/>
      <c r="N40" s="229"/>
      <c r="O40" s="226"/>
      <c r="P40" s="204"/>
      <c r="Q40" s="205"/>
      <c r="R40" s="218"/>
      <c r="S40" s="226"/>
      <c r="T40" s="218"/>
      <c r="U40" s="223"/>
      <c r="V40" s="232"/>
      <c r="W40" s="237"/>
      <c r="X40" s="206"/>
      <c r="Y40" s="206"/>
      <c r="Z40" s="206"/>
      <c r="AA40" s="238"/>
    </row>
    <row r="41" spans="1:27" ht="36" customHeight="1" x14ac:dyDescent="0.2">
      <c r="A41" s="204"/>
      <c r="B41" s="212"/>
      <c r="C41" s="217"/>
      <c r="D41" s="205"/>
      <c r="E41" s="218"/>
      <c r="F41" s="220"/>
      <c r="G41" s="217"/>
      <c r="H41" s="205"/>
      <c r="I41" s="205"/>
      <c r="J41" s="218"/>
      <c r="K41" s="226"/>
      <c r="L41" s="204"/>
      <c r="M41" s="205"/>
      <c r="N41" s="229"/>
      <c r="O41" s="226"/>
      <c r="P41" s="204"/>
      <c r="Q41" s="205"/>
      <c r="R41" s="218"/>
      <c r="S41" s="226"/>
      <c r="T41" s="218"/>
      <c r="U41" s="223"/>
      <c r="V41" s="232"/>
      <c r="W41" s="237"/>
      <c r="X41" s="206"/>
      <c r="Y41" s="206"/>
      <c r="Z41" s="206"/>
      <c r="AA41" s="238"/>
    </row>
    <row r="42" spans="1:27" ht="36" customHeight="1" x14ac:dyDescent="0.2">
      <c r="A42" s="204"/>
      <c r="B42" s="212"/>
      <c r="C42" s="217"/>
      <c r="D42" s="205"/>
      <c r="E42" s="218"/>
      <c r="F42" s="220"/>
      <c r="G42" s="217"/>
      <c r="H42" s="205"/>
      <c r="I42" s="205"/>
      <c r="J42" s="218"/>
      <c r="K42" s="226"/>
      <c r="L42" s="204"/>
      <c r="M42" s="205"/>
      <c r="N42" s="229"/>
      <c r="O42" s="226"/>
      <c r="P42" s="204"/>
      <c r="Q42" s="205"/>
      <c r="R42" s="218"/>
      <c r="S42" s="226"/>
      <c r="T42" s="218"/>
      <c r="U42" s="223"/>
      <c r="V42" s="232"/>
      <c r="W42" s="237"/>
      <c r="X42" s="206"/>
      <c r="Y42" s="206"/>
      <c r="Z42" s="206"/>
      <c r="AA42" s="238"/>
    </row>
    <row r="43" spans="1:27" ht="36" customHeight="1" x14ac:dyDescent="0.2">
      <c r="A43" s="204"/>
      <c r="B43" s="212"/>
      <c r="C43" s="217"/>
      <c r="D43" s="205"/>
      <c r="E43" s="218"/>
      <c r="F43" s="220"/>
      <c r="G43" s="217"/>
      <c r="H43" s="205"/>
      <c r="I43" s="205"/>
      <c r="J43" s="218"/>
      <c r="K43" s="226"/>
      <c r="L43" s="204"/>
      <c r="M43" s="205"/>
      <c r="N43" s="229"/>
      <c r="O43" s="226"/>
      <c r="P43" s="204"/>
      <c r="Q43" s="205"/>
      <c r="R43" s="218"/>
      <c r="S43" s="226"/>
      <c r="T43" s="218"/>
      <c r="U43" s="223"/>
      <c r="V43" s="232"/>
      <c r="W43" s="237"/>
      <c r="X43" s="206"/>
      <c r="Y43" s="206"/>
      <c r="Z43" s="206"/>
      <c r="AA43" s="238"/>
    </row>
    <row r="44" spans="1:27" ht="36" customHeight="1" x14ac:dyDescent="0.2">
      <c r="A44" s="204"/>
      <c r="B44" s="212"/>
      <c r="C44" s="217"/>
      <c r="D44" s="205"/>
      <c r="E44" s="218"/>
      <c r="F44" s="220"/>
      <c r="G44" s="217"/>
      <c r="H44" s="205"/>
      <c r="I44" s="205"/>
      <c r="J44" s="218"/>
      <c r="K44" s="226"/>
      <c r="L44" s="204"/>
      <c r="M44" s="205"/>
      <c r="N44" s="229"/>
      <c r="O44" s="226"/>
      <c r="P44" s="204"/>
      <c r="Q44" s="205"/>
      <c r="R44" s="218"/>
      <c r="S44" s="226"/>
      <c r="T44" s="218"/>
      <c r="U44" s="223"/>
      <c r="V44" s="232"/>
      <c r="W44" s="237"/>
      <c r="X44" s="206"/>
      <c r="Y44" s="206"/>
      <c r="Z44" s="206"/>
      <c r="AA44" s="238"/>
    </row>
    <row r="45" spans="1:27" ht="36" customHeight="1" x14ac:dyDescent="0.2">
      <c r="A45" s="204"/>
      <c r="B45" s="212"/>
      <c r="C45" s="217"/>
      <c r="D45" s="205"/>
      <c r="E45" s="218"/>
      <c r="F45" s="220"/>
      <c r="G45" s="217"/>
      <c r="H45" s="205"/>
      <c r="I45" s="205"/>
      <c r="J45" s="218"/>
      <c r="K45" s="226"/>
      <c r="L45" s="204"/>
      <c r="M45" s="205"/>
      <c r="N45" s="229"/>
      <c r="O45" s="226"/>
      <c r="P45" s="204"/>
      <c r="Q45" s="205"/>
      <c r="R45" s="218"/>
      <c r="S45" s="226"/>
      <c r="T45" s="218"/>
      <c r="U45" s="223"/>
      <c r="V45" s="232"/>
      <c r="W45" s="237"/>
      <c r="X45" s="206"/>
      <c r="Y45" s="206"/>
      <c r="Z45" s="206"/>
      <c r="AA45" s="238"/>
    </row>
    <row r="46" spans="1:27" ht="36" customHeight="1" x14ac:dyDescent="0.2">
      <c r="A46" s="204"/>
      <c r="B46" s="212"/>
      <c r="C46" s="217"/>
      <c r="D46" s="205"/>
      <c r="E46" s="218"/>
      <c r="F46" s="220"/>
      <c r="G46" s="217"/>
      <c r="H46" s="205"/>
      <c r="I46" s="205"/>
      <c r="J46" s="218"/>
      <c r="K46" s="226"/>
      <c r="L46" s="204"/>
      <c r="M46" s="205"/>
      <c r="N46" s="229"/>
      <c r="O46" s="226"/>
      <c r="P46" s="204"/>
      <c r="Q46" s="205"/>
      <c r="R46" s="218"/>
      <c r="S46" s="226"/>
      <c r="T46" s="218"/>
      <c r="U46" s="223"/>
      <c r="V46" s="232"/>
      <c r="W46" s="237"/>
      <c r="X46" s="206"/>
      <c r="Y46" s="206"/>
      <c r="Z46" s="206"/>
      <c r="AA46" s="238"/>
    </row>
    <row r="47" spans="1:27" ht="36" customHeight="1" x14ac:dyDescent="0.2">
      <c r="A47" s="204"/>
      <c r="B47" s="212"/>
      <c r="C47" s="217"/>
      <c r="D47" s="205"/>
      <c r="E47" s="218"/>
      <c r="F47" s="220"/>
      <c r="G47" s="217"/>
      <c r="H47" s="205"/>
      <c r="I47" s="205"/>
      <c r="J47" s="218"/>
      <c r="K47" s="226"/>
      <c r="L47" s="204"/>
      <c r="M47" s="205"/>
      <c r="N47" s="229"/>
      <c r="O47" s="226"/>
      <c r="P47" s="204"/>
      <c r="Q47" s="205"/>
      <c r="R47" s="218"/>
      <c r="S47" s="226"/>
      <c r="T47" s="218"/>
      <c r="U47" s="223"/>
      <c r="V47" s="232"/>
      <c r="W47" s="237"/>
      <c r="X47" s="206"/>
      <c r="Y47" s="206"/>
      <c r="Z47" s="206"/>
      <c r="AA47" s="238"/>
    </row>
    <row r="48" spans="1:27" ht="36" customHeight="1" x14ac:dyDescent="0.2">
      <c r="A48" s="204"/>
      <c r="B48" s="212"/>
      <c r="C48" s="217"/>
      <c r="D48" s="205"/>
      <c r="E48" s="218"/>
      <c r="F48" s="220"/>
      <c r="G48" s="217"/>
      <c r="H48" s="205"/>
      <c r="I48" s="205"/>
      <c r="J48" s="218"/>
      <c r="K48" s="226"/>
      <c r="L48" s="204"/>
      <c r="M48" s="205"/>
      <c r="N48" s="229"/>
      <c r="O48" s="226"/>
      <c r="P48" s="204"/>
      <c r="Q48" s="205"/>
      <c r="R48" s="218"/>
      <c r="S48" s="226"/>
      <c r="T48" s="218"/>
      <c r="U48" s="223"/>
      <c r="V48" s="232"/>
      <c r="W48" s="237"/>
      <c r="X48" s="206"/>
      <c r="Y48" s="206"/>
      <c r="Z48" s="206"/>
      <c r="AA48" s="238"/>
    </row>
    <row r="49" spans="1:27" ht="36" customHeight="1" x14ac:dyDescent="0.2">
      <c r="A49" s="204"/>
      <c r="B49" s="212"/>
      <c r="C49" s="217"/>
      <c r="D49" s="205"/>
      <c r="E49" s="218"/>
      <c r="F49" s="220"/>
      <c r="G49" s="217"/>
      <c r="H49" s="205"/>
      <c r="I49" s="205"/>
      <c r="J49" s="218"/>
      <c r="K49" s="226"/>
      <c r="L49" s="204"/>
      <c r="M49" s="205"/>
      <c r="N49" s="229"/>
      <c r="O49" s="226"/>
      <c r="P49" s="204"/>
      <c r="Q49" s="205"/>
      <c r="R49" s="218"/>
      <c r="S49" s="226"/>
      <c r="T49" s="218"/>
      <c r="U49" s="223"/>
      <c r="V49" s="232"/>
      <c r="W49" s="237"/>
      <c r="X49" s="206"/>
      <c r="Y49" s="206"/>
      <c r="Z49" s="206"/>
      <c r="AA49" s="238"/>
    </row>
    <row r="50" spans="1:27" ht="36" customHeight="1" x14ac:dyDescent="0.2">
      <c r="A50" s="204"/>
      <c r="B50" s="212"/>
      <c r="C50" s="217"/>
      <c r="D50" s="205"/>
      <c r="E50" s="218"/>
      <c r="F50" s="220"/>
      <c r="G50" s="217"/>
      <c r="H50" s="205"/>
      <c r="I50" s="205"/>
      <c r="J50" s="218"/>
      <c r="K50" s="226"/>
      <c r="L50" s="204"/>
      <c r="M50" s="205"/>
      <c r="N50" s="229"/>
      <c r="O50" s="226"/>
      <c r="P50" s="204"/>
      <c r="Q50" s="205"/>
      <c r="R50" s="218"/>
      <c r="S50" s="226"/>
      <c r="T50" s="218"/>
      <c r="U50" s="223"/>
      <c r="V50" s="232"/>
      <c r="W50" s="237"/>
      <c r="X50" s="206"/>
      <c r="Y50" s="206"/>
      <c r="Z50" s="206"/>
      <c r="AA50" s="238"/>
    </row>
    <row r="51" spans="1:27" ht="36" customHeight="1" x14ac:dyDescent="0.2">
      <c r="A51" s="204"/>
      <c r="B51" s="212"/>
      <c r="C51" s="217"/>
      <c r="D51" s="205"/>
      <c r="E51" s="218"/>
      <c r="F51" s="220"/>
      <c r="G51" s="217"/>
      <c r="H51" s="205"/>
      <c r="I51" s="205"/>
      <c r="J51" s="218"/>
      <c r="K51" s="226"/>
      <c r="L51" s="204"/>
      <c r="M51" s="205"/>
      <c r="N51" s="229"/>
      <c r="O51" s="226"/>
      <c r="P51" s="204"/>
      <c r="Q51" s="205"/>
      <c r="R51" s="218"/>
      <c r="S51" s="226"/>
      <c r="T51" s="218"/>
      <c r="U51" s="223"/>
      <c r="V51" s="232"/>
      <c r="W51" s="237"/>
      <c r="X51" s="206"/>
      <c r="Y51" s="206"/>
      <c r="Z51" s="206"/>
      <c r="AA51" s="238"/>
    </row>
    <row r="52" spans="1:27" ht="36" customHeight="1" x14ac:dyDescent="0.2">
      <c r="A52" s="204"/>
      <c r="B52" s="212"/>
      <c r="C52" s="217"/>
      <c r="D52" s="205"/>
      <c r="E52" s="218"/>
      <c r="F52" s="220"/>
      <c r="G52" s="217"/>
      <c r="H52" s="205"/>
      <c r="I52" s="205"/>
      <c r="J52" s="218"/>
      <c r="K52" s="226"/>
      <c r="L52" s="204"/>
      <c r="M52" s="205"/>
      <c r="N52" s="229"/>
      <c r="O52" s="226"/>
      <c r="P52" s="204"/>
      <c r="Q52" s="205"/>
      <c r="R52" s="218"/>
      <c r="S52" s="226"/>
      <c r="T52" s="218"/>
      <c r="U52" s="223"/>
      <c r="V52" s="232"/>
      <c r="W52" s="237"/>
      <c r="X52" s="206"/>
      <c r="Y52" s="206"/>
      <c r="Z52" s="206"/>
      <c r="AA52" s="238"/>
    </row>
    <row r="53" spans="1:27" ht="36" customHeight="1" x14ac:dyDescent="0.2">
      <c r="A53" s="204"/>
      <c r="B53" s="212"/>
      <c r="C53" s="217"/>
      <c r="D53" s="205"/>
      <c r="E53" s="218"/>
      <c r="F53" s="220"/>
      <c r="G53" s="217"/>
      <c r="H53" s="205"/>
      <c r="I53" s="205"/>
      <c r="J53" s="218"/>
      <c r="K53" s="226"/>
      <c r="L53" s="204"/>
      <c r="M53" s="205"/>
      <c r="N53" s="229"/>
      <c r="O53" s="226"/>
      <c r="P53" s="204"/>
      <c r="Q53" s="205"/>
      <c r="R53" s="218"/>
      <c r="S53" s="226"/>
      <c r="T53" s="218"/>
      <c r="U53" s="223"/>
      <c r="V53" s="232"/>
      <c r="W53" s="237"/>
      <c r="X53" s="206"/>
      <c r="Y53" s="206"/>
      <c r="Z53" s="206"/>
      <c r="AA53" s="238"/>
    </row>
    <row r="54" spans="1:27" ht="36" customHeight="1" x14ac:dyDescent="0.2">
      <c r="A54" s="204"/>
      <c r="B54" s="212"/>
      <c r="C54" s="217"/>
      <c r="D54" s="205"/>
      <c r="E54" s="218"/>
      <c r="F54" s="220"/>
      <c r="G54" s="217"/>
      <c r="H54" s="205"/>
      <c r="I54" s="205"/>
      <c r="J54" s="218"/>
      <c r="K54" s="226"/>
      <c r="L54" s="204"/>
      <c r="M54" s="205"/>
      <c r="N54" s="229"/>
      <c r="O54" s="226"/>
      <c r="P54" s="204"/>
      <c r="Q54" s="205"/>
      <c r="R54" s="218"/>
      <c r="S54" s="226"/>
      <c r="T54" s="218"/>
      <c r="U54" s="223"/>
      <c r="V54" s="232"/>
      <c r="W54" s="237"/>
      <c r="X54" s="206"/>
      <c r="Y54" s="206"/>
      <c r="Z54" s="206"/>
      <c r="AA54" s="238"/>
    </row>
    <row r="55" spans="1:27" ht="36" customHeight="1" x14ac:dyDescent="0.2">
      <c r="A55" s="204"/>
      <c r="B55" s="212"/>
      <c r="C55" s="217"/>
      <c r="D55" s="205"/>
      <c r="E55" s="218"/>
      <c r="F55" s="220"/>
      <c r="G55" s="217"/>
      <c r="H55" s="205"/>
      <c r="I55" s="205"/>
      <c r="J55" s="218"/>
      <c r="K55" s="226"/>
      <c r="L55" s="204"/>
      <c r="M55" s="205"/>
      <c r="N55" s="229"/>
      <c r="O55" s="226"/>
      <c r="P55" s="204"/>
      <c r="Q55" s="205"/>
      <c r="R55" s="218"/>
      <c r="S55" s="226"/>
      <c r="T55" s="218"/>
      <c r="U55" s="223"/>
      <c r="V55" s="232"/>
      <c r="W55" s="237"/>
      <c r="X55" s="206"/>
      <c r="Y55" s="206"/>
      <c r="Z55" s="206"/>
      <c r="AA55" s="238"/>
    </row>
    <row r="56" spans="1:27" ht="36" customHeight="1" x14ac:dyDescent="0.2">
      <c r="A56" s="204"/>
      <c r="B56" s="212"/>
      <c r="C56" s="217"/>
      <c r="D56" s="205"/>
      <c r="E56" s="218"/>
      <c r="F56" s="220"/>
      <c r="G56" s="217"/>
      <c r="H56" s="205"/>
      <c r="I56" s="205"/>
      <c r="J56" s="218"/>
      <c r="K56" s="226"/>
      <c r="L56" s="204"/>
      <c r="M56" s="205"/>
      <c r="N56" s="229"/>
      <c r="O56" s="226"/>
      <c r="P56" s="204"/>
      <c r="Q56" s="205"/>
      <c r="R56" s="218"/>
      <c r="S56" s="226"/>
      <c r="T56" s="218"/>
      <c r="U56" s="223"/>
      <c r="V56" s="232"/>
      <c r="W56" s="237"/>
      <c r="X56" s="206"/>
      <c r="Y56" s="206"/>
      <c r="Z56" s="206"/>
      <c r="AA56" s="238"/>
    </row>
    <row r="57" spans="1:27" ht="36" customHeight="1" x14ac:dyDescent="0.2">
      <c r="A57" s="204"/>
      <c r="B57" s="212"/>
      <c r="C57" s="217"/>
      <c r="D57" s="205"/>
      <c r="E57" s="218"/>
      <c r="F57" s="220"/>
      <c r="G57" s="217"/>
      <c r="H57" s="205"/>
      <c r="I57" s="205"/>
      <c r="J57" s="218"/>
      <c r="K57" s="226"/>
      <c r="L57" s="204"/>
      <c r="M57" s="205"/>
      <c r="N57" s="229"/>
      <c r="O57" s="226"/>
      <c r="P57" s="204"/>
      <c r="Q57" s="205"/>
      <c r="R57" s="218"/>
      <c r="S57" s="226"/>
      <c r="T57" s="218"/>
      <c r="U57" s="223"/>
      <c r="V57" s="232"/>
      <c r="W57" s="237"/>
      <c r="X57" s="206"/>
      <c r="Y57" s="206"/>
      <c r="Z57" s="206"/>
      <c r="AA57" s="238"/>
    </row>
    <row r="58" spans="1:27" ht="36" customHeight="1" x14ac:dyDescent="0.2">
      <c r="A58" s="204"/>
      <c r="B58" s="212"/>
      <c r="C58" s="217"/>
      <c r="D58" s="205"/>
      <c r="E58" s="218"/>
      <c r="F58" s="220"/>
      <c r="G58" s="217"/>
      <c r="H58" s="205"/>
      <c r="I58" s="205"/>
      <c r="J58" s="218"/>
      <c r="K58" s="226"/>
      <c r="L58" s="204"/>
      <c r="M58" s="205"/>
      <c r="N58" s="229"/>
      <c r="O58" s="226"/>
      <c r="P58" s="204"/>
      <c r="Q58" s="205"/>
      <c r="R58" s="218"/>
      <c r="S58" s="226"/>
      <c r="T58" s="218"/>
      <c r="U58" s="223"/>
      <c r="V58" s="232"/>
      <c r="W58" s="237"/>
      <c r="X58" s="206"/>
      <c r="Y58" s="206"/>
      <c r="Z58" s="206"/>
      <c r="AA58" s="238"/>
    </row>
    <row r="59" spans="1:27" ht="36" customHeight="1" x14ac:dyDescent="0.2">
      <c r="A59" s="204"/>
      <c r="B59" s="212"/>
      <c r="C59" s="217"/>
      <c r="D59" s="205"/>
      <c r="E59" s="218"/>
      <c r="F59" s="220"/>
      <c r="G59" s="217"/>
      <c r="H59" s="205"/>
      <c r="I59" s="205"/>
      <c r="J59" s="218"/>
      <c r="K59" s="223"/>
      <c r="L59" s="204"/>
      <c r="M59" s="205"/>
      <c r="N59" s="229"/>
      <c r="O59" s="226"/>
      <c r="P59" s="204"/>
      <c r="Q59" s="205"/>
      <c r="R59" s="218"/>
      <c r="S59" s="226"/>
      <c r="T59" s="218"/>
      <c r="U59" s="223"/>
      <c r="V59" s="232"/>
      <c r="W59" s="237"/>
      <c r="X59" s="206"/>
      <c r="Y59" s="206"/>
      <c r="Z59" s="206"/>
      <c r="AA59" s="238"/>
    </row>
  </sheetData>
  <sheetProtection algorithmName="SHA-512" hashValue="04Y3IrXEl4sDSwCkWzCykAwfcwoI6WW96wK8OXgb90e3DEqc9fVkJqPe7jmHPA+NCTZGTFc/EzouRNZUGPSQTg==" saltValue="fn6ZUZIkdzSa5IBzGYlbtQ==" spinCount="100000" sheet="1" objects="1" scenarios="1"/>
  <dataConsolidate/>
  <mergeCells count="8">
    <mergeCell ref="K2:N2"/>
    <mergeCell ref="O2:R2"/>
    <mergeCell ref="S2:T2"/>
    <mergeCell ref="F2:F3"/>
    <mergeCell ref="A2:A3"/>
    <mergeCell ref="B2:B3"/>
    <mergeCell ref="G2:J2"/>
    <mergeCell ref="C2:E2"/>
  </mergeCells>
  <phoneticPr fontId="0" type="noConversion"/>
  <conditionalFormatting sqref="A5:AA59">
    <cfRule type="expression" dxfId="1" priority="2" stopIfTrue="1">
      <formula>MOD(ROW(),2)=0</formula>
    </cfRule>
  </conditionalFormatting>
  <dataValidations count="4">
    <dataValidation type="whole" allowBlank="1" showInputMessage="1" showErrorMessage="1" errorTitle="Basic Weight" error="Please enter a valid whole number." promptTitle="Basic Weight" prompt="Enter the aircraft's basic empty weight in pounds." sqref="W4:Y4" xr:uid="{00000000-0002-0000-0700-000000000000}">
      <formula1>1</formula1>
      <formula2>100000</formula2>
    </dataValidation>
    <dataValidation type="whole" allowBlank="1" showInputMessage="1" showErrorMessage="1" errorTitle="Takeoff Weight" error="Please enter a valid whole number." promptTitle="Takeoff Weight" prompt="Enter the aircraft's maximum takeoff weight in pounds." sqref="Z4" xr:uid="{00000000-0002-0000-0700-000001000000}">
      <formula1>1</formula1>
      <formula2>100000</formula2>
    </dataValidation>
    <dataValidation type="decimal" allowBlank="1" showInputMessage="1" showErrorMessage="1" errorTitle="Arm Distance" error="Enter a valid decimal number in inches." promptTitle="Aircraft Arm Distance" prompt="Enter the arm value" sqref="AA4" xr:uid="{00000000-0002-0000-0700-000002000000}">
      <formula1>1</formula1>
      <formula2>1000</formula2>
    </dataValidation>
    <dataValidation allowBlank="1" showInputMessage="1" showErrorMessage="1" promptTitle="Reserved" prompt="These are reserved for future expansion." sqref="W5:AA59" xr:uid="{00000000-0002-0000-0700-000003000000}"/>
  </dataValidations>
  <pageMargins left="0.19685039370078741" right="0.19685039370078741" top="0.31496062992125984" bottom="0.31496062992125984" header="0.19685039370078741" footer="0.19685039370078741"/>
  <pageSetup paperSize="9" scale="38" fitToHeight="0" orientation="landscape" r:id="rId1"/>
  <headerFooter alignWithMargins="0"/>
  <extLst>
    <ext xmlns:mx="http://schemas.microsoft.com/office/mac/excel/2008/main" uri="{64002731-A6B0-56B0-2670-7721B7C09600}">
      <mx:PLV Mode="0"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pageSetUpPr fitToPage="1"/>
  </sheetPr>
  <dimension ref="A1:AT92"/>
  <sheetViews>
    <sheetView showGridLines="0" showRowColHeaders="0" zoomScale="87" zoomScaleNormal="87" zoomScalePageLayoutView="75" workbookViewId="0"/>
  </sheetViews>
  <sheetFormatPr baseColWidth="10" defaultColWidth="0" defaultRowHeight="14" x14ac:dyDescent="0.2"/>
  <cols>
    <col min="1" max="1" width="8" style="6" customWidth="1"/>
    <col min="2" max="2" width="18.59765625" style="6" customWidth="1"/>
    <col min="3" max="3" width="11" style="6" customWidth="1"/>
    <col min="4" max="4" width="12.3984375" style="6" customWidth="1"/>
    <col min="5" max="6" width="9.59765625" style="7" customWidth="1"/>
    <col min="7" max="9" width="9.59765625" style="8" customWidth="1"/>
    <col min="10" max="10" width="10.59765625" style="8" customWidth="1"/>
    <col min="11" max="11" width="10.796875" style="8" customWidth="1"/>
    <col min="12" max="12" width="9.59765625" style="8" customWidth="1"/>
    <col min="13" max="14" width="9.796875" style="8" customWidth="1"/>
    <col min="15" max="26" width="6.3984375" style="6" customWidth="1"/>
    <col min="27" max="31" width="3.3984375" style="6" customWidth="1"/>
    <col min="32" max="32" width="9.3984375" style="6" hidden="1" customWidth="1"/>
    <col min="33" max="46" width="0" style="6" hidden="1" customWidth="1"/>
    <col min="47" max="16384" width="9" style="6" hidden="1"/>
  </cols>
  <sheetData>
    <row r="1" spans="1:46" ht="21" x14ac:dyDescent="0.3">
      <c r="A1" s="186" t="s">
        <v>229</v>
      </c>
      <c r="B1" s="187"/>
      <c r="C1" s="187"/>
      <c r="D1" s="187"/>
      <c r="E1" s="187"/>
      <c r="F1" s="187"/>
      <c r="G1" s="187"/>
      <c r="H1" s="187"/>
      <c r="I1" s="187"/>
      <c r="J1" s="187"/>
      <c r="K1" s="187"/>
      <c r="L1" s="187"/>
      <c r="M1" s="187"/>
      <c r="N1" s="187"/>
      <c r="O1" s="187"/>
      <c r="P1" s="187"/>
      <c r="Q1" s="187"/>
      <c r="R1" s="187"/>
      <c r="S1" s="187"/>
      <c r="T1" s="187"/>
      <c r="U1" s="187"/>
      <c r="V1" s="187"/>
      <c r="W1" s="187"/>
      <c r="X1" s="187"/>
      <c r="Y1" s="187"/>
      <c r="Z1" s="187"/>
      <c r="AA1" s="187"/>
      <c r="AB1" s="187"/>
      <c r="AC1" s="187"/>
      <c r="AD1" s="187"/>
      <c r="AE1" s="187"/>
    </row>
    <row r="2" spans="1:46" x14ac:dyDescent="0.2">
      <c r="A2" s="451" t="s">
        <v>294</v>
      </c>
      <c r="B2" s="455" t="s">
        <v>230</v>
      </c>
      <c r="C2" s="451" t="s">
        <v>295</v>
      </c>
      <c r="D2" s="457" t="s">
        <v>296</v>
      </c>
      <c r="E2" s="452" t="s">
        <v>297</v>
      </c>
      <c r="F2" s="453" t="s">
        <v>298</v>
      </c>
      <c r="G2" s="448" t="s">
        <v>231</v>
      </c>
      <c r="H2" s="449"/>
      <c r="I2" s="449"/>
      <c r="J2" s="449"/>
      <c r="K2" s="449"/>
      <c r="L2" s="450"/>
      <c r="M2" s="454" t="s">
        <v>299</v>
      </c>
      <c r="N2" s="443" t="s">
        <v>111</v>
      </c>
      <c r="O2" s="445" t="s">
        <v>232</v>
      </c>
      <c r="P2" s="446"/>
      <c r="Q2" s="446"/>
      <c r="R2" s="446"/>
      <c r="S2" s="446"/>
      <c r="T2" s="446"/>
      <c r="U2" s="446"/>
      <c r="V2" s="446"/>
      <c r="W2" s="446"/>
      <c r="X2" s="446"/>
      <c r="Y2" s="446"/>
      <c r="Z2" s="447"/>
      <c r="AA2" s="259" t="s">
        <v>219</v>
      </c>
      <c r="AB2" s="196"/>
      <c r="AC2" s="196"/>
      <c r="AD2" s="197"/>
      <c r="AE2" s="260"/>
    </row>
    <row r="3" spans="1:46" s="9" customFormat="1" ht="16.5" customHeight="1" x14ac:dyDescent="0.2">
      <c r="A3" s="451"/>
      <c r="B3" s="456"/>
      <c r="C3" s="451"/>
      <c r="D3" s="458"/>
      <c r="E3" s="452"/>
      <c r="F3" s="453"/>
      <c r="G3" s="251" t="s">
        <v>233</v>
      </c>
      <c r="H3" s="188" t="s">
        <v>234</v>
      </c>
      <c r="I3" s="188" t="s">
        <v>235</v>
      </c>
      <c r="J3" s="188" t="s">
        <v>236</v>
      </c>
      <c r="K3" s="188" t="s">
        <v>237</v>
      </c>
      <c r="L3" s="252" t="s">
        <v>32</v>
      </c>
      <c r="M3" s="454"/>
      <c r="N3" s="444"/>
      <c r="O3" s="261">
        <v>0</v>
      </c>
      <c r="P3" s="189">
        <v>30</v>
      </c>
      <c r="Q3" s="189">
        <v>60</v>
      </c>
      <c r="R3" s="189">
        <v>90</v>
      </c>
      <c r="S3" s="189">
        <v>120</v>
      </c>
      <c r="T3" s="189">
        <v>150</v>
      </c>
      <c r="U3" s="189">
        <v>180</v>
      </c>
      <c r="V3" s="189">
        <v>210</v>
      </c>
      <c r="W3" s="189">
        <v>240</v>
      </c>
      <c r="X3" s="189">
        <v>270</v>
      </c>
      <c r="Y3" s="189">
        <v>300</v>
      </c>
      <c r="Z3" s="262">
        <v>330</v>
      </c>
      <c r="AA3" s="261" t="s">
        <v>224</v>
      </c>
      <c r="AB3" s="189" t="s">
        <v>225</v>
      </c>
      <c r="AC3" s="189" t="s">
        <v>226</v>
      </c>
      <c r="AD3" s="189" t="s">
        <v>227</v>
      </c>
      <c r="AE3" s="262" t="s">
        <v>228</v>
      </c>
    </row>
    <row r="4" spans="1:46" s="26" customFormat="1" ht="1.5" customHeight="1" x14ac:dyDescent="0.2">
      <c r="A4" s="190"/>
      <c r="B4" s="190"/>
      <c r="C4" s="190"/>
      <c r="D4" s="243"/>
      <c r="E4" s="245"/>
      <c r="F4" s="246"/>
      <c r="G4" s="253"/>
      <c r="H4" s="191"/>
      <c r="I4" s="191"/>
      <c r="J4" s="191"/>
      <c r="K4" s="191"/>
      <c r="L4" s="254"/>
      <c r="M4" s="249"/>
      <c r="N4" s="257"/>
      <c r="O4" s="263"/>
      <c r="P4" s="192"/>
      <c r="Q4" s="192"/>
      <c r="R4" s="192"/>
      <c r="S4" s="192"/>
      <c r="T4" s="192"/>
      <c r="U4" s="192"/>
      <c r="V4" s="192"/>
      <c r="W4" s="192"/>
      <c r="X4" s="192"/>
      <c r="Y4" s="192"/>
      <c r="Z4" s="264"/>
      <c r="AA4" s="263"/>
      <c r="AB4" s="192"/>
      <c r="AC4" s="192"/>
      <c r="AD4" s="192"/>
      <c r="AE4" s="264"/>
      <c r="AF4" s="6"/>
      <c r="AG4" s="6"/>
      <c r="AH4" s="6"/>
      <c r="AI4" s="6"/>
      <c r="AJ4" s="6"/>
      <c r="AK4" s="6"/>
      <c r="AL4" s="6"/>
      <c r="AM4" s="6"/>
      <c r="AN4" s="6"/>
      <c r="AO4" s="6"/>
      <c r="AP4" s="6"/>
      <c r="AQ4" s="6"/>
      <c r="AR4" s="6"/>
      <c r="AS4" s="6"/>
      <c r="AT4" s="6"/>
    </row>
    <row r="5" spans="1:46" s="11" customFormat="1" ht="15" x14ac:dyDescent="0.2">
      <c r="A5" s="193" t="s">
        <v>241</v>
      </c>
      <c r="B5" s="193" t="s">
        <v>238</v>
      </c>
      <c r="C5" s="193" t="s">
        <v>239</v>
      </c>
      <c r="D5" s="244" t="s">
        <v>240</v>
      </c>
      <c r="E5" s="247">
        <v>1639</v>
      </c>
      <c r="F5" s="248">
        <v>2450</v>
      </c>
      <c r="G5" s="255">
        <v>39.25</v>
      </c>
      <c r="H5" s="194">
        <v>37</v>
      </c>
      <c r="I5" s="194">
        <v>73</v>
      </c>
      <c r="J5" s="194">
        <v>95</v>
      </c>
      <c r="K5" s="194">
        <v>123</v>
      </c>
      <c r="L5" s="256">
        <v>48</v>
      </c>
      <c r="M5" s="250">
        <v>53</v>
      </c>
      <c r="N5" s="258">
        <v>3</v>
      </c>
      <c r="O5" s="265">
        <v>359</v>
      </c>
      <c r="P5" s="195">
        <v>31</v>
      </c>
      <c r="Q5" s="195">
        <v>59</v>
      </c>
      <c r="R5" s="195">
        <v>92</v>
      </c>
      <c r="S5" s="195">
        <v>122</v>
      </c>
      <c r="T5" s="195">
        <v>148</v>
      </c>
      <c r="U5" s="195">
        <v>179</v>
      </c>
      <c r="V5" s="195">
        <v>210</v>
      </c>
      <c r="W5" s="195">
        <v>243</v>
      </c>
      <c r="X5" s="195">
        <v>272</v>
      </c>
      <c r="Y5" s="195">
        <v>301</v>
      </c>
      <c r="Z5" s="266">
        <v>229</v>
      </c>
      <c r="AA5" s="265"/>
      <c r="AB5" s="195"/>
      <c r="AC5" s="195"/>
      <c r="AD5" s="195"/>
      <c r="AE5" s="266"/>
    </row>
    <row r="6" spans="1:46" s="11" customFormat="1" x14ac:dyDescent="0.2">
      <c r="A6" s="193"/>
      <c r="B6" s="193"/>
      <c r="C6" s="193"/>
      <c r="D6" s="244"/>
      <c r="E6" s="247"/>
      <c r="F6" s="248"/>
      <c r="G6" s="255"/>
      <c r="H6" s="194"/>
      <c r="I6" s="194"/>
      <c r="J6" s="194"/>
      <c r="K6" s="194"/>
      <c r="L6" s="256"/>
      <c r="M6" s="250"/>
      <c r="N6" s="258"/>
      <c r="O6" s="265"/>
      <c r="P6" s="195"/>
      <c r="Q6" s="195"/>
      <c r="R6" s="195"/>
      <c r="S6" s="195"/>
      <c r="T6" s="195"/>
      <c r="U6" s="195"/>
      <c r="V6" s="195"/>
      <c r="W6" s="195"/>
      <c r="X6" s="195"/>
      <c r="Y6" s="195"/>
      <c r="Z6" s="266"/>
      <c r="AA6" s="265"/>
      <c r="AB6" s="195"/>
      <c r="AC6" s="195"/>
      <c r="AD6" s="195"/>
      <c r="AE6" s="266"/>
    </row>
    <row r="7" spans="1:46" s="11" customFormat="1" x14ac:dyDescent="0.2">
      <c r="A7" s="193"/>
      <c r="B7" s="193"/>
      <c r="C7" s="193"/>
      <c r="D7" s="244"/>
      <c r="E7" s="247"/>
      <c r="F7" s="248"/>
      <c r="G7" s="255"/>
      <c r="H7" s="194"/>
      <c r="I7" s="194"/>
      <c r="J7" s="194"/>
      <c r="K7" s="194"/>
      <c r="L7" s="256"/>
      <c r="M7" s="250"/>
      <c r="N7" s="258"/>
      <c r="O7" s="265"/>
      <c r="P7" s="195"/>
      <c r="Q7" s="195"/>
      <c r="R7" s="195"/>
      <c r="S7" s="195"/>
      <c r="T7" s="195"/>
      <c r="U7" s="195"/>
      <c r="V7" s="195"/>
      <c r="W7" s="195"/>
      <c r="X7" s="195"/>
      <c r="Y7" s="195"/>
      <c r="Z7" s="266"/>
      <c r="AA7" s="265"/>
      <c r="AB7" s="195"/>
      <c r="AC7" s="195"/>
      <c r="AD7" s="195"/>
      <c r="AE7" s="266"/>
    </row>
    <row r="8" spans="1:46" s="11" customFormat="1" x14ac:dyDescent="0.2">
      <c r="A8" s="193"/>
      <c r="B8" s="193"/>
      <c r="C8" s="193"/>
      <c r="D8" s="244"/>
      <c r="E8" s="247"/>
      <c r="F8" s="248"/>
      <c r="G8" s="255"/>
      <c r="H8" s="194"/>
      <c r="I8" s="194"/>
      <c r="J8" s="194"/>
      <c r="K8" s="194"/>
      <c r="L8" s="256"/>
      <c r="M8" s="250"/>
      <c r="N8" s="258"/>
      <c r="O8" s="265"/>
      <c r="P8" s="195"/>
      <c r="Q8" s="195"/>
      <c r="R8" s="195"/>
      <c r="S8" s="195"/>
      <c r="T8" s="195"/>
      <c r="U8" s="195"/>
      <c r="V8" s="195"/>
      <c r="W8" s="195"/>
      <c r="X8" s="195"/>
      <c r="Y8" s="195"/>
      <c r="Z8" s="266"/>
      <c r="AA8" s="265"/>
      <c r="AB8" s="195"/>
      <c r="AC8" s="195"/>
      <c r="AD8" s="195"/>
      <c r="AE8" s="266"/>
    </row>
    <row r="9" spans="1:46" s="11" customFormat="1" x14ac:dyDescent="0.2">
      <c r="A9" s="193"/>
      <c r="B9" s="193"/>
      <c r="C9" s="193"/>
      <c r="D9" s="244"/>
      <c r="E9" s="247"/>
      <c r="F9" s="248"/>
      <c r="G9" s="255"/>
      <c r="H9" s="194"/>
      <c r="I9" s="194"/>
      <c r="J9" s="194"/>
      <c r="K9" s="194"/>
      <c r="L9" s="256"/>
      <c r="M9" s="250"/>
      <c r="N9" s="258"/>
      <c r="O9" s="265"/>
      <c r="P9" s="195"/>
      <c r="Q9" s="195"/>
      <c r="R9" s="195"/>
      <c r="S9" s="195"/>
      <c r="T9" s="195"/>
      <c r="U9" s="195"/>
      <c r="V9" s="195"/>
      <c r="W9" s="195"/>
      <c r="X9" s="195"/>
      <c r="Y9" s="195"/>
      <c r="Z9" s="266"/>
      <c r="AA9" s="265"/>
      <c r="AB9" s="195"/>
      <c r="AC9" s="195"/>
      <c r="AD9" s="195"/>
      <c r="AE9" s="266"/>
    </row>
    <row r="10" spans="1:46" s="11" customFormat="1" x14ac:dyDescent="0.2">
      <c r="A10" s="193"/>
      <c r="B10" s="193"/>
      <c r="C10" s="193"/>
      <c r="D10" s="244"/>
      <c r="E10" s="247"/>
      <c r="F10" s="248"/>
      <c r="G10" s="255"/>
      <c r="H10" s="194"/>
      <c r="I10" s="194"/>
      <c r="J10" s="194"/>
      <c r="K10" s="194"/>
      <c r="L10" s="256"/>
      <c r="M10" s="250"/>
      <c r="N10" s="258"/>
      <c r="O10" s="265"/>
      <c r="P10" s="195"/>
      <c r="Q10" s="195"/>
      <c r="R10" s="195"/>
      <c r="S10" s="195"/>
      <c r="T10" s="195"/>
      <c r="U10" s="195"/>
      <c r="V10" s="195"/>
      <c r="W10" s="195"/>
      <c r="X10" s="195"/>
      <c r="Y10" s="195"/>
      <c r="Z10" s="266"/>
      <c r="AA10" s="265"/>
      <c r="AB10" s="195"/>
      <c r="AC10" s="195"/>
      <c r="AD10" s="195"/>
      <c r="AE10" s="266"/>
    </row>
    <row r="11" spans="1:46" s="11" customFormat="1" x14ac:dyDescent="0.2">
      <c r="A11" s="193"/>
      <c r="B11" s="193"/>
      <c r="C11" s="193"/>
      <c r="D11" s="244"/>
      <c r="E11" s="247"/>
      <c r="F11" s="248"/>
      <c r="G11" s="255"/>
      <c r="H11" s="194"/>
      <c r="I11" s="194"/>
      <c r="J11" s="194"/>
      <c r="K11" s="194"/>
      <c r="L11" s="256"/>
      <c r="M11" s="250"/>
      <c r="N11" s="258"/>
      <c r="O11" s="265"/>
      <c r="P11" s="195"/>
      <c r="Q11" s="195"/>
      <c r="R11" s="195"/>
      <c r="S11" s="195"/>
      <c r="T11" s="195"/>
      <c r="U11" s="195"/>
      <c r="V11" s="195"/>
      <c r="W11" s="195"/>
      <c r="X11" s="195"/>
      <c r="Y11" s="195"/>
      <c r="Z11" s="266"/>
      <c r="AA11" s="265"/>
      <c r="AB11" s="195"/>
      <c r="AC11" s="195"/>
      <c r="AD11" s="195"/>
      <c r="AE11" s="266"/>
    </row>
    <row r="12" spans="1:46" s="11" customFormat="1" x14ac:dyDescent="0.2">
      <c r="A12" s="193"/>
      <c r="B12" s="193"/>
      <c r="C12" s="193"/>
      <c r="D12" s="244"/>
      <c r="E12" s="247"/>
      <c r="F12" s="248"/>
      <c r="G12" s="255"/>
      <c r="H12" s="194"/>
      <c r="I12" s="194"/>
      <c r="J12" s="194"/>
      <c r="K12" s="194"/>
      <c r="L12" s="256"/>
      <c r="M12" s="250"/>
      <c r="N12" s="258"/>
      <c r="O12" s="265"/>
      <c r="P12" s="195"/>
      <c r="Q12" s="195"/>
      <c r="R12" s="195"/>
      <c r="S12" s="195"/>
      <c r="T12" s="195"/>
      <c r="U12" s="195"/>
      <c r="V12" s="195"/>
      <c r="W12" s="195"/>
      <c r="X12" s="195"/>
      <c r="Y12" s="195"/>
      <c r="Z12" s="266"/>
      <c r="AA12" s="265"/>
      <c r="AB12" s="195"/>
      <c r="AC12" s="195"/>
      <c r="AD12" s="195"/>
      <c r="AE12" s="266"/>
    </row>
    <row r="13" spans="1:46" s="11" customFormat="1" x14ac:dyDescent="0.2">
      <c r="A13" s="193"/>
      <c r="B13" s="193"/>
      <c r="C13" s="193"/>
      <c r="D13" s="244"/>
      <c r="E13" s="247"/>
      <c r="F13" s="248"/>
      <c r="G13" s="255"/>
      <c r="H13" s="194"/>
      <c r="I13" s="194"/>
      <c r="J13" s="194"/>
      <c r="K13" s="194"/>
      <c r="L13" s="256"/>
      <c r="M13" s="250"/>
      <c r="N13" s="258"/>
      <c r="O13" s="265"/>
      <c r="P13" s="195"/>
      <c r="Q13" s="195"/>
      <c r="R13" s="195"/>
      <c r="S13" s="195"/>
      <c r="T13" s="195"/>
      <c r="U13" s="195"/>
      <c r="V13" s="195"/>
      <c r="W13" s="195"/>
      <c r="X13" s="195"/>
      <c r="Y13" s="195"/>
      <c r="Z13" s="266"/>
      <c r="AA13" s="265"/>
      <c r="AB13" s="195"/>
      <c r="AC13" s="195"/>
      <c r="AD13" s="195"/>
      <c r="AE13" s="266"/>
    </row>
    <row r="14" spans="1:46" s="11" customFormat="1" x14ac:dyDescent="0.2">
      <c r="A14" s="193"/>
      <c r="B14" s="193"/>
      <c r="C14" s="193"/>
      <c r="D14" s="244"/>
      <c r="E14" s="247"/>
      <c r="F14" s="248"/>
      <c r="G14" s="255"/>
      <c r="H14" s="194"/>
      <c r="I14" s="194"/>
      <c r="J14" s="194"/>
      <c r="K14" s="194"/>
      <c r="L14" s="256"/>
      <c r="M14" s="250"/>
      <c r="N14" s="258"/>
      <c r="O14" s="265"/>
      <c r="P14" s="195"/>
      <c r="Q14" s="195"/>
      <c r="R14" s="195"/>
      <c r="S14" s="195"/>
      <c r="T14" s="195"/>
      <c r="U14" s="195"/>
      <c r="V14" s="195"/>
      <c r="W14" s="195"/>
      <c r="X14" s="195"/>
      <c r="Y14" s="195"/>
      <c r="Z14" s="266"/>
      <c r="AA14" s="265"/>
      <c r="AB14" s="195"/>
      <c r="AC14" s="195"/>
      <c r="AD14" s="195"/>
      <c r="AE14" s="266"/>
    </row>
    <row r="15" spans="1:46" s="11" customFormat="1" x14ac:dyDescent="0.2">
      <c r="A15" s="193"/>
      <c r="B15" s="193"/>
      <c r="C15" s="193"/>
      <c r="D15" s="244"/>
      <c r="E15" s="247"/>
      <c r="F15" s="248"/>
      <c r="G15" s="255"/>
      <c r="H15" s="194"/>
      <c r="I15" s="194"/>
      <c r="J15" s="194"/>
      <c r="K15" s="194"/>
      <c r="L15" s="256"/>
      <c r="M15" s="250"/>
      <c r="N15" s="258"/>
      <c r="O15" s="265"/>
      <c r="P15" s="195"/>
      <c r="Q15" s="195"/>
      <c r="R15" s="195"/>
      <c r="S15" s="195"/>
      <c r="T15" s="195"/>
      <c r="U15" s="195"/>
      <c r="V15" s="195"/>
      <c r="W15" s="195"/>
      <c r="X15" s="195"/>
      <c r="Y15" s="195"/>
      <c r="Z15" s="266"/>
      <c r="AA15" s="265"/>
      <c r="AB15" s="195"/>
      <c r="AC15" s="195"/>
      <c r="AD15" s="195"/>
      <c r="AE15" s="266"/>
    </row>
    <row r="16" spans="1:46" s="11" customFormat="1" x14ac:dyDescent="0.2">
      <c r="A16" s="193"/>
      <c r="B16" s="193"/>
      <c r="C16" s="193"/>
      <c r="D16" s="244"/>
      <c r="E16" s="247"/>
      <c r="F16" s="248"/>
      <c r="G16" s="255"/>
      <c r="H16" s="194"/>
      <c r="I16" s="194"/>
      <c r="J16" s="194"/>
      <c r="K16" s="194"/>
      <c r="L16" s="256"/>
      <c r="M16" s="250"/>
      <c r="N16" s="258"/>
      <c r="O16" s="265"/>
      <c r="P16" s="195"/>
      <c r="Q16" s="195"/>
      <c r="R16" s="195"/>
      <c r="S16" s="195"/>
      <c r="T16" s="195"/>
      <c r="U16" s="195"/>
      <c r="V16" s="195"/>
      <c r="W16" s="195"/>
      <c r="X16" s="195"/>
      <c r="Y16" s="195"/>
      <c r="Z16" s="266"/>
      <c r="AA16" s="265"/>
      <c r="AB16" s="195"/>
      <c r="AC16" s="195"/>
      <c r="AD16" s="195"/>
      <c r="AE16" s="266"/>
    </row>
    <row r="17" spans="1:31" s="11" customFormat="1" x14ac:dyDescent="0.2">
      <c r="A17" s="193"/>
      <c r="B17" s="193"/>
      <c r="C17" s="193"/>
      <c r="D17" s="244"/>
      <c r="E17" s="247"/>
      <c r="F17" s="248"/>
      <c r="G17" s="255"/>
      <c r="H17" s="194"/>
      <c r="I17" s="194"/>
      <c r="J17" s="194"/>
      <c r="K17" s="194"/>
      <c r="L17" s="256"/>
      <c r="M17" s="250"/>
      <c r="N17" s="258"/>
      <c r="O17" s="265"/>
      <c r="P17" s="195"/>
      <c r="Q17" s="195"/>
      <c r="R17" s="195"/>
      <c r="S17" s="195"/>
      <c r="T17" s="195"/>
      <c r="U17" s="195"/>
      <c r="V17" s="195"/>
      <c r="W17" s="195"/>
      <c r="X17" s="195"/>
      <c r="Y17" s="195"/>
      <c r="Z17" s="266"/>
      <c r="AA17" s="265"/>
      <c r="AB17" s="195"/>
      <c r="AC17" s="195"/>
      <c r="AD17" s="195"/>
      <c r="AE17" s="266"/>
    </row>
    <row r="18" spans="1:31" s="11" customFormat="1" x14ac:dyDescent="0.2">
      <c r="A18" s="193"/>
      <c r="B18" s="193"/>
      <c r="C18" s="193"/>
      <c r="D18" s="244"/>
      <c r="E18" s="247"/>
      <c r="F18" s="248"/>
      <c r="G18" s="255"/>
      <c r="H18" s="194"/>
      <c r="I18" s="194"/>
      <c r="J18" s="194"/>
      <c r="K18" s="194"/>
      <c r="L18" s="256"/>
      <c r="M18" s="250"/>
      <c r="N18" s="258"/>
      <c r="O18" s="265"/>
      <c r="P18" s="195"/>
      <c r="Q18" s="195"/>
      <c r="R18" s="195"/>
      <c r="S18" s="195"/>
      <c r="T18" s="195"/>
      <c r="U18" s="195"/>
      <c r="V18" s="195"/>
      <c r="W18" s="195"/>
      <c r="X18" s="195"/>
      <c r="Y18" s="195"/>
      <c r="Z18" s="266"/>
      <c r="AA18" s="265"/>
      <c r="AB18" s="195"/>
      <c r="AC18" s="195"/>
      <c r="AD18" s="195"/>
      <c r="AE18" s="266"/>
    </row>
    <row r="19" spans="1:31" s="11" customFormat="1" x14ac:dyDescent="0.2">
      <c r="A19" s="193"/>
      <c r="B19" s="193"/>
      <c r="C19" s="193"/>
      <c r="D19" s="244"/>
      <c r="E19" s="247"/>
      <c r="F19" s="248"/>
      <c r="G19" s="255"/>
      <c r="H19" s="194"/>
      <c r="I19" s="194"/>
      <c r="J19" s="194"/>
      <c r="K19" s="194"/>
      <c r="L19" s="256"/>
      <c r="M19" s="250"/>
      <c r="N19" s="258"/>
      <c r="O19" s="265"/>
      <c r="P19" s="195"/>
      <c r="Q19" s="195"/>
      <c r="R19" s="195"/>
      <c r="S19" s="195"/>
      <c r="T19" s="195"/>
      <c r="U19" s="195"/>
      <c r="V19" s="195"/>
      <c r="W19" s="195"/>
      <c r="X19" s="195"/>
      <c r="Y19" s="195"/>
      <c r="Z19" s="266"/>
      <c r="AA19" s="265"/>
      <c r="AB19" s="195"/>
      <c r="AC19" s="195"/>
      <c r="AD19" s="195"/>
      <c r="AE19" s="266"/>
    </row>
    <row r="20" spans="1:31" s="11" customFormat="1" x14ac:dyDescent="0.2">
      <c r="A20" s="193"/>
      <c r="B20" s="193"/>
      <c r="C20" s="193"/>
      <c r="D20" s="244"/>
      <c r="E20" s="247"/>
      <c r="F20" s="248"/>
      <c r="G20" s="255"/>
      <c r="H20" s="194"/>
      <c r="I20" s="194"/>
      <c r="J20" s="194"/>
      <c r="K20" s="194"/>
      <c r="L20" s="256"/>
      <c r="M20" s="250"/>
      <c r="N20" s="258"/>
      <c r="O20" s="265"/>
      <c r="P20" s="195"/>
      <c r="Q20" s="195"/>
      <c r="R20" s="195"/>
      <c r="S20" s="195"/>
      <c r="T20" s="195"/>
      <c r="U20" s="195"/>
      <c r="V20" s="195"/>
      <c r="W20" s="195"/>
      <c r="X20" s="195"/>
      <c r="Y20" s="195"/>
      <c r="Z20" s="266"/>
      <c r="AA20" s="265"/>
      <c r="AB20" s="195"/>
      <c r="AC20" s="195"/>
      <c r="AD20" s="195"/>
      <c r="AE20" s="266"/>
    </row>
    <row r="21" spans="1:31" s="11" customFormat="1" x14ac:dyDescent="0.2">
      <c r="A21" s="193"/>
      <c r="B21" s="193"/>
      <c r="C21" s="193"/>
      <c r="D21" s="244"/>
      <c r="E21" s="247"/>
      <c r="F21" s="248"/>
      <c r="G21" s="255"/>
      <c r="H21" s="194"/>
      <c r="I21" s="194"/>
      <c r="J21" s="194"/>
      <c r="K21" s="194"/>
      <c r="L21" s="256"/>
      <c r="M21" s="250"/>
      <c r="N21" s="258"/>
      <c r="O21" s="265"/>
      <c r="P21" s="195"/>
      <c r="Q21" s="195"/>
      <c r="R21" s="195"/>
      <c r="S21" s="195"/>
      <c r="T21" s="195"/>
      <c r="U21" s="195"/>
      <c r="V21" s="195"/>
      <c r="W21" s="195"/>
      <c r="X21" s="195"/>
      <c r="Y21" s="195"/>
      <c r="Z21" s="266"/>
      <c r="AA21" s="265"/>
      <c r="AB21" s="195"/>
      <c r="AC21" s="195"/>
      <c r="AD21" s="195"/>
      <c r="AE21" s="266"/>
    </row>
    <row r="22" spans="1:31" s="11" customFormat="1" x14ac:dyDescent="0.2">
      <c r="A22" s="193"/>
      <c r="B22" s="193"/>
      <c r="C22" s="193"/>
      <c r="D22" s="244"/>
      <c r="E22" s="247"/>
      <c r="F22" s="248"/>
      <c r="G22" s="255"/>
      <c r="H22" s="194"/>
      <c r="I22" s="194"/>
      <c r="J22" s="194"/>
      <c r="K22" s="194"/>
      <c r="L22" s="256"/>
      <c r="M22" s="250"/>
      <c r="N22" s="258"/>
      <c r="O22" s="265"/>
      <c r="P22" s="195"/>
      <c r="Q22" s="195"/>
      <c r="R22" s="195"/>
      <c r="S22" s="195"/>
      <c r="T22" s="195"/>
      <c r="U22" s="195"/>
      <c r="V22" s="195"/>
      <c r="W22" s="195"/>
      <c r="X22" s="195"/>
      <c r="Y22" s="195"/>
      <c r="Z22" s="266"/>
      <c r="AA22" s="265"/>
      <c r="AB22" s="195"/>
      <c r="AC22" s="195"/>
      <c r="AD22" s="195"/>
      <c r="AE22" s="266"/>
    </row>
    <row r="23" spans="1:31" s="11" customFormat="1" x14ac:dyDescent="0.2">
      <c r="A23" s="193"/>
      <c r="B23" s="193"/>
      <c r="C23" s="193"/>
      <c r="D23" s="244"/>
      <c r="E23" s="247"/>
      <c r="F23" s="248"/>
      <c r="G23" s="255"/>
      <c r="H23" s="194"/>
      <c r="I23" s="194"/>
      <c r="J23" s="194"/>
      <c r="K23" s="194"/>
      <c r="L23" s="256"/>
      <c r="M23" s="250"/>
      <c r="N23" s="258"/>
      <c r="O23" s="265"/>
      <c r="P23" s="195"/>
      <c r="Q23" s="195"/>
      <c r="R23" s="195"/>
      <c r="S23" s="195"/>
      <c r="T23" s="195"/>
      <c r="U23" s="195"/>
      <c r="V23" s="195"/>
      <c r="W23" s="195"/>
      <c r="X23" s="195"/>
      <c r="Y23" s="195"/>
      <c r="Z23" s="266"/>
      <c r="AA23" s="265"/>
      <c r="AB23" s="195"/>
      <c r="AC23" s="195"/>
      <c r="AD23" s="195"/>
      <c r="AE23" s="266"/>
    </row>
    <row r="24" spans="1:31" s="11" customFormat="1" x14ac:dyDescent="0.2">
      <c r="A24" s="193"/>
      <c r="B24" s="193"/>
      <c r="C24" s="193"/>
      <c r="D24" s="244"/>
      <c r="E24" s="247"/>
      <c r="F24" s="248"/>
      <c r="G24" s="255"/>
      <c r="H24" s="194"/>
      <c r="I24" s="194"/>
      <c r="J24" s="194"/>
      <c r="K24" s="194"/>
      <c r="L24" s="256"/>
      <c r="M24" s="250"/>
      <c r="N24" s="258"/>
      <c r="O24" s="265"/>
      <c r="P24" s="195"/>
      <c r="Q24" s="195"/>
      <c r="R24" s="195"/>
      <c r="S24" s="195"/>
      <c r="T24" s="195"/>
      <c r="U24" s="195"/>
      <c r="V24" s="195"/>
      <c r="W24" s="195"/>
      <c r="X24" s="195"/>
      <c r="Y24" s="195"/>
      <c r="Z24" s="266"/>
      <c r="AA24" s="265"/>
      <c r="AB24" s="195"/>
      <c r="AC24" s="195"/>
      <c r="AD24" s="195"/>
      <c r="AE24" s="266"/>
    </row>
    <row r="25" spans="1:31" s="11" customFormat="1" x14ac:dyDescent="0.2">
      <c r="A25" s="193"/>
      <c r="B25" s="193"/>
      <c r="C25" s="193"/>
      <c r="D25" s="244"/>
      <c r="E25" s="247"/>
      <c r="F25" s="248"/>
      <c r="G25" s="255"/>
      <c r="H25" s="194"/>
      <c r="I25" s="194"/>
      <c r="J25" s="194"/>
      <c r="K25" s="194"/>
      <c r="L25" s="256"/>
      <c r="M25" s="250"/>
      <c r="N25" s="258"/>
      <c r="O25" s="265"/>
      <c r="P25" s="195"/>
      <c r="Q25" s="195"/>
      <c r="R25" s="195"/>
      <c r="S25" s="195"/>
      <c r="T25" s="195"/>
      <c r="U25" s="195"/>
      <c r="V25" s="195"/>
      <c r="W25" s="195"/>
      <c r="X25" s="195"/>
      <c r="Y25" s="195"/>
      <c r="Z25" s="266"/>
      <c r="AA25" s="265"/>
      <c r="AB25" s="195"/>
      <c r="AC25" s="195"/>
      <c r="AD25" s="195"/>
      <c r="AE25" s="266"/>
    </row>
    <row r="26" spans="1:31" s="11" customFormat="1" x14ac:dyDescent="0.2">
      <c r="A26" s="193"/>
      <c r="B26" s="193"/>
      <c r="C26" s="193"/>
      <c r="D26" s="244"/>
      <c r="E26" s="247"/>
      <c r="F26" s="248"/>
      <c r="G26" s="255"/>
      <c r="H26" s="194"/>
      <c r="I26" s="194"/>
      <c r="J26" s="194"/>
      <c r="K26" s="194"/>
      <c r="L26" s="256"/>
      <c r="M26" s="250"/>
      <c r="N26" s="258"/>
      <c r="O26" s="265"/>
      <c r="P26" s="195"/>
      <c r="Q26" s="195"/>
      <c r="R26" s="195"/>
      <c r="S26" s="195"/>
      <c r="T26" s="195"/>
      <c r="U26" s="195"/>
      <c r="V26" s="195"/>
      <c r="W26" s="195"/>
      <c r="X26" s="195"/>
      <c r="Y26" s="195"/>
      <c r="Z26" s="266"/>
      <c r="AA26" s="265"/>
      <c r="AB26" s="195"/>
      <c r="AC26" s="195"/>
      <c r="AD26" s="195"/>
      <c r="AE26" s="266"/>
    </row>
    <row r="27" spans="1:31" s="11" customFormat="1" x14ac:dyDescent="0.2">
      <c r="A27" s="193"/>
      <c r="B27" s="193"/>
      <c r="C27" s="193"/>
      <c r="D27" s="244"/>
      <c r="E27" s="247"/>
      <c r="F27" s="248"/>
      <c r="G27" s="255"/>
      <c r="H27" s="194"/>
      <c r="I27" s="194"/>
      <c r="J27" s="194"/>
      <c r="K27" s="194"/>
      <c r="L27" s="256"/>
      <c r="M27" s="250"/>
      <c r="N27" s="258"/>
      <c r="O27" s="265"/>
      <c r="P27" s="195"/>
      <c r="Q27" s="195"/>
      <c r="R27" s="195"/>
      <c r="S27" s="195"/>
      <c r="T27" s="195"/>
      <c r="U27" s="195"/>
      <c r="V27" s="195"/>
      <c r="W27" s="195"/>
      <c r="X27" s="195"/>
      <c r="Y27" s="195"/>
      <c r="Z27" s="266"/>
      <c r="AA27" s="265"/>
      <c r="AB27" s="195"/>
      <c r="AC27" s="195"/>
      <c r="AD27" s="195"/>
      <c r="AE27" s="266"/>
    </row>
    <row r="28" spans="1:31" s="11" customFormat="1" x14ac:dyDescent="0.2">
      <c r="A28" s="193"/>
      <c r="B28" s="193"/>
      <c r="C28" s="193"/>
      <c r="D28" s="244"/>
      <c r="E28" s="247"/>
      <c r="F28" s="248"/>
      <c r="G28" s="255"/>
      <c r="H28" s="194"/>
      <c r="I28" s="194"/>
      <c r="J28" s="194"/>
      <c r="K28" s="194"/>
      <c r="L28" s="256"/>
      <c r="M28" s="250"/>
      <c r="N28" s="258"/>
      <c r="O28" s="265"/>
      <c r="P28" s="195"/>
      <c r="Q28" s="195"/>
      <c r="R28" s="195"/>
      <c r="S28" s="195"/>
      <c r="T28" s="195"/>
      <c r="U28" s="195"/>
      <c r="V28" s="195"/>
      <c r="W28" s="195"/>
      <c r="X28" s="195"/>
      <c r="Y28" s="195"/>
      <c r="Z28" s="266"/>
      <c r="AA28" s="265"/>
      <c r="AB28" s="195"/>
      <c r="AC28" s="195"/>
      <c r="AD28" s="195"/>
      <c r="AE28" s="266"/>
    </row>
    <row r="29" spans="1:31" s="11" customFormat="1" x14ac:dyDescent="0.2">
      <c r="A29" s="193"/>
      <c r="B29" s="193"/>
      <c r="C29" s="193"/>
      <c r="D29" s="244"/>
      <c r="E29" s="247"/>
      <c r="F29" s="248"/>
      <c r="G29" s="255"/>
      <c r="H29" s="194"/>
      <c r="I29" s="194"/>
      <c r="J29" s="194"/>
      <c r="K29" s="194"/>
      <c r="L29" s="256"/>
      <c r="M29" s="250"/>
      <c r="N29" s="258"/>
      <c r="O29" s="265"/>
      <c r="P29" s="195"/>
      <c r="Q29" s="195"/>
      <c r="R29" s="195"/>
      <c r="S29" s="195"/>
      <c r="T29" s="195"/>
      <c r="U29" s="195"/>
      <c r="V29" s="195"/>
      <c r="W29" s="195"/>
      <c r="X29" s="195"/>
      <c r="Y29" s="195"/>
      <c r="Z29" s="266"/>
      <c r="AA29" s="265"/>
      <c r="AB29" s="195"/>
      <c r="AC29" s="195"/>
      <c r="AD29" s="195"/>
      <c r="AE29" s="266"/>
    </row>
    <row r="30" spans="1:31" s="11" customFormat="1" x14ac:dyDescent="0.2">
      <c r="A30" s="193"/>
      <c r="B30" s="193"/>
      <c r="C30" s="193"/>
      <c r="D30" s="244"/>
      <c r="E30" s="247"/>
      <c r="F30" s="248"/>
      <c r="G30" s="255"/>
      <c r="H30" s="194"/>
      <c r="I30" s="194"/>
      <c r="J30" s="194"/>
      <c r="K30" s="194"/>
      <c r="L30" s="256"/>
      <c r="M30" s="250"/>
      <c r="N30" s="258"/>
      <c r="O30" s="265"/>
      <c r="P30" s="195"/>
      <c r="Q30" s="195"/>
      <c r="R30" s="195"/>
      <c r="S30" s="195"/>
      <c r="T30" s="195"/>
      <c r="U30" s="195"/>
      <c r="V30" s="195"/>
      <c r="W30" s="195"/>
      <c r="X30" s="195"/>
      <c r="Y30" s="195"/>
      <c r="Z30" s="266"/>
      <c r="AA30" s="265"/>
      <c r="AB30" s="195"/>
      <c r="AC30" s="195"/>
      <c r="AD30" s="195"/>
      <c r="AE30" s="266"/>
    </row>
    <row r="31" spans="1:31" s="11" customFormat="1" x14ac:dyDescent="0.2">
      <c r="A31" s="193"/>
      <c r="B31" s="193"/>
      <c r="C31" s="193"/>
      <c r="D31" s="244"/>
      <c r="E31" s="247"/>
      <c r="F31" s="248"/>
      <c r="G31" s="255"/>
      <c r="H31" s="194"/>
      <c r="I31" s="194"/>
      <c r="J31" s="194"/>
      <c r="K31" s="194"/>
      <c r="L31" s="256"/>
      <c r="M31" s="250"/>
      <c r="N31" s="258"/>
      <c r="O31" s="265"/>
      <c r="P31" s="195"/>
      <c r="Q31" s="195"/>
      <c r="R31" s="195"/>
      <c r="S31" s="195"/>
      <c r="T31" s="195"/>
      <c r="U31" s="195"/>
      <c r="V31" s="195"/>
      <c r="W31" s="195"/>
      <c r="X31" s="195"/>
      <c r="Y31" s="195"/>
      <c r="Z31" s="266"/>
      <c r="AA31" s="265"/>
      <c r="AB31" s="195"/>
      <c r="AC31" s="195"/>
      <c r="AD31" s="195"/>
      <c r="AE31" s="266"/>
    </row>
    <row r="32" spans="1:31" s="11" customFormat="1" x14ac:dyDescent="0.2">
      <c r="A32" s="193"/>
      <c r="B32" s="193"/>
      <c r="C32" s="193"/>
      <c r="D32" s="244"/>
      <c r="E32" s="247"/>
      <c r="F32" s="248"/>
      <c r="G32" s="255"/>
      <c r="H32" s="194"/>
      <c r="I32" s="194"/>
      <c r="J32" s="194"/>
      <c r="K32" s="194"/>
      <c r="L32" s="256"/>
      <c r="M32" s="250"/>
      <c r="N32" s="258"/>
      <c r="O32" s="265"/>
      <c r="P32" s="195"/>
      <c r="Q32" s="195"/>
      <c r="R32" s="195"/>
      <c r="S32" s="195"/>
      <c r="T32" s="195"/>
      <c r="U32" s="195"/>
      <c r="V32" s="195"/>
      <c r="W32" s="195"/>
      <c r="X32" s="195"/>
      <c r="Y32" s="195"/>
      <c r="Z32" s="266"/>
      <c r="AA32" s="265"/>
      <c r="AB32" s="195"/>
      <c r="AC32" s="195"/>
      <c r="AD32" s="195"/>
      <c r="AE32" s="266"/>
    </row>
    <row r="33" spans="1:31" s="11" customFormat="1" x14ac:dyDescent="0.2">
      <c r="A33" s="193"/>
      <c r="B33" s="193"/>
      <c r="C33" s="193"/>
      <c r="D33" s="244"/>
      <c r="E33" s="247"/>
      <c r="F33" s="248"/>
      <c r="G33" s="255"/>
      <c r="H33" s="194"/>
      <c r="I33" s="194"/>
      <c r="J33" s="194"/>
      <c r="K33" s="194"/>
      <c r="L33" s="256"/>
      <c r="M33" s="250"/>
      <c r="N33" s="258"/>
      <c r="O33" s="265"/>
      <c r="P33" s="195"/>
      <c r="Q33" s="195"/>
      <c r="R33" s="195"/>
      <c r="S33" s="195"/>
      <c r="T33" s="195"/>
      <c r="U33" s="195"/>
      <c r="V33" s="195"/>
      <c r="W33" s="195"/>
      <c r="X33" s="195"/>
      <c r="Y33" s="195"/>
      <c r="Z33" s="266"/>
      <c r="AA33" s="265"/>
      <c r="AB33" s="195"/>
      <c r="AC33" s="195"/>
      <c r="AD33" s="195"/>
      <c r="AE33" s="266"/>
    </row>
    <row r="34" spans="1:31" s="11" customFormat="1" x14ac:dyDescent="0.2">
      <c r="A34" s="193"/>
      <c r="B34" s="193"/>
      <c r="C34" s="193"/>
      <c r="D34" s="244"/>
      <c r="E34" s="247"/>
      <c r="F34" s="248"/>
      <c r="G34" s="255"/>
      <c r="H34" s="194"/>
      <c r="I34" s="194"/>
      <c r="J34" s="194"/>
      <c r="K34" s="194"/>
      <c r="L34" s="256"/>
      <c r="M34" s="250"/>
      <c r="N34" s="258"/>
      <c r="O34" s="265"/>
      <c r="P34" s="195"/>
      <c r="Q34" s="195"/>
      <c r="R34" s="195"/>
      <c r="S34" s="195"/>
      <c r="T34" s="195"/>
      <c r="U34" s="195"/>
      <c r="V34" s="195"/>
      <c r="W34" s="195"/>
      <c r="X34" s="195"/>
      <c r="Y34" s="195"/>
      <c r="Z34" s="266"/>
      <c r="AA34" s="265"/>
      <c r="AB34" s="195"/>
      <c r="AC34" s="195"/>
      <c r="AD34" s="195"/>
      <c r="AE34" s="266"/>
    </row>
    <row r="35" spans="1:31" s="11" customFormat="1" x14ac:dyDescent="0.2">
      <c r="A35" s="193"/>
      <c r="B35" s="193"/>
      <c r="C35" s="193"/>
      <c r="D35" s="244"/>
      <c r="E35" s="247"/>
      <c r="F35" s="248"/>
      <c r="G35" s="255"/>
      <c r="H35" s="194"/>
      <c r="I35" s="194"/>
      <c r="J35" s="194"/>
      <c r="K35" s="194"/>
      <c r="L35" s="256"/>
      <c r="M35" s="250"/>
      <c r="N35" s="258"/>
      <c r="O35" s="265"/>
      <c r="P35" s="195"/>
      <c r="Q35" s="195"/>
      <c r="R35" s="195"/>
      <c r="S35" s="195"/>
      <c r="T35" s="195"/>
      <c r="U35" s="195"/>
      <c r="V35" s="195"/>
      <c r="W35" s="195"/>
      <c r="X35" s="195"/>
      <c r="Y35" s="195"/>
      <c r="Z35" s="266"/>
      <c r="AA35" s="265"/>
      <c r="AB35" s="195"/>
      <c r="AC35" s="195"/>
      <c r="AD35" s="195"/>
      <c r="AE35" s="266"/>
    </row>
    <row r="36" spans="1:31" s="11" customFormat="1" x14ac:dyDescent="0.2">
      <c r="A36" s="193"/>
      <c r="B36" s="193"/>
      <c r="C36" s="193"/>
      <c r="D36" s="244"/>
      <c r="E36" s="247"/>
      <c r="F36" s="248"/>
      <c r="G36" s="255"/>
      <c r="H36" s="194"/>
      <c r="I36" s="194"/>
      <c r="J36" s="194"/>
      <c r="K36" s="194"/>
      <c r="L36" s="256"/>
      <c r="M36" s="250"/>
      <c r="N36" s="258"/>
      <c r="O36" s="265"/>
      <c r="P36" s="195"/>
      <c r="Q36" s="195"/>
      <c r="R36" s="195"/>
      <c r="S36" s="195"/>
      <c r="T36" s="195"/>
      <c r="U36" s="195"/>
      <c r="V36" s="195"/>
      <c r="W36" s="195"/>
      <c r="X36" s="195"/>
      <c r="Y36" s="195"/>
      <c r="Z36" s="266"/>
      <c r="AA36" s="265"/>
      <c r="AB36" s="195"/>
      <c r="AC36" s="195"/>
      <c r="AD36" s="195"/>
      <c r="AE36" s="266"/>
    </row>
    <row r="37" spans="1:31" s="11" customFormat="1" x14ac:dyDescent="0.2">
      <c r="A37" s="193"/>
      <c r="B37" s="193"/>
      <c r="C37" s="193"/>
      <c r="D37" s="244"/>
      <c r="E37" s="247"/>
      <c r="F37" s="248"/>
      <c r="G37" s="255"/>
      <c r="H37" s="194"/>
      <c r="I37" s="194"/>
      <c r="J37" s="194"/>
      <c r="K37" s="194"/>
      <c r="L37" s="256"/>
      <c r="M37" s="250"/>
      <c r="N37" s="258"/>
      <c r="O37" s="265"/>
      <c r="P37" s="195"/>
      <c r="Q37" s="195"/>
      <c r="R37" s="195"/>
      <c r="S37" s="195"/>
      <c r="T37" s="195"/>
      <c r="U37" s="195"/>
      <c r="V37" s="195"/>
      <c r="W37" s="195"/>
      <c r="X37" s="195"/>
      <c r="Y37" s="195"/>
      <c r="Z37" s="266"/>
      <c r="AA37" s="265"/>
      <c r="AB37" s="195"/>
      <c r="AC37" s="195"/>
      <c r="AD37" s="195"/>
      <c r="AE37" s="266"/>
    </row>
    <row r="38" spans="1:31" s="11" customFormat="1" x14ac:dyDescent="0.2">
      <c r="A38" s="193"/>
      <c r="B38" s="193"/>
      <c r="C38" s="193"/>
      <c r="D38" s="244"/>
      <c r="E38" s="247"/>
      <c r="F38" s="248"/>
      <c r="G38" s="255"/>
      <c r="H38" s="194"/>
      <c r="I38" s="194"/>
      <c r="J38" s="194"/>
      <c r="K38" s="194"/>
      <c r="L38" s="256"/>
      <c r="M38" s="250"/>
      <c r="N38" s="258"/>
      <c r="O38" s="265"/>
      <c r="P38" s="195"/>
      <c r="Q38" s="195"/>
      <c r="R38" s="195"/>
      <c r="S38" s="195"/>
      <c r="T38" s="195"/>
      <c r="U38" s="195"/>
      <c r="V38" s="195"/>
      <c r="W38" s="195"/>
      <c r="X38" s="195"/>
      <c r="Y38" s="195"/>
      <c r="Z38" s="266"/>
      <c r="AA38" s="265"/>
      <c r="AB38" s="195"/>
      <c r="AC38" s="195"/>
      <c r="AD38" s="195"/>
      <c r="AE38" s="266"/>
    </row>
    <row r="39" spans="1:31" s="11" customFormat="1" x14ac:dyDescent="0.2">
      <c r="A39" s="193"/>
      <c r="B39" s="193"/>
      <c r="C39" s="193"/>
      <c r="D39" s="244"/>
      <c r="E39" s="247"/>
      <c r="F39" s="248"/>
      <c r="G39" s="255"/>
      <c r="H39" s="194"/>
      <c r="I39" s="194"/>
      <c r="J39" s="194"/>
      <c r="K39" s="194"/>
      <c r="L39" s="256"/>
      <c r="M39" s="250"/>
      <c r="N39" s="258"/>
      <c r="O39" s="265"/>
      <c r="P39" s="195"/>
      <c r="Q39" s="195"/>
      <c r="R39" s="195"/>
      <c r="S39" s="195"/>
      <c r="T39" s="195"/>
      <c r="U39" s="195"/>
      <c r="V39" s="195"/>
      <c r="W39" s="195"/>
      <c r="X39" s="195"/>
      <c r="Y39" s="195"/>
      <c r="Z39" s="266"/>
      <c r="AA39" s="265"/>
      <c r="AB39" s="195"/>
      <c r="AC39" s="195"/>
      <c r="AD39" s="195"/>
      <c r="AE39" s="266"/>
    </row>
    <row r="40" spans="1:31" s="11" customFormat="1" x14ac:dyDescent="0.2">
      <c r="A40" s="193"/>
      <c r="B40" s="193"/>
      <c r="C40" s="193"/>
      <c r="D40" s="244"/>
      <c r="E40" s="247"/>
      <c r="F40" s="248"/>
      <c r="G40" s="255"/>
      <c r="H40" s="194"/>
      <c r="I40" s="194"/>
      <c r="J40" s="194"/>
      <c r="K40" s="194"/>
      <c r="L40" s="256"/>
      <c r="M40" s="250"/>
      <c r="N40" s="258"/>
      <c r="O40" s="265"/>
      <c r="P40" s="195"/>
      <c r="Q40" s="195"/>
      <c r="R40" s="195"/>
      <c r="S40" s="195"/>
      <c r="T40" s="195"/>
      <c r="U40" s="195"/>
      <c r="V40" s="195"/>
      <c r="W40" s="195"/>
      <c r="X40" s="195"/>
      <c r="Y40" s="195"/>
      <c r="Z40" s="266"/>
      <c r="AA40" s="265"/>
      <c r="AB40" s="195"/>
      <c r="AC40" s="195"/>
      <c r="AD40" s="195"/>
      <c r="AE40" s="266"/>
    </row>
    <row r="41" spans="1:31" s="11" customFormat="1" x14ac:dyDescent="0.2">
      <c r="A41" s="193"/>
      <c r="B41" s="193"/>
      <c r="C41" s="193"/>
      <c r="D41" s="244"/>
      <c r="E41" s="247"/>
      <c r="F41" s="248"/>
      <c r="G41" s="255"/>
      <c r="H41" s="194"/>
      <c r="I41" s="194"/>
      <c r="J41" s="194"/>
      <c r="K41" s="194"/>
      <c r="L41" s="256"/>
      <c r="M41" s="250"/>
      <c r="N41" s="258"/>
      <c r="O41" s="265"/>
      <c r="P41" s="195"/>
      <c r="Q41" s="195"/>
      <c r="R41" s="195"/>
      <c r="S41" s="195"/>
      <c r="T41" s="195"/>
      <c r="U41" s="195"/>
      <c r="V41" s="195"/>
      <c r="W41" s="195"/>
      <c r="X41" s="195"/>
      <c r="Y41" s="195"/>
      <c r="Z41" s="266"/>
      <c r="AA41" s="265"/>
      <c r="AB41" s="195"/>
      <c r="AC41" s="195"/>
      <c r="AD41" s="195"/>
      <c r="AE41" s="266"/>
    </row>
    <row r="42" spans="1:31" s="11" customFormat="1" x14ac:dyDescent="0.2">
      <c r="A42" s="193"/>
      <c r="B42" s="193"/>
      <c r="C42" s="193"/>
      <c r="D42" s="244"/>
      <c r="E42" s="247"/>
      <c r="F42" s="248"/>
      <c r="G42" s="255"/>
      <c r="H42" s="194"/>
      <c r="I42" s="194"/>
      <c r="J42" s="194"/>
      <c r="K42" s="194"/>
      <c r="L42" s="256"/>
      <c r="M42" s="250"/>
      <c r="N42" s="258"/>
      <c r="O42" s="265"/>
      <c r="P42" s="195"/>
      <c r="Q42" s="195"/>
      <c r="R42" s="195"/>
      <c r="S42" s="195"/>
      <c r="T42" s="195"/>
      <c r="U42" s="195"/>
      <c r="V42" s="195"/>
      <c r="W42" s="195"/>
      <c r="X42" s="195"/>
      <c r="Y42" s="195"/>
      <c r="Z42" s="266"/>
      <c r="AA42" s="265"/>
      <c r="AB42" s="195"/>
      <c r="AC42" s="195"/>
      <c r="AD42" s="195"/>
      <c r="AE42" s="266"/>
    </row>
    <row r="43" spans="1:31" s="11" customFormat="1" x14ac:dyDescent="0.2">
      <c r="A43" s="193"/>
      <c r="B43" s="193"/>
      <c r="C43" s="193"/>
      <c r="D43" s="244"/>
      <c r="E43" s="247"/>
      <c r="F43" s="248"/>
      <c r="G43" s="255"/>
      <c r="H43" s="194"/>
      <c r="I43" s="194"/>
      <c r="J43" s="194"/>
      <c r="K43" s="194"/>
      <c r="L43" s="256"/>
      <c r="M43" s="250"/>
      <c r="N43" s="258"/>
      <c r="O43" s="265"/>
      <c r="P43" s="195"/>
      <c r="Q43" s="195"/>
      <c r="R43" s="195"/>
      <c r="S43" s="195"/>
      <c r="T43" s="195"/>
      <c r="U43" s="195"/>
      <c r="V43" s="195"/>
      <c r="W43" s="195"/>
      <c r="X43" s="195"/>
      <c r="Y43" s="195"/>
      <c r="Z43" s="266"/>
      <c r="AA43" s="265"/>
      <c r="AB43" s="195"/>
      <c r="AC43" s="195"/>
      <c r="AD43" s="195"/>
      <c r="AE43" s="266"/>
    </row>
    <row r="44" spans="1:31" s="11" customFormat="1" x14ac:dyDescent="0.2">
      <c r="A44" s="193"/>
      <c r="B44" s="193"/>
      <c r="C44" s="193"/>
      <c r="D44" s="244"/>
      <c r="E44" s="247"/>
      <c r="F44" s="248"/>
      <c r="G44" s="255"/>
      <c r="H44" s="194"/>
      <c r="I44" s="194"/>
      <c r="J44" s="194"/>
      <c r="K44" s="194"/>
      <c r="L44" s="256"/>
      <c r="M44" s="250"/>
      <c r="N44" s="258"/>
      <c r="O44" s="265"/>
      <c r="P44" s="195"/>
      <c r="Q44" s="195"/>
      <c r="R44" s="195"/>
      <c r="S44" s="195"/>
      <c r="T44" s="195"/>
      <c r="U44" s="195"/>
      <c r="V44" s="195"/>
      <c r="W44" s="195"/>
      <c r="X44" s="195"/>
      <c r="Y44" s="195"/>
      <c r="Z44" s="266"/>
      <c r="AA44" s="265"/>
      <c r="AB44" s="195"/>
      <c r="AC44" s="195"/>
      <c r="AD44" s="195"/>
      <c r="AE44" s="266"/>
    </row>
    <row r="45" spans="1:31" s="11" customFormat="1" x14ac:dyDescent="0.2">
      <c r="A45" s="193"/>
      <c r="B45" s="193"/>
      <c r="C45" s="193"/>
      <c r="D45" s="244"/>
      <c r="E45" s="247"/>
      <c r="F45" s="248"/>
      <c r="G45" s="255"/>
      <c r="H45" s="194"/>
      <c r="I45" s="194"/>
      <c r="J45" s="194"/>
      <c r="K45" s="194"/>
      <c r="L45" s="256"/>
      <c r="M45" s="250"/>
      <c r="N45" s="258"/>
      <c r="O45" s="265"/>
      <c r="P45" s="195"/>
      <c r="Q45" s="195"/>
      <c r="R45" s="195"/>
      <c r="S45" s="195"/>
      <c r="T45" s="195"/>
      <c r="U45" s="195"/>
      <c r="V45" s="195"/>
      <c r="W45" s="195"/>
      <c r="X45" s="195"/>
      <c r="Y45" s="195"/>
      <c r="Z45" s="266"/>
      <c r="AA45" s="265"/>
      <c r="AB45" s="195"/>
      <c r="AC45" s="195"/>
      <c r="AD45" s="195"/>
      <c r="AE45" s="266"/>
    </row>
    <row r="46" spans="1:31" s="11" customFormat="1" x14ac:dyDescent="0.2">
      <c r="A46" s="193"/>
      <c r="B46" s="193"/>
      <c r="C46" s="193"/>
      <c r="D46" s="244"/>
      <c r="E46" s="247"/>
      <c r="F46" s="248"/>
      <c r="G46" s="255"/>
      <c r="H46" s="194"/>
      <c r="I46" s="194"/>
      <c r="J46" s="194"/>
      <c r="K46" s="194"/>
      <c r="L46" s="256"/>
      <c r="M46" s="250"/>
      <c r="N46" s="258"/>
      <c r="O46" s="265"/>
      <c r="P46" s="195"/>
      <c r="Q46" s="195"/>
      <c r="R46" s="195"/>
      <c r="S46" s="195"/>
      <c r="T46" s="195"/>
      <c r="U46" s="195"/>
      <c r="V46" s="195"/>
      <c r="W46" s="195"/>
      <c r="X46" s="195"/>
      <c r="Y46" s="195"/>
      <c r="Z46" s="266"/>
      <c r="AA46" s="265"/>
      <c r="AB46" s="195"/>
      <c r="AC46" s="195"/>
      <c r="AD46" s="195"/>
      <c r="AE46" s="266"/>
    </row>
    <row r="47" spans="1:31" s="11" customFormat="1" x14ac:dyDescent="0.2">
      <c r="A47" s="193"/>
      <c r="B47" s="193"/>
      <c r="C47" s="193"/>
      <c r="D47" s="244"/>
      <c r="E47" s="247"/>
      <c r="F47" s="248"/>
      <c r="G47" s="255"/>
      <c r="H47" s="194"/>
      <c r="I47" s="194"/>
      <c r="J47" s="194"/>
      <c r="K47" s="194"/>
      <c r="L47" s="256"/>
      <c r="M47" s="250"/>
      <c r="N47" s="258"/>
      <c r="O47" s="265"/>
      <c r="P47" s="195"/>
      <c r="Q47" s="195"/>
      <c r="R47" s="195"/>
      <c r="S47" s="195"/>
      <c r="T47" s="195"/>
      <c r="U47" s="195"/>
      <c r="V47" s="195"/>
      <c r="W47" s="195"/>
      <c r="X47" s="195"/>
      <c r="Y47" s="195"/>
      <c r="Z47" s="266"/>
      <c r="AA47" s="265"/>
      <c r="AB47" s="195"/>
      <c r="AC47" s="195"/>
      <c r="AD47" s="195"/>
      <c r="AE47" s="266"/>
    </row>
    <row r="48" spans="1:31" s="11" customFormat="1" x14ac:dyDescent="0.2">
      <c r="A48" s="193"/>
      <c r="B48" s="193"/>
      <c r="C48" s="193"/>
      <c r="D48" s="244"/>
      <c r="E48" s="247"/>
      <c r="F48" s="248"/>
      <c r="G48" s="255"/>
      <c r="H48" s="194"/>
      <c r="I48" s="194"/>
      <c r="J48" s="194"/>
      <c r="K48" s="194"/>
      <c r="L48" s="256"/>
      <c r="M48" s="250"/>
      <c r="N48" s="258"/>
      <c r="O48" s="265"/>
      <c r="P48" s="195"/>
      <c r="Q48" s="195"/>
      <c r="R48" s="195"/>
      <c r="S48" s="195"/>
      <c r="T48" s="195"/>
      <c r="U48" s="195"/>
      <c r="V48" s="195"/>
      <c r="W48" s="195"/>
      <c r="X48" s="195"/>
      <c r="Y48" s="195"/>
      <c r="Z48" s="266"/>
      <c r="AA48" s="265"/>
      <c r="AB48" s="195"/>
      <c r="AC48" s="195"/>
      <c r="AD48" s="195"/>
      <c r="AE48" s="266"/>
    </row>
    <row r="49" spans="1:31" s="11" customFormat="1" x14ac:dyDescent="0.2">
      <c r="A49" s="193"/>
      <c r="B49" s="193"/>
      <c r="C49" s="193"/>
      <c r="D49" s="244"/>
      <c r="E49" s="247"/>
      <c r="F49" s="248"/>
      <c r="G49" s="255"/>
      <c r="H49" s="194"/>
      <c r="I49" s="194"/>
      <c r="J49" s="194"/>
      <c r="K49" s="194"/>
      <c r="L49" s="256"/>
      <c r="M49" s="250"/>
      <c r="N49" s="258"/>
      <c r="O49" s="265"/>
      <c r="P49" s="195"/>
      <c r="Q49" s="195"/>
      <c r="R49" s="195"/>
      <c r="S49" s="195"/>
      <c r="T49" s="195"/>
      <c r="U49" s="195"/>
      <c r="V49" s="195"/>
      <c r="W49" s="195"/>
      <c r="X49" s="195"/>
      <c r="Y49" s="195"/>
      <c r="Z49" s="266"/>
      <c r="AA49" s="265"/>
      <c r="AB49" s="195"/>
      <c r="AC49" s="195"/>
      <c r="AD49" s="195"/>
      <c r="AE49" s="266"/>
    </row>
    <row r="50" spans="1:31" s="11" customFormat="1" x14ac:dyDescent="0.2">
      <c r="A50" s="193"/>
      <c r="B50" s="193"/>
      <c r="C50" s="193"/>
      <c r="D50" s="244"/>
      <c r="E50" s="247"/>
      <c r="F50" s="248"/>
      <c r="G50" s="255"/>
      <c r="H50" s="194"/>
      <c r="I50" s="194"/>
      <c r="J50" s="194"/>
      <c r="K50" s="194"/>
      <c r="L50" s="256"/>
      <c r="M50" s="250"/>
      <c r="N50" s="258"/>
      <c r="O50" s="265"/>
      <c r="P50" s="195"/>
      <c r="Q50" s="195"/>
      <c r="R50" s="195"/>
      <c r="S50" s="195"/>
      <c r="T50" s="195"/>
      <c r="U50" s="195"/>
      <c r="V50" s="195"/>
      <c r="W50" s="195"/>
      <c r="X50" s="195"/>
      <c r="Y50" s="195"/>
      <c r="Z50" s="266"/>
      <c r="AA50" s="265"/>
      <c r="AB50" s="195"/>
      <c r="AC50" s="195"/>
      <c r="AD50" s="195"/>
      <c r="AE50" s="266"/>
    </row>
    <row r="51" spans="1:31" s="11" customFormat="1" x14ac:dyDescent="0.2">
      <c r="A51" s="193"/>
      <c r="B51" s="193"/>
      <c r="C51" s="193"/>
      <c r="D51" s="244"/>
      <c r="E51" s="247"/>
      <c r="F51" s="248"/>
      <c r="G51" s="255"/>
      <c r="H51" s="194"/>
      <c r="I51" s="194"/>
      <c r="J51" s="194"/>
      <c r="K51" s="194"/>
      <c r="L51" s="256"/>
      <c r="M51" s="250"/>
      <c r="N51" s="258"/>
      <c r="O51" s="265"/>
      <c r="P51" s="195"/>
      <c r="Q51" s="195"/>
      <c r="R51" s="195"/>
      <c r="S51" s="195"/>
      <c r="T51" s="195"/>
      <c r="U51" s="195"/>
      <c r="V51" s="195"/>
      <c r="W51" s="195"/>
      <c r="X51" s="195"/>
      <c r="Y51" s="195"/>
      <c r="Z51" s="266"/>
      <c r="AA51" s="265"/>
      <c r="AB51" s="195"/>
      <c r="AC51" s="195"/>
      <c r="AD51" s="195"/>
      <c r="AE51" s="266"/>
    </row>
    <row r="52" spans="1:31" s="11" customFormat="1" x14ac:dyDescent="0.2">
      <c r="A52" s="193"/>
      <c r="B52" s="193"/>
      <c r="C52" s="193"/>
      <c r="D52" s="244"/>
      <c r="E52" s="247"/>
      <c r="F52" s="248"/>
      <c r="G52" s="255"/>
      <c r="H52" s="194"/>
      <c r="I52" s="194"/>
      <c r="J52" s="194"/>
      <c r="K52" s="194"/>
      <c r="L52" s="256"/>
      <c r="M52" s="250"/>
      <c r="N52" s="258"/>
      <c r="O52" s="265"/>
      <c r="P52" s="195"/>
      <c r="Q52" s="195"/>
      <c r="R52" s="195"/>
      <c r="S52" s="195"/>
      <c r="T52" s="195"/>
      <c r="U52" s="195"/>
      <c r="V52" s="195"/>
      <c r="W52" s="195"/>
      <c r="X52" s="195"/>
      <c r="Y52" s="195"/>
      <c r="Z52" s="266"/>
      <c r="AA52" s="265"/>
      <c r="AB52" s="195"/>
      <c r="AC52" s="195"/>
      <c r="AD52" s="195"/>
      <c r="AE52" s="266"/>
    </row>
    <row r="53" spans="1:31" s="11" customFormat="1" x14ac:dyDescent="0.2">
      <c r="A53" s="193"/>
      <c r="B53" s="193"/>
      <c r="C53" s="193"/>
      <c r="D53" s="244"/>
      <c r="E53" s="247"/>
      <c r="F53" s="248"/>
      <c r="G53" s="255"/>
      <c r="H53" s="194"/>
      <c r="I53" s="194"/>
      <c r="J53" s="194"/>
      <c r="K53" s="194"/>
      <c r="L53" s="256"/>
      <c r="M53" s="250"/>
      <c r="N53" s="258"/>
      <c r="O53" s="265"/>
      <c r="P53" s="195"/>
      <c r="Q53" s="195"/>
      <c r="R53" s="195"/>
      <c r="S53" s="195"/>
      <c r="T53" s="195"/>
      <c r="U53" s="195"/>
      <c r="V53" s="195"/>
      <c r="W53" s="195"/>
      <c r="X53" s="195"/>
      <c r="Y53" s="195"/>
      <c r="Z53" s="266"/>
      <c r="AA53" s="265"/>
      <c r="AB53" s="195"/>
      <c r="AC53" s="195"/>
      <c r="AD53" s="195"/>
      <c r="AE53" s="266"/>
    </row>
    <row r="54" spans="1:31" s="11" customFormat="1" x14ac:dyDescent="0.2">
      <c r="A54" s="193"/>
      <c r="B54" s="193"/>
      <c r="C54" s="193"/>
      <c r="D54" s="244"/>
      <c r="E54" s="247"/>
      <c r="F54" s="248"/>
      <c r="G54" s="255"/>
      <c r="H54" s="194"/>
      <c r="I54" s="194"/>
      <c r="J54" s="194"/>
      <c r="K54" s="194"/>
      <c r="L54" s="256"/>
      <c r="M54" s="250"/>
      <c r="N54" s="258"/>
      <c r="O54" s="265"/>
      <c r="P54" s="195"/>
      <c r="Q54" s="195"/>
      <c r="R54" s="195"/>
      <c r="S54" s="195"/>
      <c r="T54" s="195"/>
      <c r="U54" s="195"/>
      <c r="V54" s="195"/>
      <c r="W54" s="195"/>
      <c r="X54" s="195"/>
      <c r="Y54" s="195"/>
      <c r="Z54" s="266"/>
      <c r="AA54" s="265"/>
      <c r="AB54" s="195"/>
      <c r="AC54" s="195"/>
      <c r="AD54" s="195"/>
      <c r="AE54" s="266"/>
    </row>
    <row r="55" spans="1:31" s="11" customFormat="1" x14ac:dyDescent="0.2">
      <c r="A55" s="193"/>
      <c r="B55" s="193"/>
      <c r="C55" s="193"/>
      <c r="D55" s="244"/>
      <c r="E55" s="247"/>
      <c r="F55" s="248"/>
      <c r="G55" s="255"/>
      <c r="H55" s="194"/>
      <c r="I55" s="194"/>
      <c r="J55" s="194"/>
      <c r="K55" s="194"/>
      <c r="L55" s="256"/>
      <c r="M55" s="250"/>
      <c r="N55" s="258"/>
      <c r="O55" s="265"/>
      <c r="P55" s="195"/>
      <c r="Q55" s="195"/>
      <c r="R55" s="195"/>
      <c r="S55" s="195"/>
      <c r="T55" s="195"/>
      <c r="U55" s="195"/>
      <c r="V55" s="195"/>
      <c r="W55" s="195"/>
      <c r="X55" s="195"/>
      <c r="Y55" s="195"/>
      <c r="Z55" s="266"/>
      <c r="AA55" s="265"/>
      <c r="AB55" s="195"/>
      <c r="AC55" s="195"/>
      <c r="AD55" s="195"/>
      <c r="AE55" s="266"/>
    </row>
    <row r="56" spans="1:31" s="11" customFormat="1" x14ac:dyDescent="0.2">
      <c r="A56" s="193"/>
      <c r="B56" s="193"/>
      <c r="C56" s="193"/>
      <c r="D56" s="244"/>
      <c r="E56" s="247"/>
      <c r="F56" s="248"/>
      <c r="G56" s="255"/>
      <c r="H56" s="194"/>
      <c r="I56" s="194"/>
      <c r="J56" s="194"/>
      <c r="K56" s="194"/>
      <c r="L56" s="256"/>
      <c r="M56" s="250"/>
      <c r="N56" s="258"/>
      <c r="O56" s="265"/>
      <c r="P56" s="195"/>
      <c r="Q56" s="195"/>
      <c r="R56" s="195"/>
      <c r="S56" s="195"/>
      <c r="T56" s="195"/>
      <c r="U56" s="195"/>
      <c r="V56" s="195"/>
      <c r="W56" s="195"/>
      <c r="X56" s="195"/>
      <c r="Y56" s="195"/>
      <c r="Z56" s="266"/>
      <c r="AA56" s="265"/>
      <c r="AB56" s="195"/>
      <c r="AC56" s="195"/>
      <c r="AD56" s="195"/>
      <c r="AE56" s="266"/>
    </row>
    <row r="57" spans="1:31" s="11" customFormat="1" x14ac:dyDescent="0.2">
      <c r="A57" s="193"/>
      <c r="B57" s="193"/>
      <c r="C57" s="193"/>
      <c r="D57" s="244"/>
      <c r="E57" s="247"/>
      <c r="F57" s="248"/>
      <c r="G57" s="255"/>
      <c r="H57" s="194"/>
      <c r="I57" s="194"/>
      <c r="J57" s="194"/>
      <c r="K57" s="194"/>
      <c r="L57" s="256"/>
      <c r="M57" s="250"/>
      <c r="N57" s="258"/>
      <c r="O57" s="265"/>
      <c r="P57" s="195"/>
      <c r="Q57" s="195"/>
      <c r="R57" s="195"/>
      <c r="S57" s="195"/>
      <c r="T57" s="195"/>
      <c r="U57" s="195"/>
      <c r="V57" s="195"/>
      <c r="W57" s="195"/>
      <c r="X57" s="195"/>
      <c r="Y57" s="195"/>
      <c r="Z57" s="266"/>
      <c r="AA57" s="265"/>
      <c r="AB57" s="195"/>
      <c r="AC57" s="195"/>
      <c r="AD57" s="195"/>
      <c r="AE57" s="266"/>
    </row>
    <row r="58" spans="1:31" s="11" customFormat="1" x14ac:dyDescent="0.2">
      <c r="A58" s="193"/>
      <c r="B58" s="193"/>
      <c r="C58" s="193"/>
      <c r="D58" s="244"/>
      <c r="E58" s="247"/>
      <c r="F58" s="248"/>
      <c r="G58" s="255"/>
      <c r="H58" s="194"/>
      <c r="I58" s="194"/>
      <c r="J58" s="194"/>
      <c r="K58" s="194"/>
      <c r="L58" s="256"/>
      <c r="M58" s="250"/>
      <c r="N58" s="258"/>
      <c r="O58" s="265"/>
      <c r="P58" s="195"/>
      <c r="Q58" s="195"/>
      <c r="R58" s="195"/>
      <c r="S58" s="195"/>
      <c r="T58" s="195"/>
      <c r="U58" s="195"/>
      <c r="V58" s="195"/>
      <c r="W58" s="195"/>
      <c r="X58" s="195"/>
      <c r="Y58" s="195"/>
      <c r="Z58" s="266"/>
      <c r="AA58" s="265"/>
      <c r="AB58" s="195"/>
      <c r="AC58" s="195"/>
      <c r="AD58" s="195"/>
      <c r="AE58" s="266"/>
    </row>
    <row r="59" spans="1:31" s="11" customFormat="1" x14ac:dyDescent="0.2">
      <c r="A59" s="193"/>
      <c r="B59" s="193"/>
      <c r="C59" s="193"/>
      <c r="D59" s="244"/>
      <c r="E59" s="247"/>
      <c r="F59" s="248"/>
      <c r="G59" s="255"/>
      <c r="H59" s="194"/>
      <c r="I59" s="194"/>
      <c r="J59" s="194"/>
      <c r="K59" s="194"/>
      <c r="L59" s="256"/>
      <c r="M59" s="250"/>
      <c r="N59" s="258"/>
      <c r="O59" s="265"/>
      <c r="P59" s="195"/>
      <c r="Q59" s="195"/>
      <c r="R59" s="195"/>
      <c r="S59" s="195"/>
      <c r="T59" s="195"/>
      <c r="U59" s="195"/>
      <c r="V59" s="195"/>
      <c r="W59" s="195"/>
      <c r="X59" s="195"/>
      <c r="Y59" s="195"/>
      <c r="Z59" s="266"/>
      <c r="AA59" s="265"/>
      <c r="AB59" s="195"/>
      <c r="AC59" s="195"/>
      <c r="AD59" s="195"/>
      <c r="AE59" s="266"/>
    </row>
    <row r="60" spans="1:31" s="11" customFormat="1" x14ac:dyDescent="0.2">
      <c r="A60" s="193"/>
      <c r="B60" s="193"/>
      <c r="C60" s="193"/>
      <c r="D60" s="244"/>
      <c r="E60" s="247"/>
      <c r="F60" s="248"/>
      <c r="G60" s="255"/>
      <c r="H60" s="194"/>
      <c r="I60" s="194"/>
      <c r="J60" s="194"/>
      <c r="K60" s="194"/>
      <c r="L60" s="256"/>
      <c r="M60" s="250"/>
      <c r="N60" s="258"/>
      <c r="O60" s="265"/>
      <c r="P60" s="195"/>
      <c r="Q60" s="195"/>
      <c r="R60" s="195"/>
      <c r="S60" s="195"/>
      <c r="T60" s="195"/>
      <c r="U60" s="195"/>
      <c r="V60" s="195"/>
      <c r="W60" s="195"/>
      <c r="X60" s="195"/>
      <c r="Y60" s="195"/>
      <c r="Z60" s="266"/>
      <c r="AA60" s="265"/>
      <c r="AB60" s="195"/>
      <c r="AC60" s="195"/>
      <c r="AD60" s="195"/>
      <c r="AE60" s="266"/>
    </row>
    <row r="61" spans="1:31" s="11" customFormat="1" x14ac:dyDescent="0.2">
      <c r="A61" s="193"/>
      <c r="B61" s="193"/>
      <c r="C61" s="193"/>
      <c r="D61" s="244"/>
      <c r="E61" s="247"/>
      <c r="F61" s="248"/>
      <c r="G61" s="255"/>
      <c r="H61" s="194"/>
      <c r="I61" s="194"/>
      <c r="J61" s="194"/>
      <c r="K61" s="194"/>
      <c r="L61" s="256"/>
      <c r="M61" s="250"/>
      <c r="N61" s="258"/>
      <c r="O61" s="265"/>
      <c r="P61" s="195"/>
      <c r="Q61" s="195"/>
      <c r="R61" s="195"/>
      <c r="S61" s="195"/>
      <c r="T61" s="195"/>
      <c r="U61" s="195"/>
      <c r="V61" s="195"/>
      <c r="W61" s="195"/>
      <c r="X61" s="195"/>
      <c r="Y61" s="195"/>
      <c r="Z61" s="266"/>
      <c r="AA61" s="265"/>
      <c r="AB61" s="195"/>
      <c r="AC61" s="195"/>
      <c r="AD61" s="195"/>
      <c r="AE61" s="266"/>
    </row>
    <row r="62" spans="1:31" s="11" customFormat="1" x14ac:dyDescent="0.2">
      <c r="A62" s="193"/>
      <c r="B62" s="193"/>
      <c r="C62" s="193"/>
      <c r="D62" s="244"/>
      <c r="E62" s="247"/>
      <c r="F62" s="248"/>
      <c r="G62" s="255"/>
      <c r="H62" s="194"/>
      <c r="I62" s="194"/>
      <c r="J62" s="194"/>
      <c r="K62" s="194"/>
      <c r="L62" s="256"/>
      <c r="M62" s="250"/>
      <c r="N62" s="258"/>
      <c r="O62" s="265"/>
      <c r="P62" s="195"/>
      <c r="Q62" s="195"/>
      <c r="R62" s="195"/>
      <c r="S62" s="195"/>
      <c r="T62" s="195"/>
      <c r="U62" s="195"/>
      <c r="V62" s="195"/>
      <c r="W62" s="195"/>
      <c r="X62" s="195"/>
      <c r="Y62" s="195"/>
      <c r="Z62" s="266"/>
      <c r="AA62" s="265"/>
      <c r="AB62" s="195"/>
      <c r="AC62" s="195"/>
      <c r="AD62" s="195"/>
      <c r="AE62" s="266"/>
    </row>
    <row r="63" spans="1:31" s="11" customFormat="1" x14ac:dyDescent="0.2">
      <c r="A63" s="193"/>
      <c r="B63" s="193"/>
      <c r="C63" s="193"/>
      <c r="D63" s="244"/>
      <c r="E63" s="247"/>
      <c r="F63" s="248"/>
      <c r="G63" s="255"/>
      <c r="H63" s="194"/>
      <c r="I63" s="194"/>
      <c r="J63" s="194"/>
      <c r="K63" s="194"/>
      <c r="L63" s="256"/>
      <c r="M63" s="250"/>
      <c r="N63" s="258"/>
      <c r="O63" s="265"/>
      <c r="P63" s="195"/>
      <c r="Q63" s="195"/>
      <c r="R63" s="195"/>
      <c r="S63" s="195"/>
      <c r="T63" s="195"/>
      <c r="U63" s="195"/>
      <c r="V63" s="195"/>
      <c r="W63" s="195"/>
      <c r="X63" s="195"/>
      <c r="Y63" s="195"/>
      <c r="Z63" s="266"/>
      <c r="AA63" s="265"/>
      <c r="AB63" s="195"/>
      <c r="AC63" s="195"/>
      <c r="AD63" s="195"/>
      <c r="AE63" s="266"/>
    </row>
    <row r="64" spans="1:31" s="11" customFormat="1" x14ac:dyDescent="0.2">
      <c r="A64" s="193"/>
      <c r="B64" s="193"/>
      <c r="C64" s="193"/>
      <c r="D64" s="244"/>
      <c r="E64" s="247"/>
      <c r="F64" s="248"/>
      <c r="G64" s="255"/>
      <c r="H64" s="194"/>
      <c r="I64" s="194"/>
      <c r="J64" s="194"/>
      <c r="K64" s="194"/>
      <c r="L64" s="256"/>
      <c r="M64" s="250"/>
      <c r="N64" s="258"/>
      <c r="O64" s="265"/>
      <c r="P64" s="195"/>
      <c r="Q64" s="195"/>
      <c r="R64" s="195"/>
      <c r="S64" s="195"/>
      <c r="T64" s="195"/>
      <c r="U64" s="195"/>
      <c r="V64" s="195"/>
      <c r="W64" s="195"/>
      <c r="X64" s="195"/>
      <c r="Y64" s="195"/>
      <c r="Z64" s="266"/>
      <c r="AA64" s="265"/>
      <c r="AB64" s="195"/>
      <c r="AC64" s="195"/>
      <c r="AD64" s="195"/>
      <c r="AE64" s="266"/>
    </row>
    <row r="65" spans="1:31" s="11" customFormat="1" x14ac:dyDescent="0.2">
      <c r="A65" s="193"/>
      <c r="B65" s="193"/>
      <c r="C65" s="193"/>
      <c r="D65" s="244"/>
      <c r="E65" s="247"/>
      <c r="F65" s="248"/>
      <c r="G65" s="255"/>
      <c r="H65" s="194"/>
      <c r="I65" s="194"/>
      <c r="J65" s="194"/>
      <c r="K65" s="194"/>
      <c r="L65" s="256"/>
      <c r="M65" s="250"/>
      <c r="N65" s="258"/>
      <c r="O65" s="265"/>
      <c r="P65" s="195"/>
      <c r="Q65" s="195"/>
      <c r="R65" s="195"/>
      <c r="S65" s="195"/>
      <c r="T65" s="195"/>
      <c r="U65" s="195"/>
      <c r="V65" s="195"/>
      <c r="W65" s="195"/>
      <c r="X65" s="195"/>
      <c r="Y65" s="195"/>
      <c r="Z65" s="266"/>
      <c r="AA65" s="265"/>
      <c r="AB65" s="195"/>
      <c r="AC65" s="195"/>
      <c r="AD65" s="195"/>
      <c r="AE65" s="266"/>
    </row>
    <row r="66" spans="1:31" s="11" customFormat="1" x14ac:dyDescent="0.2">
      <c r="A66" s="193"/>
      <c r="B66" s="193"/>
      <c r="C66" s="193"/>
      <c r="D66" s="244"/>
      <c r="E66" s="247"/>
      <c r="F66" s="248"/>
      <c r="G66" s="255"/>
      <c r="H66" s="194"/>
      <c r="I66" s="194"/>
      <c r="J66" s="194"/>
      <c r="K66" s="194"/>
      <c r="L66" s="256"/>
      <c r="M66" s="250"/>
      <c r="N66" s="258"/>
      <c r="O66" s="265"/>
      <c r="P66" s="195"/>
      <c r="Q66" s="195"/>
      <c r="R66" s="195"/>
      <c r="S66" s="195"/>
      <c r="T66" s="195"/>
      <c r="U66" s="195"/>
      <c r="V66" s="195"/>
      <c r="W66" s="195"/>
      <c r="X66" s="195"/>
      <c r="Y66" s="195"/>
      <c r="Z66" s="266"/>
      <c r="AA66" s="265"/>
      <c r="AB66" s="195"/>
      <c r="AC66" s="195"/>
      <c r="AD66" s="195"/>
      <c r="AE66" s="266"/>
    </row>
    <row r="67" spans="1:31" s="11" customFormat="1" x14ac:dyDescent="0.2">
      <c r="A67" s="193"/>
      <c r="B67" s="193"/>
      <c r="C67" s="193"/>
      <c r="D67" s="244"/>
      <c r="E67" s="247"/>
      <c r="F67" s="248"/>
      <c r="G67" s="255"/>
      <c r="H67" s="194"/>
      <c r="I67" s="194"/>
      <c r="J67" s="194"/>
      <c r="K67" s="194"/>
      <c r="L67" s="256"/>
      <c r="M67" s="250"/>
      <c r="N67" s="258"/>
      <c r="O67" s="265"/>
      <c r="P67" s="195"/>
      <c r="Q67" s="195"/>
      <c r="R67" s="195"/>
      <c r="S67" s="195"/>
      <c r="T67" s="195"/>
      <c r="U67" s="195"/>
      <c r="V67" s="195"/>
      <c r="W67" s="195"/>
      <c r="X67" s="195"/>
      <c r="Y67" s="195"/>
      <c r="Z67" s="266"/>
      <c r="AA67" s="265"/>
      <c r="AB67" s="195"/>
      <c r="AC67" s="195"/>
      <c r="AD67" s="195"/>
      <c r="AE67" s="266"/>
    </row>
    <row r="68" spans="1:31" s="11" customFormat="1" x14ac:dyDescent="0.2">
      <c r="A68" s="193"/>
      <c r="B68" s="193"/>
      <c r="C68" s="193"/>
      <c r="D68" s="244"/>
      <c r="E68" s="247"/>
      <c r="F68" s="248"/>
      <c r="G68" s="255"/>
      <c r="H68" s="194"/>
      <c r="I68" s="194"/>
      <c r="J68" s="194"/>
      <c r="K68" s="194"/>
      <c r="L68" s="256"/>
      <c r="M68" s="250"/>
      <c r="N68" s="258"/>
      <c r="O68" s="265"/>
      <c r="P68" s="195"/>
      <c r="Q68" s="195"/>
      <c r="R68" s="195"/>
      <c r="S68" s="195"/>
      <c r="T68" s="195"/>
      <c r="U68" s="195"/>
      <c r="V68" s="195"/>
      <c r="W68" s="195"/>
      <c r="X68" s="195"/>
      <c r="Y68" s="195"/>
      <c r="Z68" s="266"/>
      <c r="AA68" s="265"/>
      <c r="AB68" s="195"/>
      <c r="AC68" s="195"/>
      <c r="AD68" s="195"/>
      <c r="AE68" s="266"/>
    </row>
    <row r="69" spans="1:31" s="11" customFormat="1" x14ac:dyDescent="0.2">
      <c r="A69" s="193"/>
      <c r="B69" s="193"/>
      <c r="C69" s="193"/>
      <c r="D69" s="244"/>
      <c r="E69" s="247"/>
      <c r="F69" s="248"/>
      <c r="G69" s="255"/>
      <c r="H69" s="194"/>
      <c r="I69" s="194"/>
      <c r="J69" s="194"/>
      <c r="K69" s="194"/>
      <c r="L69" s="256"/>
      <c r="M69" s="250"/>
      <c r="N69" s="258"/>
      <c r="O69" s="265"/>
      <c r="P69" s="195"/>
      <c r="Q69" s="195"/>
      <c r="R69" s="195"/>
      <c r="S69" s="195"/>
      <c r="T69" s="195"/>
      <c r="U69" s="195"/>
      <c r="V69" s="195"/>
      <c r="W69" s="195"/>
      <c r="X69" s="195"/>
      <c r="Y69" s="195"/>
      <c r="Z69" s="266"/>
      <c r="AA69" s="265"/>
      <c r="AB69" s="195"/>
      <c r="AC69" s="195"/>
      <c r="AD69" s="195"/>
      <c r="AE69" s="266"/>
    </row>
    <row r="70" spans="1:31" s="11" customFormat="1" x14ac:dyDescent="0.2">
      <c r="A70" s="193"/>
      <c r="B70" s="193"/>
      <c r="C70" s="193"/>
      <c r="D70" s="244"/>
      <c r="E70" s="247"/>
      <c r="F70" s="248"/>
      <c r="G70" s="255"/>
      <c r="H70" s="194"/>
      <c r="I70" s="194"/>
      <c r="J70" s="194"/>
      <c r="K70" s="194"/>
      <c r="L70" s="256"/>
      <c r="M70" s="250"/>
      <c r="N70" s="258"/>
      <c r="O70" s="265"/>
      <c r="P70" s="195"/>
      <c r="Q70" s="195"/>
      <c r="R70" s="195"/>
      <c r="S70" s="195"/>
      <c r="T70" s="195"/>
      <c r="U70" s="195"/>
      <c r="V70" s="195"/>
      <c r="W70" s="195"/>
      <c r="X70" s="195"/>
      <c r="Y70" s="195"/>
      <c r="Z70" s="266"/>
      <c r="AA70" s="265"/>
      <c r="AB70" s="195"/>
      <c r="AC70" s="195"/>
      <c r="AD70" s="195"/>
      <c r="AE70" s="266"/>
    </row>
    <row r="71" spans="1:31" s="11" customFormat="1" x14ac:dyDescent="0.2">
      <c r="A71" s="193"/>
      <c r="B71" s="193"/>
      <c r="C71" s="193"/>
      <c r="D71" s="244"/>
      <c r="E71" s="247"/>
      <c r="F71" s="248"/>
      <c r="G71" s="255"/>
      <c r="H71" s="194"/>
      <c r="I71" s="194"/>
      <c r="J71" s="194"/>
      <c r="K71" s="194"/>
      <c r="L71" s="256"/>
      <c r="M71" s="250"/>
      <c r="N71" s="258"/>
      <c r="O71" s="265"/>
      <c r="P71" s="195"/>
      <c r="Q71" s="195"/>
      <c r="R71" s="195"/>
      <c r="S71" s="195"/>
      <c r="T71" s="195"/>
      <c r="U71" s="195"/>
      <c r="V71" s="195"/>
      <c r="W71" s="195"/>
      <c r="X71" s="195"/>
      <c r="Y71" s="195"/>
      <c r="Z71" s="266"/>
      <c r="AA71" s="265"/>
      <c r="AB71" s="195"/>
      <c r="AC71" s="195"/>
      <c r="AD71" s="195"/>
      <c r="AE71" s="266"/>
    </row>
    <row r="72" spans="1:31" s="11" customFormat="1" x14ac:dyDescent="0.2">
      <c r="A72" s="193"/>
      <c r="B72" s="193"/>
      <c r="C72" s="193"/>
      <c r="D72" s="244"/>
      <c r="E72" s="247"/>
      <c r="F72" s="248"/>
      <c r="G72" s="255"/>
      <c r="H72" s="194"/>
      <c r="I72" s="194"/>
      <c r="J72" s="194"/>
      <c r="K72" s="194"/>
      <c r="L72" s="256"/>
      <c r="M72" s="250"/>
      <c r="N72" s="258"/>
      <c r="O72" s="265"/>
      <c r="P72" s="195"/>
      <c r="Q72" s="195"/>
      <c r="R72" s="195"/>
      <c r="S72" s="195"/>
      <c r="T72" s="195"/>
      <c r="U72" s="195"/>
      <c r="V72" s="195"/>
      <c r="W72" s="195"/>
      <c r="X72" s="195"/>
      <c r="Y72" s="195"/>
      <c r="Z72" s="266"/>
      <c r="AA72" s="265"/>
      <c r="AB72" s="195"/>
      <c r="AC72" s="195"/>
      <c r="AD72" s="195"/>
      <c r="AE72" s="266"/>
    </row>
    <row r="73" spans="1:31" s="11" customFormat="1" x14ac:dyDescent="0.2">
      <c r="A73" s="193"/>
      <c r="B73" s="193"/>
      <c r="C73" s="193"/>
      <c r="D73" s="244"/>
      <c r="E73" s="247"/>
      <c r="F73" s="248"/>
      <c r="G73" s="255"/>
      <c r="H73" s="194"/>
      <c r="I73" s="194"/>
      <c r="J73" s="194"/>
      <c r="K73" s="194"/>
      <c r="L73" s="256"/>
      <c r="M73" s="250"/>
      <c r="N73" s="258"/>
      <c r="O73" s="265"/>
      <c r="P73" s="195"/>
      <c r="Q73" s="195"/>
      <c r="R73" s="195"/>
      <c r="S73" s="195"/>
      <c r="T73" s="195"/>
      <c r="U73" s="195"/>
      <c r="V73" s="195"/>
      <c r="W73" s="195"/>
      <c r="X73" s="195"/>
      <c r="Y73" s="195"/>
      <c r="Z73" s="266"/>
      <c r="AA73" s="265"/>
      <c r="AB73" s="195"/>
      <c r="AC73" s="195"/>
      <c r="AD73" s="195"/>
      <c r="AE73" s="266"/>
    </row>
    <row r="74" spans="1:31" s="11" customFormat="1" x14ac:dyDescent="0.2">
      <c r="A74" s="193"/>
      <c r="B74" s="193"/>
      <c r="C74" s="193"/>
      <c r="D74" s="244"/>
      <c r="E74" s="247"/>
      <c r="F74" s="248"/>
      <c r="G74" s="255"/>
      <c r="H74" s="194"/>
      <c r="I74" s="194"/>
      <c r="J74" s="194"/>
      <c r="K74" s="194"/>
      <c r="L74" s="256"/>
      <c r="M74" s="250"/>
      <c r="N74" s="258"/>
      <c r="O74" s="265"/>
      <c r="P74" s="195"/>
      <c r="Q74" s="195"/>
      <c r="R74" s="195"/>
      <c r="S74" s="195"/>
      <c r="T74" s="195"/>
      <c r="U74" s="195"/>
      <c r="V74" s="195"/>
      <c r="W74" s="195"/>
      <c r="X74" s="195"/>
      <c r="Y74" s="195"/>
      <c r="Z74" s="266"/>
      <c r="AA74" s="265"/>
      <c r="AB74" s="195"/>
      <c r="AC74" s="195"/>
      <c r="AD74" s="195"/>
      <c r="AE74" s="266"/>
    </row>
    <row r="75" spans="1:31" s="11" customFormat="1" x14ac:dyDescent="0.2">
      <c r="A75" s="193"/>
      <c r="B75" s="193"/>
      <c r="C75" s="193"/>
      <c r="D75" s="244"/>
      <c r="E75" s="247"/>
      <c r="F75" s="248"/>
      <c r="G75" s="255"/>
      <c r="H75" s="194"/>
      <c r="I75" s="194"/>
      <c r="J75" s="194"/>
      <c r="K75" s="194"/>
      <c r="L75" s="256"/>
      <c r="M75" s="250"/>
      <c r="N75" s="258"/>
      <c r="O75" s="265"/>
      <c r="P75" s="195"/>
      <c r="Q75" s="195"/>
      <c r="R75" s="195"/>
      <c r="S75" s="195"/>
      <c r="T75" s="195"/>
      <c r="U75" s="195"/>
      <c r="V75" s="195"/>
      <c r="W75" s="195"/>
      <c r="X75" s="195"/>
      <c r="Y75" s="195"/>
      <c r="Z75" s="266"/>
      <c r="AA75" s="265"/>
      <c r="AB75" s="195"/>
      <c r="AC75" s="195"/>
      <c r="AD75" s="195"/>
      <c r="AE75" s="266"/>
    </row>
    <row r="76" spans="1:31" s="11" customFormat="1" x14ac:dyDescent="0.2">
      <c r="A76" s="193"/>
      <c r="B76" s="193"/>
      <c r="C76" s="193"/>
      <c r="D76" s="244"/>
      <c r="E76" s="247"/>
      <c r="F76" s="248"/>
      <c r="G76" s="255"/>
      <c r="H76" s="194"/>
      <c r="I76" s="194"/>
      <c r="J76" s="194"/>
      <c r="K76" s="194"/>
      <c r="L76" s="256"/>
      <c r="M76" s="250"/>
      <c r="N76" s="258"/>
      <c r="O76" s="265"/>
      <c r="P76" s="195"/>
      <c r="Q76" s="195"/>
      <c r="R76" s="195"/>
      <c r="S76" s="195"/>
      <c r="T76" s="195"/>
      <c r="U76" s="195"/>
      <c r="V76" s="195"/>
      <c r="W76" s="195"/>
      <c r="X76" s="195"/>
      <c r="Y76" s="195"/>
      <c r="Z76" s="266"/>
      <c r="AA76" s="265"/>
      <c r="AB76" s="195"/>
      <c r="AC76" s="195"/>
      <c r="AD76" s="195"/>
      <c r="AE76" s="266"/>
    </row>
    <row r="77" spans="1:31" s="11" customFormat="1" x14ac:dyDescent="0.2">
      <c r="A77" s="193"/>
      <c r="B77" s="193"/>
      <c r="C77" s="193"/>
      <c r="D77" s="244"/>
      <c r="E77" s="247"/>
      <c r="F77" s="248"/>
      <c r="G77" s="255"/>
      <c r="H77" s="194"/>
      <c r="I77" s="194"/>
      <c r="J77" s="194"/>
      <c r="K77" s="194"/>
      <c r="L77" s="256"/>
      <c r="M77" s="250"/>
      <c r="N77" s="258"/>
      <c r="O77" s="265"/>
      <c r="P77" s="195"/>
      <c r="Q77" s="195"/>
      <c r="R77" s="195"/>
      <c r="S77" s="195"/>
      <c r="T77" s="195"/>
      <c r="U77" s="195"/>
      <c r="V77" s="195"/>
      <c r="W77" s="195"/>
      <c r="X77" s="195"/>
      <c r="Y77" s="195"/>
      <c r="Z77" s="266"/>
      <c r="AA77" s="265"/>
      <c r="AB77" s="195"/>
      <c r="AC77" s="195"/>
      <c r="AD77" s="195"/>
      <c r="AE77" s="266"/>
    </row>
    <row r="78" spans="1:31" s="11" customFormat="1" x14ac:dyDescent="0.2">
      <c r="A78" s="193"/>
      <c r="B78" s="193"/>
      <c r="C78" s="193"/>
      <c r="D78" s="244"/>
      <c r="E78" s="247"/>
      <c r="F78" s="248"/>
      <c r="G78" s="255"/>
      <c r="H78" s="194"/>
      <c r="I78" s="194"/>
      <c r="J78" s="194"/>
      <c r="K78" s="194"/>
      <c r="L78" s="256"/>
      <c r="M78" s="250"/>
      <c r="N78" s="258"/>
      <c r="O78" s="265"/>
      <c r="P78" s="195"/>
      <c r="Q78" s="195"/>
      <c r="R78" s="195"/>
      <c r="S78" s="195"/>
      <c r="T78" s="195"/>
      <c r="U78" s="195"/>
      <c r="V78" s="195"/>
      <c r="W78" s="195"/>
      <c r="X78" s="195"/>
      <c r="Y78" s="195"/>
      <c r="Z78" s="266"/>
      <c r="AA78" s="265"/>
      <c r="AB78" s="195"/>
      <c r="AC78" s="195"/>
      <c r="AD78" s="195"/>
      <c r="AE78" s="266"/>
    </row>
    <row r="79" spans="1:31" s="11" customFormat="1" x14ac:dyDescent="0.2">
      <c r="A79" s="193"/>
      <c r="B79" s="193"/>
      <c r="C79" s="193"/>
      <c r="D79" s="244"/>
      <c r="E79" s="247"/>
      <c r="F79" s="248"/>
      <c r="G79" s="255"/>
      <c r="H79" s="194"/>
      <c r="I79" s="194"/>
      <c r="J79" s="194"/>
      <c r="K79" s="194"/>
      <c r="L79" s="256"/>
      <c r="M79" s="250"/>
      <c r="N79" s="258"/>
      <c r="O79" s="265"/>
      <c r="P79" s="195"/>
      <c r="Q79" s="195"/>
      <c r="R79" s="195"/>
      <c r="S79" s="195"/>
      <c r="T79" s="195"/>
      <c r="U79" s="195"/>
      <c r="V79" s="195"/>
      <c r="W79" s="195"/>
      <c r="X79" s="195"/>
      <c r="Y79" s="195"/>
      <c r="Z79" s="266"/>
      <c r="AA79" s="265"/>
      <c r="AB79" s="195"/>
      <c r="AC79" s="195"/>
      <c r="AD79" s="195"/>
      <c r="AE79" s="266"/>
    </row>
    <row r="80" spans="1:31" s="11" customFormat="1" x14ac:dyDescent="0.2">
      <c r="A80" s="193"/>
      <c r="B80" s="193"/>
      <c r="C80" s="193"/>
      <c r="D80" s="244"/>
      <c r="E80" s="247"/>
      <c r="F80" s="248"/>
      <c r="G80" s="255"/>
      <c r="H80" s="194"/>
      <c r="I80" s="194"/>
      <c r="J80" s="194"/>
      <c r="K80" s="194"/>
      <c r="L80" s="256"/>
      <c r="M80" s="250"/>
      <c r="N80" s="258"/>
      <c r="O80" s="265"/>
      <c r="P80" s="195"/>
      <c r="Q80" s="195"/>
      <c r="R80" s="195"/>
      <c r="S80" s="195"/>
      <c r="T80" s="195"/>
      <c r="U80" s="195"/>
      <c r="V80" s="195"/>
      <c r="W80" s="195"/>
      <c r="X80" s="195"/>
      <c r="Y80" s="195"/>
      <c r="Z80" s="266"/>
      <c r="AA80" s="265"/>
      <c r="AB80" s="195"/>
      <c r="AC80" s="195"/>
      <c r="AD80" s="195"/>
      <c r="AE80" s="266"/>
    </row>
    <row r="81" spans="1:31" s="11" customFormat="1" x14ac:dyDescent="0.2">
      <c r="A81" s="193"/>
      <c r="B81" s="193"/>
      <c r="C81" s="193"/>
      <c r="D81" s="244"/>
      <c r="E81" s="247"/>
      <c r="F81" s="248"/>
      <c r="G81" s="255"/>
      <c r="H81" s="194"/>
      <c r="I81" s="194"/>
      <c r="J81" s="194"/>
      <c r="K81" s="194"/>
      <c r="L81" s="256"/>
      <c r="M81" s="250"/>
      <c r="N81" s="258"/>
      <c r="O81" s="265"/>
      <c r="P81" s="195"/>
      <c r="Q81" s="195"/>
      <c r="R81" s="195"/>
      <c r="S81" s="195"/>
      <c r="T81" s="195"/>
      <c r="U81" s="195"/>
      <c r="V81" s="195"/>
      <c r="W81" s="195"/>
      <c r="X81" s="195"/>
      <c r="Y81" s="195"/>
      <c r="Z81" s="266"/>
      <c r="AA81" s="265"/>
      <c r="AB81" s="195"/>
      <c r="AC81" s="195"/>
      <c r="AD81" s="195"/>
      <c r="AE81" s="266"/>
    </row>
    <row r="82" spans="1:31" s="11" customFormat="1" x14ac:dyDescent="0.2">
      <c r="A82" s="193"/>
      <c r="B82" s="193"/>
      <c r="C82" s="193"/>
      <c r="D82" s="244"/>
      <c r="E82" s="247"/>
      <c r="F82" s="248"/>
      <c r="G82" s="255"/>
      <c r="H82" s="194"/>
      <c r="I82" s="194"/>
      <c r="J82" s="194"/>
      <c r="K82" s="194"/>
      <c r="L82" s="256"/>
      <c r="M82" s="250"/>
      <c r="N82" s="258"/>
      <c r="O82" s="265"/>
      <c r="P82" s="195"/>
      <c r="Q82" s="195"/>
      <c r="R82" s="195"/>
      <c r="S82" s="195"/>
      <c r="T82" s="195"/>
      <c r="U82" s="195"/>
      <c r="V82" s="195"/>
      <c r="W82" s="195"/>
      <c r="X82" s="195"/>
      <c r="Y82" s="195"/>
      <c r="Z82" s="266"/>
      <c r="AA82" s="265"/>
      <c r="AB82" s="195"/>
      <c r="AC82" s="195"/>
      <c r="AD82" s="195"/>
      <c r="AE82" s="266"/>
    </row>
    <row r="83" spans="1:31" s="11" customFormat="1" x14ac:dyDescent="0.2">
      <c r="A83" s="193"/>
      <c r="B83" s="193"/>
      <c r="C83" s="193"/>
      <c r="D83" s="244"/>
      <c r="E83" s="247"/>
      <c r="F83" s="248"/>
      <c r="G83" s="255"/>
      <c r="H83" s="194"/>
      <c r="I83" s="194"/>
      <c r="J83" s="194"/>
      <c r="K83" s="194"/>
      <c r="L83" s="256"/>
      <c r="M83" s="250"/>
      <c r="N83" s="258"/>
      <c r="O83" s="265"/>
      <c r="P83" s="195"/>
      <c r="Q83" s="195"/>
      <c r="R83" s="195"/>
      <c r="S83" s="195"/>
      <c r="T83" s="195"/>
      <c r="U83" s="195"/>
      <c r="V83" s="195"/>
      <c r="W83" s="195"/>
      <c r="X83" s="195"/>
      <c r="Y83" s="195"/>
      <c r="Z83" s="266"/>
      <c r="AA83" s="265"/>
      <c r="AB83" s="195"/>
      <c r="AC83" s="195"/>
      <c r="AD83" s="195"/>
      <c r="AE83" s="266"/>
    </row>
    <row r="84" spans="1:31" s="11" customFormat="1" x14ac:dyDescent="0.2">
      <c r="A84" s="193"/>
      <c r="B84" s="193"/>
      <c r="C84" s="193"/>
      <c r="D84" s="244"/>
      <c r="E84" s="247"/>
      <c r="F84" s="248"/>
      <c r="G84" s="255"/>
      <c r="H84" s="194"/>
      <c r="I84" s="194"/>
      <c r="J84" s="194"/>
      <c r="K84" s="194"/>
      <c r="L84" s="256"/>
      <c r="M84" s="250"/>
      <c r="N84" s="258"/>
      <c r="O84" s="265"/>
      <c r="P84" s="195"/>
      <c r="Q84" s="195"/>
      <c r="R84" s="195"/>
      <c r="S84" s="195"/>
      <c r="T84" s="195"/>
      <c r="U84" s="195"/>
      <c r="V84" s="195"/>
      <c r="W84" s="195"/>
      <c r="X84" s="195"/>
      <c r="Y84" s="195"/>
      <c r="Z84" s="266"/>
      <c r="AA84" s="265"/>
      <c r="AB84" s="195"/>
      <c r="AC84" s="195"/>
      <c r="AD84" s="195"/>
      <c r="AE84" s="266"/>
    </row>
    <row r="85" spans="1:31" s="11" customFormat="1" x14ac:dyDescent="0.2">
      <c r="A85" s="193"/>
      <c r="B85" s="193"/>
      <c r="C85" s="193"/>
      <c r="D85" s="244"/>
      <c r="E85" s="247"/>
      <c r="F85" s="248"/>
      <c r="G85" s="255"/>
      <c r="H85" s="194"/>
      <c r="I85" s="194"/>
      <c r="J85" s="194"/>
      <c r="K85" s="194"/>
      <c r="L85" s="256"/>
      <c r="M85" s="250"/>
      <c r="N85" s="258"/>
      <c r="O85" s="265"/>
      <c r="P85" s="195"/>
      <c r="Q85" s="195"/>
      <c r="R85" s="195"/>
      <c r="S85" s="195"/>
      <c r="T85" s="195"/>
      <c r="U85" s="195"/>
      <c r="V85" s="195"/>
      <c r="W85" s="195"/>
      <c r="X85" s="195"/>
      <c r="Y85" s="195"/>
      <c r="Z85" s="266"/>
      <c r="AA85" s="265"/>
      <c r="AB85" s="195"/>
      <c r="AC85" s="195"/>
      <c r="AD85" s="195"/>
      <c r="AE85" s="266"/>
    </row>
    <row r="86" spans="1:31" s="11" customFormat="1" x14ac:dyDescent="0.2">
      <c r="A86" s="193"/>
      <c r="B86" s="193"/>
      <c r="C86" s="193"/>
      <c r="D86" s="244"/>
      <c r="E86" s="247"/>
      <c r="F86" s="248"/>
      <c r="G86" s="255"/>
      <c r="H86" s="194"/>
      <c r="I86" s="194"/>
      <c r="J86" s="194"/>
      <c r="K86" s="194"/>
      <c r="L86" s="256"/>
      <c r="M86" s="250"/>
      <c r="N86" s="258"/>
      <c r="O86" s="265"/>
      <c r="P86" s="195"/>
      <c r="Q86" s="195"/>
      <c r="R86" s="195"/>
      <c r="S86" s="195"/>
      <c r="T86" s="195"/>
      <c r="U86" s="195"/>
      <c r="V86" s="195"/>
      <c r="W86" s="195"/>
      <c r="X86" s="195"/>
      <c r="Y86" s="195"/>
      <c r="Z86" s="266"/>
      <c r="AA86" s="265"/>
      <c r="AB86" s="195"/>
      <c r="AC86" s="195"/>
      <c r="AD86" s="195"/>
      <c r="AE86" s="266"/>
    </row>
    <row r="87" spans="1:31" s="11" customFormat="1" x14ac:dyDescent="0.2">
      <c r="A87" s="193"/>
      <c r="B87" s="193"/>
      <c r="C87" s="193"/>
      <c r="D87" s="244"/>
      <c r="E87" s="247"/>
      <c r="F87" s="248"/>
      <c r="G87" s="255"/>
      <c r="H87" s="194"/>
      <c r="I87" s="194"/>
      <c r="J87" s="194"/>
      <c r="K87" s="194"/>
      <c r="L87" s="256"/>
      <c r="M87" s="250"/>
      <c r="N87" s="258"/>
      <c r="O87" s="265"/>
      <c r="P87" s="195"/>
      <c r="Q87" s="195"/>
      <c r="R87" s="195"/>
      <c r="S87" s="195"/>
      <c r="T87" s="195"/>
      <c r="U87" s="195"/>
      <c r="V87" s="195"/>
      <c r="W87" s="195"/>
      <c r="X87" s="195"/>
      <c r="Y87" s="195"/>
      <c r="Z87" s="266"/>
      <c r="AA87" s="265"/>
      <c r="AB87" s="195"/>
      <c r="AC87" s="195"/>
      <c r="AD87" s="195"/>
      <c r="AE87" s="266"/>
    </row>
    <row r="88" spans="1:31" s="11" customFormat="1" x14ac:dyDescent="0.2">
      <c r="A88" s="193"/>
      <c r="B88" s="193"/>
      <c r="C88" s="193"/>
      <c r="D88" s="244"/>
      <c r="E88" s="247"/>
      <c r="F88" s="248"/>
      <c r="G88" s="255"/>
      <c r="H88" s="194"/>
      <c r="I88" s="194"/>
      <c r="J88" s="194"/>
      <c r="K88" s="194"/>
      <c r="L88" s="256"/>
      <c r="M88" s="250"/>
      <c r="N88" s="258"/>
      <c r="O88" s="265"/>
      <c r="P88" s="195"/>
      <c r="Q88" s="195"/>
      <c r="R88" s="195"/>
      <c r="S88" s="195"/>
      <c r="T88" s="195"/>
      <c r="U88" s="195"/>
      <c r="V88" s="195"/>
      <c r="W88" s="195"/>
      <c r="X88" s="195"/>
      <c r="Y88" s="195"/>
      <c r="Z88" s="266"/>
      <c r="AA88" s="265"/>
      <c r="AB88" s="195"/>
      <c r="AC88" s="195"/>
      <c r="AD88" s="195"/>
      <c r="AE88" s="266"/>
    </row>
    <row r="89" spans="1:31" s="11" customFormat="1" x14ac:dyDescent="0.2">
      <c r="A89" s="193"/>
      <c r="B89" s="193"/>
      <c r="C89" s="193"/>
      <c r="D89" s="244"/>
      <c r="E89" s="247"/>
      <c r="F89" s="248"/>
      <c r="G89" s="255"/>
      <c r="H89" s="194"/>
      <c r="I89" s="194"/>
      <c r="J89" s="194"/>
      <c r="K89" s="194"/>
      <c r="L89" s="256"/>
      <c r="M89" s="250"/>
      <c r="N89" s="258"/>
      <c r="O89" s="265"/>
      <c r="P89" s="195"/>
      <c r="Q89" s="195"/>
      <c r="R89" s="195"/>
      <c r="S89" s="195"/>
      <c r="T89" s="195"/>
      <c r="U89" s="195"/>
      <c r="V89" s="195"/>
      <c r="W89" s="195"/>
      <c r="X89" s="195"/>
      <c r="Y89" s="195"/>
      <c r="Z89" s="266"/>
      <c r="AA89" s="265"/>
      <c r="AB89" s="195"/>
      <c r="AC89" s="195"/>
      <c r="AD89" s="195"/>
      <c r="AE89" s="266"/>
    </row>
    <row r="90" spans="1:31" s="11" customFormat="1" x14ac:dyDescent="0.2">
      <c r="A90" s="193"/>
      <c r="B90" s="193"/>
      <c r="C90" s="193"/>
      <c r="D90" s="244"/>
      <c r="E90" s="247"/>
      <c r="F90" s="248"/>
      <c r="G90" s="255"/>
      <c r="H90" s="194"/>
      <c r="I90" s="194"/>
      <c r="J90" s="194"/>
      <c r="K90" s="194"/>
      <c r="L90" s="256"/>
      <c r="M90" s="250"/>
      <c r="N90" s="258"/>
      <c r="O90" s="265"/>
      <c r="P90" s="195"/>
      <c r="Q90" s="195"/>
      <c r="R90" s="195"/>
      <c r="S90" s="195"/>
      <c r="T90" s="195"/>
      <c r="U90" s="195"/>
      <c r="V90" s="195"/>
      <c r="W90" s="195"/>
      <c r="X90" s="195"/>
      <c r="Y90" s="195"/>
      <c r="Z90" s="266"/>
      <c r="AA90" s="265"/>
      <c r="AB90" s="195"/>
      <c r="AC90" s="195"/>
      <c r="AD90" s="195"/>
      <c r="AE90" s="266"/>
    </row>
    <row r="91" spans="1:31" s="11" customFormat="1" x14ac:dyDescent="0.2">
      <c r="A91" s="193"/>
      <c r="B91" s="193"/>
      <c r="C91" s="193"/>
      <c r="D91" s="244"/>
      <c r="E91" s="247"/>
      <c r="F91" s="248"/>
      <c r="G91" s="255"/>
      <c r="H91" s="194"/>
      <c r="I91" s="194"/>
      <c r="J91" s="194"/>
      <c r="K91" s="194"/>
      <c r="L91" s="256"/>
      <c r="M91" s="250"/>
      <c r="N91" s="258"/>
      <c r="O91" s="265"/>
      <c r="P91" s="195"/>
      <c r="Q91" s="195"/>
      <c r="R91" s="195"/>
      <c r="S91" s="195"/>
      <c r="T91" s="195"/>
      <c r="U91" s="195"/>
      <c r="V91" s="195"/>
      <c r="W91" s="195"/>
      <c r="X91" s="195"/>
      <c r="Y91" s="195"/>
      <c r="Z91" s="266"/>
      <c r="AA91" s="265"/>
      <c r="AB91" s="195"/>
      <c r="AC91" s="195"/>
      <c r="AD91" s="195"/>
      <c r="AE91" s="266"/>
    </row>
    <row r="92" spans="1:31" s="11" customFormat="1" x14ac:dyDescent="0.2">
      <c r="A92" s="193"/>
      <c r="B92" s="193"/>
      <c r="C92" s="193"/>
      <c r="D92" s="244"/>
      <c r="E92" s="247"/>
      <c r="F92" s="248"/>
      <c r="G92" s="255"/>
      <c r="H92" s="194"/>
      <c r="I92" s="194"/>
      <c r="J92" s="194"/>
      <c r="K92" s="194"/>
      <c r="L92" s="256"/>
      <c r="M92" s="250"/>
      <c r="N92" s="258"/>
      <c r="O92" s="265"/>
      <c r="P92" s="195"/>
      <c r="Q92" s="195"/>
      <c r="R92" s="195"/>
      <c r="S92" s="195"/>
      <c r="T92" s="195"/>
      <c r="U92" s="195"/>
      <c r="V92" s="195"/>
      <c r="W92" s="195"/>
      <c r="X92" s="195"/>
      <c r="Y92" s="195"/>
      <c r="Z92" s="266"/>
      <c r="AA92" s="265"/>
      <c r="AB92" s="195"/>
      <c r="AC92" s="195"/>
      <c r="AD92" s="195"/>
      <c r="AE92" s="266"/>
    </row>
  </sheetData>
  <sheetProtection algorithmName="SHA-512" hashValue="4bZVXqjoPCZ6rG4SolHpiDQVTYTRziu8M7eIFozAMqcSFH37TZapxgPT+rNzcxaAMTpbBvU5NWtEkoiVG6/cEQ==" saltValue="MbSoIvy5deajRwRGZULr8Q==" spinCount="100000" sheet="1" objects="1" scenarios="1"/>
  <mergeCells count="10">
    <mergeCell ref="N2:N3"/>
    <mergeCell ref="O2:Z2"/>
    <mergeCell ref="G2:L2"/>
    <mergeCell ref="A2:A3"/>
    <mergeCell ref="C2:C3"/>
    <mergeCell ref="E2:E3"/>
    <mergeCell ref="F2:F3"/>
    <mergeCell ref="M2:M3"/>
    <mergeCell ref="B2:B3"/>
    <mergeCell ref="D2:D3"/>
  </mergeCells>
  <phoneticPr fontId="0" type="noConversion"/>
  <conditionalFormatting sqref="A5:AE92">
    <cfRule type="expression" dxfId="0" priority="1" stopIfTrue="1">
      <formula>MOD(ROW(),2)=0</formula>
    </cfRule>
  </conditionalFormatting>
  <dataValidations xWindow="896" yWindow="852" count="13">
    <dataValidation type="whole" allowBlank="1" showInputMessage="1" showErrorMessage="1" errorTitle="Basic Weight" error="Please enter a valid whole number." promptTitle="Basic Weight" prompt="Enter the aircraft's basic empty weight in pounds." sqref="E4:E92 AA4:AC92" xr:uid="{00000000-0002-0000-0800-000000000000}">
      <formula1>1</formula1>
      <formula2>100000</formula2>
    </dataValidation>
    <dataValidation type="whole" allowBlank="1" showInputMessage="1" showErrorMessage="1" errorTitle="Takeoff Weight" error="Please enter a valid whole number." promptTitle="Takeoff Weight" prompt="Enter the aircraft's maximum takeoff weight in pounds." sqref="F4:F92 AD4:AD92" xr:uid="{00000000-0002-0000-0800-000001000000}">
      <formula1>1</formula1>
      <formula2>100000</formula2>
    </dataValidation>
    <dataValidation type="decimal" allowBlank="1" showInputMessage="1" showErrorMessage="1" errorTitle="Arm Distance" error="Enter a valid decimal number in inches." promptTitle="Fuel Arm Distance" prompt="Enter the arm value" sqref="L4:L92" xr:uid="{00000000-0002-0000-0800-000002000000}">
      <formula1>1</formula1>
      <formula2>1000</formula2>
    </dataValidation>
    <dataValidation type="decimal" allowBlank="1" showInputMessage="1" showErrorMessage="1" errorTitle="Arm Distance" error="Enter a valid decimal number in inches." promptTitle="Aircraft Arm Distance" prompt="Enter the arm value" sqref="G4:G92 AE4:AE92" xr:uid="{00000000-0002-0000-0800-000003000000}">
      <formula1>1</formula1>
      <formula2>1000</formula2>
    </dataValidation>
    <dataValidation type="decimal" allowBlank="1" showInputMessage="1" showErrorMessage="1" errorTitle="Arm Distance" error="Enter a valid decimal number in inches." promptTitle="Pilot and Co-Pilot Arm Distance" prompt="Enter the arm value" sqref="H4:H92" xr:uid="{00000000-0002-0000-0800-000004000000}">
      <formula1>1</formula1>
      <formula2>1000</formula2>
    </dataValidation>
    <dataValidation type="decimal" allowBlank="1" showInputMessage="1" showErrorMessage="1" errorTitle="Arm Distance" error="Enter a valid decimal number in inches." promptTitle="Rear Passanger Arm Distance" prompt="Enter the arm value" sqref="I4:I92" xr:uid="{00000000-0002-0000-0800-000005000000}">
      <formula1>1</formula1>
      <formula2>1000</formula2>
    </dataValidation>
    <dataValidation type="decimal" allowBlank="1" showInputMessage="1" showErrorMessage="1" errorTitle="Arm Distance" error="Enter a valid decimal number in inches." promptTitle="Baggage Area 1 Arm Distance" prompt="Enter the arm value" sqref="J4:J92" xr:uid="{00000000-0002-0000-0800-000006000000}">
      <formula1>1</formula1>
      <formula2>1000</formula2>
    </dataValidation>
    <dataValidation type="decimal" allowBlank="1" showInputMessage="1" showErrorMessage="1" errorTitle="Arm Distance" error="Enter a valid decimal number in inches." promptTitle="Baggage Area 2 Arm Distance" prompt="Enter the arm value" sqref="K4:K92" xr:uid="{00000000-0002-0000-0800-000007000000}">
      <formula1>1</formula1>
      <formula2>1000</formula2>
    </dataValidation>
    <dataValidation type="decimal" allowBlank="1" showInputMessage="1" showErrorMessage="1" errorTitle="Maximum Fuel Capacity" error="Enter a valid decimal number." promptTitle="Maximum Fuel Capacity" prompt="Enter the maximum fuel capacity (in gallons), including unusable fuel." sqref="M4:M92" xr:uid="{00000000-0002-0000-0800-000008000000}">
      <formula1>1</formula1>
      <formula2>10000</formula2>
    </dataValidation>
    <dataValidation type="decimal" allowBlank="1" showInputMessage="1" showErrorMessage="1" errorTitle="Unusable Fuel Quantity" error="Please enter a valid decimal number." promptTitle="Unusable Fuel Quantity" prompt="Enter the unusable fuel quantity (in gallons)." sqref="N4:N92" xr:uid="{00000000-0002-0000-0800-000009000000}">
      <formula1>1</formula1>
      <formula2>1000</formula2>
    </dataValidation>
    <dataValidation allowBlank="1" showInputMessage="1" showErrorMessage="1" promptTitle="Aircraft Colors" prompt="Enter the primary and then secondary color(s) of the aircraft." sqref="D4:D92" xr:uid="{00000000-0002-0000-0800-00000A000000}"/>
    <dataValidation allowBlank="1" showInputMessage="1" showErrorMessage="1" promptTitle="Aircraft Types and Equipment" prompt="Enter the aircraft type and equipment suffix, as on the bottom of the 'Weather-FP sheet'. For example &quot;C172/G&quot;." sqref="C4:C92" xr:uid="{00000000-0002-0000-0800-00000B000000}"/>
    <dataValidation allowBlank="1" showInputMessage="1" showErrorMessage="1" promptTitle="Call Sign" prompt="Enter the aircraft's tail number." sqref="A4:A92" xr:uid="{00000000-0002-0000-0800-00000C000000}"/>
  </dataValidations>
  <pageMargins left="0.19685039370078741" right="0.19685039370078741" top="0.31496062992125984" bottom="0.31496062992125984" header="0.19685039370078741" footer="0.19685039370078741"/>
  <pageSetup paperSize="9" scale="58" fitToHeight="0" orientation="landscape" r:id="rId1"/>
  <headerFooter alignWithMargins="0"/>
  <extLst>
    <ext xmlns:mx="http://schemas.microsoft.com/office/mac/excel/2008/main" uri="{64002731-A6B0-56B0-2670-7721B7C09600}">
      <mx:PLV Mode="0"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3F675F-1945-4235-AD44-937D55598C0B}">
  <sheetPr codeName="Sheet10"/>
  <dimension ref="A1:D11"/>
  <sheetViews>
    <sheetView showGridLines="0" showRowColHeaders="0" zoomScaleNormal="100" workbookViewId="0"/>
  </sheetViews>
  <sheetFormatPr baseColWidth="10" defaultColWidth="9" defaultRowHeight="14" x14ac:dyDescent="0.2"/>
  <cols>
    <col min="1" max="1" width="7" customWidth="1"/>
    <col min="2" max="2" width="21.3984375" customWidth="1"/>
    <col min="3" max="3" width="46.796875" customWidth="1"/>
  </cols>
  <sheetData>
    <row r="1" spans="1:4" ht="19" x14ac:dyDescent="0.2">
      <c r="A1" s="269" t="s">
        <v>318</v>
      </c>
      <c r="B1" s="269"/>
    </row>
    <row r="3" spans="1:4" s="3" customFormat="1" x14ac:dyDescent="0.2">
      <c r="B3" s="270" t="s">
        <v>319</v>
      </c>
      <c r="C3" s="271" t="b">
        <v>0</v>
      </c>
      <c r="D3" s="272"/>
    </row>
    <row r="4" spans="1:4" s="3" customFormat="1" x14ac:dyDescent="0.2">
      <c r="B4" s="270" t="s">
        <v>320</v>
      </c>
      <c r="C4" s="272" t="str" cm="1">
        <f t="array" ref="C4">IF(IsMac(),
       "File &gt;&gt; New from Template… &gt;&gt; Personal &gt;&gt; VFR-Flight-Planner",
       "File &gt;&gt; New &gt;&gt; Personal &gt;&gt; VFR-Flight-Planner")</f>
        <v>File &gt;&gt; New from Template… &gt;&gt; Personal &gt;&gt; VFR-Flight-Planner</v>
      </c>
      <c r="D4" s="272"/>
    </row>
    <row r="5" spans="1:4" s="3" customFormat="1" x14ac:dyDescent="0.2">
      <c r="B5" s="273" t="s">
        <v>325</v>
      </c>
      <c r="C5" s="279" t="s">
        <v>339</v>
      </c>
      <c r="D5" s="280"/>
    </row>
    <row r="6" spans="1:4" s="3" customFormat="1" x14ac:dyDescent="0.2">
      <c r="B6" s="274" t="s">
        <v>324</v>
      </c>
      <c r="C6" s="281" t="s">
        <v>340</v>
      </c>
      <c r="D6" s="281"/>
    </row>
    <row r="7" spans="1:4" s="3" customFormat="1" x14ac:dyDescent="0.2">
      <c r="B7" s="274" t="s">
        <v>322</v>
      </c>
      <c r="C7" s="282"/>
      <c r="D7" s="281"/>
    </row>
    <row r="8" spans="1:4" s="3" customFormat="1" x14ac:dyDescent="0.2">
      <c r="B8" s="274" t="s">
        <v>323</v>
      </c>
      <c r="C8" s="271" t="b">
        <v>1</v>
      </c>
      <c r="D8" s="281"/>
    </row>
    <row r="9" spans="1:4" s="3" customFormat="1" x14ac:dyDescent="0.2">
      <c r="B9" s="274" t="s">
        <v>329</v>
      </c>
      <c r="C9" s="271" t="b">
        <v>0</v>
      </c>
      <c r="D9" s="281"/>
    </row>
    <row r="10" spans="1:4" s="3" customFormat="1" x14ac:dyDescent="0.2">
      <c r="B10" s="274" t="s">
        <v>330</v>
      </c>
      <c r="C10" s="283" t="b" cm="1">
        <f t="array" aca="1" ref="C10" ca="1">IFERROR(MacrosEnabled(RANDBETWEEN(1, 1000)), FALSE)</f>
        <v>1</v>
      </c>
      <c r="D10" s="281"/>
    </row>
    <row r="11" spans="1:4" s="3" customFormat="1" x14ac:dyDescent="0.2">
      <c r="B11" s="281"/>
      <c r="C11" s="283"/>
      <c r="D11" s="281"/>
    </row>
  </sheetData>
  <sheetProtection algorithmName="SHA-512" hashValue="np+MGptmd9gmlBvHS4BRUykjCeuh7c1YtrPYw2gxdcTJGiqMqHd/FnNvw+rS4oLmSCfpt1Np/2iOLErlUA/+xg==" saltValue="poA6FPH+ALLY8pKiqUcsTQ==" spinCount="100000" sheet="1" objects="1" scenarios="1"/>
  <dataValidations count="1">
    <dataValidation type="list" allowBlank="1" showInputMessage="1" showErrorMessage="1" sqref="C3 C8:C9" xr:uid="{89F7356C-FBF2-4500-8479-B37622105224}">
      <formula1>"TRUE,FALSE"</formula1>
    </dataValidation>
  </dataValidations>
  <pageMargins left="0.7" right="0.7" top="0.75" bottom="0.75" header="0.3" footer="0.3"/>
  <pageSetup paperSize="9" orientation="portrait" r:id="rId1"/>
</worksheet>
</file>

<file path=customUI/_rels/customUI.xml.rels><?xml version="1.0" encoding="UTF-8" standalone="yes"?>
<Relationships xmlns="http://schemas.openxmlformats.org/package/2006/relationships"><Relationship Id="AirplaneOpen" Type="http://schemas.openxmlformats.org/officeDocument/2006/relationships/image" Target="images/AirplaneOpen.png"/><Relationship Id="AirportOpen" Type="http://schemas.openxmlformats.org/officeDocument/2006/relationships/image" Target="images/AirportOpen.png"/></Relationships>
</file>

<file path=customUI/customUI.xml><?xml version="1.0" encoding="utf-8"?>
<customUI xmlns="http://schemas.microsoft.com/office/2006/01/customui" onLoad="RibbonOnLoad">
  <ribbon>
    <tabs>
      <tab id="VFR_Flight_Planner" label="VFR Flight Planner" tag="VFRFlightPlanner" getVisible="GetVisible">
        <group id="VFP_Flight_Plans" label="Flight Plans">
          <button id="VFP_New_Plan" label="New plan" imageMso="PivotTableLayoutReportLayout" size="large" onAction="CallbackNewFlightPlan"/>
          <button id="VFP_Print" label="Print" imageMso="FilePrintQuick" size="large" onAction="CallbackPrintPlanningSheets"/>
          <button id="VFP_Auto_Zoom" label="Zoom tabs" imageMso="GroupWindowAccess" size="large" onAction="CallbackAutoZoomAllSheets"/>
        </group>
        <group id="VFP_Database" label="Aircraft / Airport database">
          <button id="VFP_Edit_Airport_DB" label="Edit airports" image="AirportOpen" size="large" onAction="CallbackOpenAirportDatabaseForEdit"/>
          <button id="VFP_Edit_Aircraft_DB" label="Edit aircraft" image="AirplaneOpen" size="large" onAction="CallbackOpenAircraftDatabaseForEdit"/>
          <button id="VFP_Merge_DB" label="Merge with database" imageMso="GetExternalDataExistingConnections" size="large" onAction="CallbackMergeData"/>
          <button id="VFP_Create_DB" label="Create new database" imageMso="DatabaseQueryNew" size="large" onAction="CallbackCreateDatabaseFile"/>
        </group>
        <group id="VFP_Info" label="More information">
          <button id="VFP_About" label="About..." imageMso="TentativeAcceptInvitation" size="large" onAction="CallbackDisplayAboutDialog"/>
          <button id="VFP_Web" label="On the web" imageMso="ShowTimeZones" size="large" onAction="CallbackDisplayWebPage"/>
        </group>
      </tab>
    </tabs>
  </ribbon>
</customUI>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11</vt:i4>
      </vt:variant>
      <vt:variant>
        <vt:lpstr>Named Ranges</vt:lpstr>
      </vt:variant>
      <vt:variant>
        <vt:i4>87</vt:i4>
      </vt:variant>
    </vt:vector>
  </HeadingPairs>
  <TitlesOfParts>
    <vt:vector size="98" baseType="lpstr">
      <vt:lpstr>Macros</vt:lpstr>
      <vt:lpstr>Installation</vt:lpstr>
      <vt:lpstr>Instructions</vt:lpstr>
      <vt:lpstr>Check Lists</vt:lpstr>
      <vt:lpstr>Weather-FP</vt:lpstr>
      <vt:lpstr>Navigation Log</vt:lpstr>
      <vt:lpstr>Navigation Log 2</vt:lpstr>
      <vt:lpstr>Notes</vt:lpstr>
      <vt:lpstr>Airport Database</vt:lpstr>
      <vt:lpstr>Aircraft Database</vt:lpstr>
      <vt:lpstr>Definitions</vt:lpstr>
      <vt:lpstr>AFDData</vt:lpstr>
      <vt:lpstr>AFDDataStart</vt:lpstr>
      <vt:lpstr>Aircraft_Data_Table</vt:lpstr>
      <vt:lpstr>AircraftColor</vt:lpstr>
      <vt:lpstr>AircraftComment</vt:lpstr>
      <vt:lpstr>AircraftData</vt:lpstr>
      <vt:lpstr>AircraftDataStart</vt:lpstr>
      <vt:lpstr>AircraftNumber</vt:lpstr>
      <vt:lpstr>AircraftNumbers</vt:lpstr>
      <vt:lpstr>AircraftType</vt:lpstr>
      <vt:lpstr>AirportIdentifiers</vt:lpstr>
      <vt:lpstr>AirportNames</vt:lpstr>
      <vt:lpstr>ArmAirplane</vt:lpstr>
      <vt:lpstr>ArmBaggageArea1</vt:lpstr>
      <vt:lpstr>ArmBaggageArea2</vt:lpstr>
      <vt:lpstr>ArmFuel</vt:lpstr>
      <vt:lpstr>ArmPassengers</vt:lpstr>
      <vt:lpstr>ArmPilot</vt:lpstr>
      <vt:lpstr>BasicEmptyWeight</vt:lpstr>
      <vt:lpstr>BlankCell</vt:lpstr>
      <vt:lpstr>ClimbAirspeed</vt:lpstr>
      <vt:lpstr>ClimbDistance</vt:lpstr>
      <vt:lpstr>ClimbFuel</vt:lpstr>
      <vt:lpstr>CopyrightIDString</vt:lpstr>
      <vt:lpstr>CruiseAirspeed</vt:lpstr>
      <vt:lpstr>CruiseAltitude</vt:lpstr>
      <vt:lpstr>CruiseEnduranceMinutes</vt:lpstr>
      <vt:lpstr>CruiseFuelGPH</vt:lpstr>
      <vt:lpstr>DatabasePath</vt:lpstr>
      <vt:lpstr>DepartureAirportFSSFreq</vt:lpstr>
      <vt:lpstr>DepartureAirportFSSName</vt:lpstr>
      <vt:lpstr>DepartureAirportID</vt:lpstr>
      <vt:lpstr>DepartureAirportName</vt:lpstr>
      <vt:lpstr>DestinationAirportFSSFreq</vt:lpstr>
      <vt:lpstr>DestinationAirportFSSName</vt:lpstr>
      <vt:lpstr>DestinationAirportID</vt:lpstr>
      <vt:lpstr>DestinationAirportName</vt:lpstr>
      <vt:lpstr>DisclaimerText</vt:lpstr>
      <vt:lpstr>EnrouteAirportFSSFreq</vt:lpstr>
      <vt:lpstr>EnrouteAirportFSSName</vt:lpstr>
      <vt:lpstr>EnrouteAirportID</vt:lpstr>
      <vt:lpstr>EnrouteAirportName</vt:lpstr>
      <vt:lpstr>FPEstTimeEnroute</vt:lpstr>
      <vt:lpstr>Installation!HomeCell</vt:lpstr>
      <vt:lpstr>HomeCell</vt:lpstr>
      <vt:lpstr>IsMacrosEnabled</vt:lpstr>
      <vt:lpstr>IsNavLogFilled</vt:lpstr>
      <vt:lpstr>IsPromptOnDBMerge</vt:lpstr>
      <vt:lpstr>IsTemplateInstalled</vt:lpstr>
      <vt:lpstr>LocatedAircraft</vt:lpstr>
      <vt:lpstr>MaxFuelCapacity</vt:lpstr>
      <vt:lpstr>MaxTakeOffWeight</vt:lpstr>
      <vt:lpstr>Note1Cell</vt:lpstr>
      <vt:lpstr>'Aircraft Database'!Print_Area</vt:lpstr>
      <vt:lpstr>'Airport Database'!Print_Area</vt:lpstr>
      <vt:lpstr>'Check Lists'!Print_Area</vt:lpstr>
      <vt:lpstr>Installation!Print_Area</vt:lpstr>
      <vt:lpstr>Instructions!Print_Area</vt:lpstr>
      <vt:lpstr>'Navigation Log'!Print_Area</vt:lpstr>
      <vt:lpstr>'Navigation Log 2'!Print_Area</vt:lpstr>
      <vt:lpstr>Notes!Print_Area</vt:lpstr>
      <vt:lpstr>'Weather-FP'!Print_Area</vt:lpstr>
      <vt:lpstr>'Aircraft Database'!Print_Titles</vt:lpstr>
      <vt:lpstr>'Airport Database'!Print_Titles</vt:lpstr>
      <vt:lpstr>RefInstallationNormalRows</vt:lpstr>
      <vt:lpstr>RefInstructionsNormalRows</vt:lpstr>
      <vt:lpstr>RefNavigationLog2CP1</vt:lpstr>
      <vt:lpstr>RefNewDocumentSequence</vt:lpstr>
      <vt:lpstr>RemainingFuel1</vt:lpstr>
      <vt:lpstr>RemainingFuel2</vt:lpstr>
      <vt:lpstr>TableAirportSelections</vt:lpstr>
      <vt:lpstr>TableCGLimits</vt:lpstr>
      <vt:lpstr>TableCheckPoints</vt:lpstr>
      <vt:lpstr>TableFuelUsed</vt:lpstr>
      <vt:lpstr>TableGroundSpeed</vt:lpstr>
      <vt:lpstr>TableNavLogNotes</vt:lpstr>
      <vt:lpstr>TableVORData</vt:lpstr>
      <vt:lpstr>TableWeightAndBalance</vt:lpstr>
      <vt:lpstr>TakeOffUsableFuelWeight</vt:lpstr>
      <vt:lpstr>TimeOff</vt:lpstr>
      <vt:lpstr>TotalDistance</vt:lpstr>
      <vt:lpstr>TotalETE</vt:lpstr>
      <vt:lpstr>TotalFuelConsumed</vt:lpstr>
      <vt:lpstr>TripDescription</vt:lpstr>
      <vt:lpstr>UnusableFuelGallons</vt:lpstr>
      <vt:lpstr>UsableFuelGallons</vt:lpstr>
      <vt:lpstr>VersionIDString</vt:lpstr>
    </vt:vector>
  </TitlesOfParts>
  <Company>www.elseyworld.com</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VFR Cross Country</dc:title>
  <dc:subject>Flight Planning Tool</dc:subject>
  <dc:creator>Nick Elsey</dc:creator>
  <cp:lastModifiedBy>Nick Elsey</cp:lastModifiedBy>
  <cp:lastPrinted>2020-02-23T07:46:24Z</cp:lastPrinted>
  <dcterms:created xsi:type="dcterms:W3CDTF">2002-05-27T18:13:07Z</dcterms:created>
  <dcterms:modified xsi:type="dcterms:W3CDTF">2025-03-07T06:13:23Z</dcterms:modified>
</cp:coreProperties>
</file>