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drawingml.chart+xml" PartName="/xl/charts/chart7.xml"/>
  <Override ContentType="application/vnd.openxmlformats-officedocument.drawingml.chart+xml" PartName="/xl/charts/chart27.xml"/>
  <Override ContentType="application/vnd.openxmlformats-officedocument.drawingml.chart+xml" PartName="/xl/charts/chart14.xml"/>
  <Override ContentType="application/vnd.openxmlformats-officedocument.drawingml.chart+xml" PartName="/xl/charts/chart30.xml"/>
  <Override ContentType="application/vnd.openxmlformats-officedocument.drawingml.chart+xml" PartName="/xl/charts/chart18.xml"/>
  <Override ContentType="application/vnd.openxmlformats-officedocument.drawingml.chart+xml" PartName="/xl/charts/chart43.xml"/>
  <Override ContentType="application/vnd.openxmlformats-officedocument.drawingml.chart+xml" PartName="/xl/charts/chart13.xml"/>
  <Override ContentType="application/vnd.openxmlformats-officedocument.drawingml.chart+xml" PartName="/xl/charts/chart44.xml"/>
  <Override ContentType="application/vnd.openxmlformats-officedocument.drawingml.chart+xml" PartName="/xl/charts/chart31.xml"/>
  <Override ContentType="application/vnd.openxmlformats-officedocument.drawingml.chart+xml" PartName="/xl/charts/chart26.xml"/>
  <Override ContentType="application/vnd.openxmlformats-officedocument.drawingml.chart+xml" PartName="/xl/charts/chart39.xml"/>
  <Override ContentType="application/vnd.openxmlformats-officedocument.drawingml.chart+xml" PartName="/xl/charts/chart35.xml"/>
  <Override ContentType="application/vnd.openxmlformats-officedocument.drawingml.chart+xml" PartName="/xl/charts/chart2.xml"/>
  <Override ContentType="application/vnd.openxmlformats-officedocument.drawingml.chart+xml" PartName="/xl/charts/chart22.xml"/>
  <Override ContentType="application/vnd.openxmlformats-officedocument.drawingml.chart+xml" PartName="/xl/charts/chart34.xml"/>
  <Override ContentType="application/vnd.openxmlformats-officedocument.drawingml.chart+xml" PartName="/xl/charts/chart8.xml"/>
  <Override ContentType="application/vnd.openxmlformats-officedocument.drawingml.chart+xml" PartName="/xl/charts/chart17.xml"/>
  <Override ContentType="application/vnd.openxmlformats-officedocument.drawingml.chart+xml" PartName="/xl/charts/chart42.xml"/>
  <Override ContentType="application/vnd.openxmlformats-officedocument.drawingml.chart+xml" PartName="/xl/charts/chart25.xml"/>
  <Override ContentType="application/vnd.openxmlformats-officedocument.drawingml.chart+xml" PartName="/xl/charts/chart12.xml"/>
  <Override ContentType="application/vnd.openxmlformats-officedocument.drawingml.chart+xml" PartName="/xl/charts/chart21.xml"/>
  <Override ContentType="application/vnd.openxmlformats-officedocument.drawingml.chart+xml" PartName="/xl/charts/chart3.xml"/>
  <Override ContentType="application/vnd.openxmlformats-officedocument.drawingml.chart+xml" PartName="/xl/charts/chart38.xml"/>
  <Override ContentType="application/vnd.openxmlformats-officedocument.drawingml.chart+xml" PartName="/xl/charts/chart16.xml"/>
  <Override ContentType="application/vnd.openxmlformats-officedocument.drawingml.chart+xml" PartName="/xl/charts/chart41.xml"/>
  <Override ContentType="application/vnd.openxmlformats-officedocument.drawingml.chart+xml" PartName="/xl/charts/chart11.xml"/>
  <Override ContentType="application/vnd.openxmlformats-officedocument.drawingml.chart+xml" PartName="/xl/charts/chart29.xml"/>
  <Override ContentType="application/vnd.openxmlformats-officedocument.drawingml.chart+xml" PartName="/xl/charts/chart37.xml"/>
  <Override ContentType="application/vnd.openxmlformats-officedocument.drawingml.chart+xml" PartName="/xl/charts/chart4.xml"/>
  <Override ContentType="application/vnd.openxmlformats-officedocument.drawingml.chart+xml" PartName="/xl/charts/chart20.xml"/>
  <Override ContentType="application/vnd.openxmlformats-officedocument.drawingml.chart+xml" PartName="/xl/charts/chart33.xml"/>
  <Override ContentType="application/vnd.openxmlformats-officedocument.drawingml.chart+xml" PartName="/xl/charts/chart24.xml"/>
  <Override ContentType="application/vnd.openxmlformats-officedocument.drawingml.chart+xml" PartName="/xl/charts/chart1.xml"/>
  <Override ContentType="application/vnd.openxmlformats-officedocument.drawingml.chart+xml" PartName="/xl/charts/chart28.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15.xml"/>
  <Override ContentType="application/vnd.openxmlformats-officedocument.drawingml.chart+xml" PartName="/xl/charts/chart40.xml"/>
  <Override ContentType="application/vnd.openxmlformats-officedocument.drawingml.chart+xml" PartName="/xl/charts/chart9.xml"/>
  <Override ContentType="application/vnd.openxmlformats-officedocument.drawingml.chart+xml" PartName="/xl/charts/chart19.xml"/>
  <Override ContentType="application/vnd.openxmlformats-officedocument.drawingml.chart+xml" PartName="/xl/charts/chart32.xml"/>
  <Override ContentType="application/vnd.openxmlformats-officedocument.drawingml.chart+xml" PartName="/xl/charts/chart5.xml"/>
  <Override ContentType="application/vnd.openxmlformats-officedocument.drawingml.chart+xml" PartName="/xl/charts/chart23.xml"/>
  <Override ContentType="application/vnd.openxmlformats-officedocument.drawingml.chart+xml" PartName="/xl/charts/chart36.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ndimiento" sheetId="1" r:id="rId5"/>
    <sheet state="visible" name="Graficas Rendimiento" sheetId="2" r:id="rId6"/>
    <sheet state="visible" name="Copia de Graficas Rendimiento 1" sheetId="3" r:id="rId7"/>
    <sheet state="visible" name="Copia de Copia de Graficas Rend" sheetId="4" r:id="rId8"/>
    <sheet state="visible" name="Copia de Graficas Rendimiento" sheetId="5" r:id="rId9"/>
    <sheet state="visible" name="Modelo numero de mensajes por t" sheetId="6" r:id="rId10"/>
    <sheet state="visible" name="Costes_Variables" sheetId="7" r:id="rId11"/>
    <sheet state="visible" name="Rangos" sheetId="8" r:id="rId12"/>
    <sheet state="visible" name="Costes_Fijos" sheetId="9" r:id="rId13"/>
  </sheets>
  <definedNames>
    <definedName name="ren_cac">Rendimiento!$B$61:$S$61</definedName>
    <definedName name="ren_clientes_break_even">Rendimiento!$B$65:$S$65</definedName>
    <definedName name="ren_good_clients">Rendimiento!$B$17:$S$17</definedName>
    <definedName name="ren_arpu">Rendimiento!$B$55:$S$55</definedName>
    <definedName name="irpf_tipos">Rangos!$B$5:$K$5</definedName>
    <definedName name="ren_coste_variable_por_cliente">Rendimiento!$B$54:$S$54</definedName>
    <definedName name="ren_margen_contribucion_porcentaje">Rendimiento!$B$57:$S$57</definedName>
    <definedName name="ren_payback">Rendimiento!$B$62:$S$62</definedName>
    <definedName name="ren_margen_contribucion">Rendimiento!$B$56:$S$56</definedName>
    <definedName name="ren_beneficio_neto">Rendimiento!$B$51:$S$51</definedName>
    <definedName name="ren_numero_clientes">Rendimiento!$B$2:$S$2</definedName>
    <definedName name="ren_ingreso_neto">Rendimiento!$B$41:$S$41</definedName>
    <definedName name="ren_margen_neto_despues_impuestos_porcentaje">Rendimiento!$B$52:$S$52</definedName>
    <definedName name="ren_ebitda">Rendimiento!$B$43:$S$43</definedName>
    <definedName name="Numero_Clientes">Rangos!$B$1:$S$1</definedName>
    <definedName name="ren_mrr">Rendimiento!$B$58:$S$58</definedName>
    <definedName name="ren_coste_variable_sms_neto">Rendimiento!$B$35:$S$35</definedName>
    <definedName name="costes_netos">Rendimiento!$B$42:$S$42</definedName>
    <definedName name="ren_cogs_neto">Rendimiento!$B$44:$S$44</definedName>
    <definedName name="irpf_limites">Rangos!$B$4:$K$4</definedName>
    <definedName name="ren_customer_adquisition">Rendimiento!$B$60:$S$60</definedName>
    <definedName name="ren_coste_fijo_neto">Rendimiento!$B$12</definedName>
    <definedName name="ren_best_clients">Rendimiento!$B$19:$S$19</definedName>
    <definedName name="ren_ltv_por_cac">Rendimiento!$B$64:$S$64</definedName>
    <definedName name="ren_margen_neto_porcentaje">Rendimiento!$B$45:$S$45</definedName>
    <definedName name="ren_better_clients">Rendimiento!$B$18:$S$18</definedName>
    <definedName name="ren_faltan_clientes_break_even">Rendimiento!$B$66:$S$66</definedName>
    <definedName name="ren_coste_variable_neto">Rendimiento!$B$37:$S$37</definedName>
    <definedName name="ren_arr">Rendimiento!$B$59:$S$59</definedName>
    <definedName name="ren_ltv">Rendimiento!$B$63:$S$63</definedName>
    <definedName name="MARGEN_CONTRIBUCION_PORCENTAJE">LAMBDA(margen_contribucion, arpu, margen_contribucion/arpu)</definedName>
    <definedName name="ARPU">LAMBDA(ingreso_neto, total_numero_clientes, ingreso_neto/total_numero_clientes)</definedName>
    <definedName name="IRPF">LAMBDA(base, limites, tipos, LET(
  b, MAX(0, base),
  L, limites,
  T, tipos,
  n, COLUMNS(L),
  SUM(
    MAP(SEQUENCE(1,n),
      LAMBDA(i,
        MAX(0,
          MIN(b, IF(i=n, b, INDEX(L,1,i))) - IF(i=1, 0, INDEX(L,1,i-1))
        ) * INDEX(T,1,i)
      )
    )
  )
))</definedName>
    <definedName name="CAC">LAMBDA(coste_adquisicion_cliente, numero_clientes, coste_adquisicion_cliente/numero_clientes)</definedName>
    <definedName name="MARGEN_CONTRIBUCION">LAMBDA(coste_variable_por_cliente, arpu, arpu-coste_variable_por_cliente)</definedName>
    <definedName name="MYCOLUMNS">LAMBDA(rango, SEQUENCE(1, COLUMNS(rango), COLUMN(rango), 1))</definedName>
    <definedName name="COSTO_VARIABLE_DE_INGRESO">LAMBDA(importe, total_porcentajes, (importe * total_porcentajes)/ 100)</definedName>
    <definedName name="POR_NUMERO_CLIENTES">LAMBDA(lambda, MAP(MYCOLUMNS(Numero_Clientes), lambda))</definedName>
    <definedName name="PAYBACK">LAMBDA(cac, margen_contribucion, churn_rate, (cac/margen_contribucion)*(1-churn_rate))</definedName>
    <definedName name="COSTE_VARIABLE_POR_TRANSACCION">LAMBDA(numero_de_transacciones, importe_por_transaccion, numero_de_transacciones * importe_por_transaccion)</definedName>
    <definedName name="MARGEN_NETO_PORCENTAGE">LAMBDA(ebitda, ingreso_neto, ebitda/ingreso_neto)</definedName>
    <definedName name="EBITDA">LAMBDA(ingreso_bruto, coste_bruto, ingreso_bruto-coste_bruto)</definedName>
    <definedName name="IVA">LAMBDA(bruto, bruto - (bruto / 1.21))</definedName>
    <definedName name="CLIENTES_BREAK_EVEN">LAMBDA(numero_clientes, margen_contribucion, numero_clientes/margen_contribucion)</definedName>
    <definedName name="MICELDA">LAMBDA(fila, columna, INDIRECT(ADDRESS(fila, columna, 4)))</definedName>
    <definedName name="NETO">LAMBDA(importe, iva, importe/1.21)</definedName>
    <definedName name="COSTE_VARIABLE_PARA_CUSTOMER_ADQUISITION">LAMBDA(ingreso_bruto, porcentaje_invertido, ingreso_bruto * porcentaje_invertido%)</definedName>
    <definedName name="FALTAN_PARA_BREAK_EVEN">LAMBDA(clientes_break_even, total_clientes, MAX(0,clientes_break_even-total_clientes))</definedName>
    <definedName name="COSTE_VARIABLE_POR_SMS">LAMBDA(numero_de_sms, coste_sms, coste_sms * numero_de_sms)</definedName>
    <definedName name="LTV_POR_CAC">LAMBDA(ltv, cac, ltv/cac)</definedName>
    <definedName name="COSTE_VARIABLE_COGS">LAMBDA(ingreso_importe, porcentaje_ingreso_importe, numero_transacciones, importe_por_transaccion, numero_de_sms, coste_por_sms, COSTO_VARIABLE_DE_INGRESO(ingreso_importe, porcentaje_ingreso_importe) + COSTE_VARIABLE_POR_TRANSACCION(numero_transacciones, importe_por_transaccion) +
COSTE_VARIABLE_POR_SMS(numero_de_sms, coste_por_sms))</definedName>
    <definedName name="IVA_A_PAGAR">LAMBDA(repercutido, soportado, repercutido - soportado)</definedName>
    <definedName name="POR_NAMED_RANGE">LAMBDA(named_range, lambda, MAP(MYCOLUMNS(named_range), lambda))</definedName>
    <definedName name="COSTE_VARIABLE_POR_CLIENTE">LAMBDA(coste_variable_neto, numero_clientes, coste_variable_neto/numero_clientes)</definedName>
    <definedName name="LTV">LAMBDA(margen_contribucion, permanencia_media_cliente, margen_contribucion*permanencia_media_cliente)</definedName>
    <definedName name="MRR">LAMBDA(ingreso_neto, churn_rate, ingreso_neto - (ingreso_neto*churn_rate%))</definedName>
  </definedNames>
  <calcPr/>
</workbook>
</file>

<file path=xl/sharedStrings.xml><?xml version="1.0" encoding="utf-8"?>
<sst xmlns="http://schemas.openxmlformats.org/spreadsheetml/2006/main" count="313" uniqueCount="192">
  <si>
    <t>## INPUTS</t>
  </si>
  <si>
    <t>Numero de clientes</t>
  </si>
  <si>
    <t>Good plan precio</t>
  </si>
  <si>
    <t>Better plan  precio</t>
  </si>
  <si>
    <t>Best plan precio</t>
  </si>
  <si>
    <t>Good plan numero de mensajes</t>
  </si>
  <si>
    <t>Better plan numero de mensajes</t>
  </si>
  <si>
    <t>Better plan precio</t>
  </si>
  <si>
    <t>Best plan numero de mensajes</t>
  </si>
  <si>
    <t>Distribucion good</t>
  </si>
  <si>
    <t>Distribucion better</t>
  </si>
  <si>
    <t>Distribucion best</t>
  </si>
  <si>
    <t>Total Costes Fijos Neto</t>
  </si>
  <si>
    <t>Customer stay duration</t>
  </si>
  <si>
    <t>meses</t>
  </si>
  <si>
    <t>Churn rate</t>
  </si>
  <si>
    <t>%</t>
  </si>
  <si>
    <t>## OUTPUTS</t>
  </si>
  <si>
    <t>📊 CLIENTES POR TIER</t>
  </si>
  <si>
    <t>Good Clients</t>
  </si>
  <si>
    <t>Better Clients</t>
  </si>
  <si>
    <t>Best Clients</t>
  </si>
  <si>
    <t>Total Clients</t>
  </si>
  <si>
    <t>💰 INGRESOS MENSUALES</t>
  </si>
  <si>
    <t>Good Bruto</t>
  </si>
  <si>
    <t>Better Bruto</t>
  </si>
  <si>
    <t>Best Bruto</t>
  </si>
  <si>
    <t>Total Ingreso Bruto</t>
  </si>
  <si>
    <t>Total Ingreso Neto</t>
  </si>
  <si>
    <t>📈 DATOS PARA COSTES VARIABLES</t>
  </si>
  <si>
    <t>Good SMS</t>
  </si>
  <si>
    <t>Better SMS</t>
  </si>
  <si>
    <t>Best SMS</t>
  </si>
  <si>
    <t>Total SMS</t>
  </si>
  <si>
    <t>📈 COSTES VARIABLES</t>
  </si>
  <si>
    <t>Dependiente de ingreso neto</t>
  </si>
  <si>
    <t>Por transaccion</t>
  </si>
  <si>
    <t>Por mensaje</t>
  </si>
  <si>
    <t>Total Variables Bruto</t>
  </si>
  <si>
    <t>Total Variables Neto</t>
  </si>
  <si>
    <t>"======================="</t>
  </si>
  <si>
    <t>"==========="</t>
  </si>
  <si>
    <t>💵 RESUMEN FINANCIERO</t>
  </si>
  <si>
    <t>Ingreso Bruto</t>
  </si>
  <si>
    <t>Ingreso Neto</t>
  </si>
  <si>
    <t>Total Costes Neto</t>
  </si>
  <si>
    <t>EBITDA</t>
  </si>
  <si>
    <t>CostOfGoodsSold</t>
  </si>
  <si>
    <t>Margen Neto %</t>
  </si>
  <si>
    <t>💵 IMPUESTOS (estimaciones)</t>
  </si>
  <si>
    <t>IVA repercutido</t>
  </si>
  <si>
    <t>IVA soportado</t>
  </si>
  <si>
    <t>IVA a pagar</t>
  </si>
  <si>
    <t>IRFP (20 aprox)</t>
  </si>
  <si>
    <t>Beneficio neto</t>
  </si>
  <si>
    <t>📊 MÉTRICAS CLAVE</t>
  </si>
  <si>
    <t>Coste Variable/Cliente</t>
  </si>
  <si>
    <t>AverageRevenuePerUser</t>
  </si>
  <si>
    <t>Margen Contribución</t>
  </si>
  <si>
    <t>Margen Contribución % (Piensa en el margen de contribución % (MC%) como el trozo de cada euro de ingreso que queda libre después de pagar los costes variables. Ese trozo “libre” sirve primero para cubrir costes fijos y, una vez cubiertos, para beneficio.)</t>
  </si>
  <si>
    <t>MRR</t>
  </si>
  <si>
    <t>ARR</t>
  </si>
  <si>
    <t>Total Customer Adquisition</t>
  </si>
  <si>
    <t>CAC</t>
  </si>
  <si>
    <t>Payback(meses)</t>
  </si>
  <si>
    <t>LTV</t>
  </si>
  <si>
    <t>LTV/CAC</t>
  </si>
  <si>
    <t>Clientes Break-even</t>
  </si>
  <si>
    <t>Faltan Clientes</t>
  </si>
  <si>
    <t>🎯 ANÁLISIS DE OBJETIVOS</t>
  </si>
  <si>
    <t>Status</t>
  </si>
  <si>
    <t>🔴 PERDIDAS</t>
  </si>
  <si>
    <t>🟢 RENTABLE</t>
  </si>
  <si>
    <t>Crecimiento</t>
  </si>
  <si>
    <t>📈 Necesitas 197,500572998815 clientes mas</t>
  </si>
  <si>
    <t>📈 Necesitas 173,097619229578 clientes mas</t>
  </si>
  <si>
    <t>📈 Necesitas 144,668541049138 clientes mas</t>
  </si>
  <si>
    <t>📈 Necesitas 104,668541049138 clientes mas</t>
  </si>
  <si>
    <t>📈 Necesitas 53,497961930185 clientes mas</t>
  </si>
  <si>
    <t>🎯 Break-even alcanzado</t>
  </si>
  <si>
    <t>LTC/CAC Status</t>
  </si>
  <si>
    <t>💎 ANÁLISIS POR TIER (distinta forma de calcula el coste fijo)</t>
  </si>
  <si>
    <t>Good - Ingreso neto</t>
  </si>
  <si>
    <t>Good - Coste fijo</t>
  </si>
  <si>
    <t>Good - Coste variable</t>
  </si>
  <si>
    <t>Good - EBITDA</t>
  </si>
  <si>
    <t>Good - Margen neto %</t>
  </si>
  <si>
    <t>Better - Ingreso neto</t>
  </si>
  <si>
    <t>Better - Coste fijo</t>
  </si>
  <si>
    <t>Better - Coste variable</t>
  </si>
  <si>
    <t>Better - EBITDA</t>
  </si>
  <si>
    <t>Better - Margen neto %</t>
  </si>
  <si>
    <t>Best - Ingreso neto</t>
  </si>
  <si>
    <t>Best - Coste fijo</t>
  </si>
  <si>
    <t>Best - Coste variable</t>
  </si>
  <si>
    <t>Best - EBITDA</t>
  </si>
  <si>
    <t>Best - Margen neto %</t>
  </si>
  <si>
    <t>Distribucion clientes good</t>
  </si>
  <si>
    <t>Distribucion clientes better</t>
  </si>
  <si>
    <t>Distribucion clientes best</t>
  </si>
  <si>
    <t>Factor distribucion mensajes good</t>
  </si>
  <si>
    <t>Factor distribucion mensajes better</t>
  </si>
  <si>
    <t>Factor distribucion mensajes best</t>
  </si>
  <si>
    <t>Bolsa total (** lee abajo)</t>
  </si>
  <si>
    <t>Total Costes Fijos (Neto)</t>
  </si>
  <si>
    <t>Target Margin</t>
  </si>
  <si>
    <t>Total Ingresos Bruto</t>
  </si>
  <si>
    <t>Total Ingresos Neto</t>
  </si>
  <si>
    <t>Total dependiente de ingreso</t>
  </si>
  <si>
    <t>Total por transaccion</t>
  </si>
  <si>
    <t>Total Costes Variables</t>
  </si>
  <si>
    <t>## RESULTADO</t>
  </si>
  <si>
    <t>Total mensajes</t>
  </si>
  <si>
    <t>Es posible ?</t>
  </si>
  <si>
    <t>🔴 Te faltan -3445,64187327824 Euros antes de poder enviar el primer recordatorio. Imposible, matematicamente no se puede.</t>
  </si>
  <si>
    <t>🔴 Te faltan -2997,32988980716 Euros antes de poder enviar el primer recordatorio. Imposible, matematicamente no se puede.</t>
  </si>
  <si>
    <t>🔴 Te faltan -2487,0261707989 Euros antes de poder enviar el primer recordatorio. Imposible, matematicamente no se puede.</t>
  </si>
  <si>
    <t>🔴 Te faltan -1774,32369146006 Euros antes de poder enviar el primer recordatorio. Imposible, matematicamente no se puede.</t>
  </si>
  <si>
    <t>🔴 Te faltan -859,222451790634 Euros antes de poder enviar el primer recordatorio. Imposible, matematicamente no se puede.</t>
  </si>
  <si>
    <t>🟢 Puedes enviar 6749,16 mensajes en total entre todos los clientes de todos los planes</t>
  </si>
  <si>
    <t>🟢 Puedes enviar 46086,76 mensajes en total entre todos los clientes de todos los planes</t>
  </si>
  <si>
    <t>🟢 Puedes enviar 91934,46 mensajes en total entre todos los clientes de todos los planes</t>
  </si>
  <si>
    <t>🟢 Puedes enviar 144292,25 mensajes en total entre todos los clientes de todos los planes</t>
  </si>
  <si>
    <t>🟢 Puedes enviar 218015,63 mensajes en total entre todos los clientes de todos los planes</t>
  </si>
  <si>
    <t>🟢 Puedes enviar 304759,2 mensajes en total entre todos los clientes de todos los planes</t>
  </si>
  <si>
    <t>🟢 Puedes enviar 389944,5 mensajes en total entre todos los clientes de todos los planes</t>
  </si>
  <si>
    <t>🟢 Puedes enviar 447254,13 mensajes en total entre todos los clientes de todos los planes</t>
  </si>
  <si>
    <t>🟢 Puedes enviar 561873,38 mensajes en total entre todos los clientes de todos los planes</t>
  </si>
  <si>
    <t>🟢 Puedes enviar 733802,25 mensajes en total entre todos los clientes de todos los planes</t>
  </si>
  <si>
    <t>🟢 Puedes enviar 1020350,36 mensajes en total entre todos los clientes de todos los planes</t>
  </si>
  <si>
    <t>🟢 Puedes enviar 1593446,6 mensajes en total entre todos los clientes de todos los planes</t>
  </si>
  <si>
    <t>Base</t>
  </si>
  <si>
    <t>Distribuidos por tier - good</t>
  </si>
  <si>
    <t>Que no se puede hostias</t>
  </si>
  <si>
    <t>Distribuidos por tier - better</t>
  </si>
  <si>
    <t>Distribuidos por tier - best</t>
  </si>
  <si>
    <t>Precio por mensaje good</t>
  </si>
  <si>
    <t>Precio por mensaje better</t>
  </si>
  <si>
    <t>Precio por mensaje best</t>
  </si>
  <si>
    <t>Comprobacion</t>
  </si>
  <si>
    <t>No se puede hostias</t>
  </si>
  <si>
    <t>🟢</t>
  </si>
  <si>
    <t>## Explicacion Modelo</t>
  </si>
  <si>
    <t>¿Cuántos SMS puedo enviar para alcanzar exactamente 20% de margen?</t>
  </si>
  <si>
    <t>## Ecuacion</t>
  </si>
  <si>
    <t>Número de mensajes = [Ingreso Neto × (1 - Margen objetivo/100) - Coste Fijo neto - Coste variable neto (sin contar el coste por mensaje obvs) ] / precio por mensaje</t>
  </si>
  <si>
    <t>**Cómo funciona el reparto de mensajes:
Se calculan los mensajes totales disponibles con **la ecuacion**.
Se asigna un peso (“factor”) a cada tier:
Good = % clientes Good × 1
Better = % clientes Better × 3,5
Best = % clientes Best × 10
👉 Estos números (1, 3,5, 10) son pesos arbitrarios que definen qué plan recibe más “crédito” de mensajes proporcionalmente a su valor.
Se suman los factores para obtener la “Bolsa total”.
Base = Total_mensajes / Bolsa_total.
Es la cantidad de mensajes que corresponde a “una unidad de factor”.
Mensajes distribuidos por tier:
Se multiplica la base × factor_tier.
Así se reparten los mensajes totales entre Good, Better y Best en proporción a sus factores.
Mensajes incluidos por cliente:
Se divide los mensajes asignados al tier entre el nº de clientes de ese tier.
Resultado = SMS incluidos por cliente/plan.
Comprobación:
Se suman los mensajes asignados por tier y se valida que = total de mensajes calculados. Si no cuadra, muestra alerta.</t>
  </si>
  <si>
    <t>Notas</t>
  </si>
  <si>
    <t>Dependiente de ingreso %</t>
  </si>
  <si>
    <t xml:space="preserve">Stripe </t>
  </si>
  <si>
    <t>Esto se deberia de calcular contra el bruto, al contrario que lo demas</t>
  </si>
  <si>
    <t xml:space="preserve">Infraestructura </t>
  </si>
  <si>
    <t>Marketing</t>
  </si>
  <si>
    <t>Safety Margin</t>
  </si>
  <si>
    <t>Total para Customer Adquisition</t>
  </si>
  <si>
    <t>Total</t>
  </si>
  <si>
    <t>Total para COGS</t>
  </si>
  <si>
    <t>Dependiente de numero de transacciones</t>
  </si>
  <si>
    <t>Stripe Fixed</t>
  </si>
  <si>
    <t>Dependiente del numero de mensajes</t>
  </si>
  <si>
    <t>SMS Cost a Espana (Neto)</t>
  </si>
  <si>
    <t>IRPF</t>
  </si>
  <si>
    <t>Limites</t>
  </si>
  <si>
    <t>Tipos</t>
  </si>
  <si>
    <t>https://taxdown.es/irpf/tabla-tramos/</t>
  </si>
  <si>
    <t>📉 COSTES FIJOS MENSUALES</t>
  </si>
  <si>
    <t>Importe</t>
  </si>
  <si>
    <t>Cuantia</t>
  </si>
  <si>
    <t>Divisor</t>
  </si>
  <si>
    <t>Frecuencia</t>
  </si>
  <si>
    <t>Social Security</t>
  </si>
  <si>
    <t>Mensual</t>
  </si>
  <si>
    <t>2 fundadores</t>
  </si>
  <si>
    <t>Gestoria</t>
  </si>
  <si>
    <t>Impuestos y tramites</t>
  </si>
  <si>
    <t>AI Tools</t>
  </si>
  <si>
    <t>Herramientas IA</t>
  </si>
  <si>
    <t>Software contabilidad o similar</t>
  </si>
  <si>
    <t>Maybe?</t>
  </si>
  <si>
    <t>Password Manager</t>
  </si>
  <si>
    <t>Anual</t>
  </si>
  <si>
    <t>Herramienta seguridad</t>
  </si>
  <si>
    <t>Dominios</t>
  </si>
  <si>
    <t>Bienal</t>
  </si>
  <si>
    <r>
      <rPr/>
      <t xml:space="preserve">notifycal.es + </t>
    </r>
    <r>
      <rPr>
        <color rgb="FF1155CC"/>
        <u/>
      </rPr>
      <t>notifycal.com</t>
    </r>
  </si>
  <si>
    <t>Mailgun</t>
  </si>
  <si>
    <t>No es fijo pero al ser negligible para simplificar...</t>
  </si>
  <si>
    <t>GitHub team</t>
  </si>
  <si>
    <t>GitHub Actions extra minutes</t>
  </si>
  <si>
    <t>Sueldo 1</t>
  </si>
  <si>
    <t>Sueldo 2</t>
  </si>
  <si>
    <t>TOTAL menual</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</si>
</sst>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
    <numFmt numFmtId="165" formatCode="0.000000000"/>
  </numFmts>
  <fonts count="4">
    <font>
      <sz val="10.0"/>
      <color rgb="FF000000"/>
      <name val="Arial"/>
      <scheme val="minor"/>
    </font>
    <font>
      <color theme="1"/>
      <name val="Arial"/>
      <scheme val="minor"/>
    </font>
    <font>
      <color theme="1"/>
      <name val="Arial"/>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Font="1"/>
    <xf borderId="0" fillId="0" fontId="2" numFmtId="0" xfId="0" applyAlignment="1" applyFont="1">
      <alignment readingOrder="0" vertical="bottom"/>
    </xf>
    <xf borderId="0" fillId="0" fontId="2" numFmtId="0" xfId="0" applyAlignment="1" applyFont="1">
      <alignment horizontal="right" vertical="bottom"/>
    </xf>
    <xf borderId="0" fillId="0" fontId="1" numFmtId="10" xfId="0" applyAlignment="1" applyFont="1" applyNumberFormat="1">
      <alignment readingOrder="0"/>
    </xf>
    <xf borderId="0" fillId="0" fontId="2" numFmtId="0" xfId="0" applyAlignment="1" applyFont="1">
      <alignment vertical="bottom"/>
    </xf>
    <xf borderId="0" fillId="0" fontId="1" numFmtId="10" xfId="0" applyFont="1" applyNumberFormat="1"/>
    <xf borderId="0" fillId="0" fontId="2" numFmtId="0" xfId="0" applyAlignment="1" applyFont="1">
      <alignment vertical="bottom"/>
    </xf>
    <xf borderId="0" fillId="0" fontId="1" numFmtId="164" xfId="0" applyFont="1" applyNumberFormat="1"/>
    <xf borderId="0" fillId="0" fontId="1" numFmtId="1" xfId="0" applyFont="1" applyNumberFormat="1"/>
    <xf borderId="0" fillId="0" fontId="1" numFmtId="165" xfId="0" applyFont="1" applyNumberFormat="1"/>
    <xf borderId="0" fillId="0" fontId="1" numFmtId="0" xfId="0" applyAlignment="1" applyFont="1">
      <alignment horizontal="right"/>
    </xf>
    <xf borderId="0" fillId="0" fontId="3" numFmtId="0" xfId="0" applyAlignment="1" applyFont="1">
      <alignment readingOrder="0"/>
    </xf>
    <xf borderId="0" fillId="0" fontId="2" numFmtId="0" xfId="0" applyAlignment="1" applyFont="1">
      <alignment horizontal="right" readingOrder="0"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 neto por tier (distribucion de tier por numero de clientes)</a:t>
            </a:r>
          </a:p>
        </c:rich>
      </c:tx>
      <c:overlay val="0"/>
    </c:title>
    <c:plotArea>
      <c:layout/>
      <c:barChart>
        <c:barDir val="col"/>
        <c:grouping val="stacked"/>
        <c:ser>
          <c:idx val="0"/>
          <c:order val="0"/>
          <c:tx>
            <c:strRef>
              <c:f>Rendimiento!$A$72</c:f>
            </c:strRef>
          </c:tx>
          <c:spPr>
            <a:solidFill>
              <a:schemeClr val="accent1"/>
            </a:solidFill>
            <a:ln cmpd="sng">
              <a:solidFill>
                <a:srgbClr val="000000"/>
              </a:solidFill>
            </a:ln>
          </c:spPr>
          <c:cat>
            <c:strRef>
              <c:f>Rendimiento!$B$2:$S$2</c:f>
            </c:strRef>
          </c:cat>
          <c:val>
            <c:numRef>
              <c:f>Rendimiento!$B$72:$S$72</c:f>
              <c:numCache/>
            </c:numRef>
          </c:val>
        </c:ser>
        <c:ser>
          <c:idx val="1"/>
          <c:order val="1"/>
          <c:tx>
            <c:strRef>
              <c:f>Rendimiento!$A$77</c:f>
            </c:strRef>
          </c:tx>
          <c:spPr>
            <a:solidFill>
              <a:schemeClr val="accent2"/>
            </a:solidFill>
            <a:ln cmpd="sng">
              <a:solidFill>
                <a:srgbClr val="000000"/>
              </a:solidFill>
            </a:ln>
          </c:spPr>
          <c:cat>
            <c:strRef>
              <c:f>Rendimiento!$B$2:$S$2</c:f>
            </c:strRef>
          </c:cat>
          <c:val>
            <c:numRef>
              <c:f>Rendimiento!$B$77:$S$77</c:f>
              <c:numCache/>
            </c:numRef>
          </c:val>
        </c:ser>
        <c:ser>
          <c:idx val="2"/>
          <c:order val="2"/>
          <c:tx>
            <c:strRef>
              <c:f>Rendimiento!$A$82</c:f>
            </c:strRef>
          </c:tx>
          <c:cat>
            <c:strRef>
              <c:f>Rendimiento!$B$2:$S$2</c:f>
            </c:strRef>
          </c:cat>
          <c:val>
            <c:numRef>
              <c:f>Rendimiento!$B$82:$S$82</c:f>
              <c:numCache/>
            </c:numRef>
          </c:val>
        </c:ser>
        <c:overlap val="100"/>
        <c:axId val="1527815336"/>
        <c:axId val="1710344123"/>
      </c:barChart>
      <c:catAx>
        <c:axId val="152781533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710344123"/>
      </c:catAx>
      <c:valAx>
        <c:axId val="171034412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527815336"/>
      </c:valAx>
    </c:plotArea>
    <c:legend>
      <c:legendPos val="r"/>
      <c:overlay val="0"/>
      <c:txPr>
        <a:bodyPr/>
        <a:lstStyle/>
        <a:p>
          <a:pPr lvl="0">
            <a:defRPr b="0">
              <a:solidFill>
                <a:srgbClr val="1A1A1A"/>
              </a:solidFill>
              <a:latin typeface="+mn-lt"/>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MRR</a:t>
            </a:r>
          </a:p>
        </c:rich>
      </c:tx>
      <c:overlay val="0"/>
    </c:title>
    <c:plotArea>
      <c:layout/>
      <c:lineChart>
        <c:ser>
          <c:idx val="0"/>
          <c:order val="0"/>
          <c:tx>
            <c:strRef>
              <c:f>Rendimiento!$A$58</c:f>
            </c:strRef>
          </c:tx>
          <c:spPr>
            <a:ln cmpd="sng">
              <a:solidFill>
                <a:srgbClr val="4285F4"/>
              </a:solidFill>
            </a:ln>
          </c:spPr>
          <c:marker>
            <c:symbol val="circle"/>
            <c:size val="2"/>
            <c:spPr>
              <a:solidFill>
                <a:srgbClr val="4285F4"/>
              </a:solidFill>
              <a:ln cmpd="sng">
                <a:solidFill>
                  <a:srgbClr val="4285F4"/>
                </a:solidFill>
              </a:ln>
            </c:spPr>
          </c:marker>
          <c:dLbls>
            <c:numFmt formatCode="#,##0\ [$€-1]" sourceLinked="0"/>
            <c:txPr>
              <a:bodyPr/>
              <a:lstStyle/>
              <a:p>
                <a:pPr lvl="0">
                  <a:defRPr>
                    <a:latin typeface="Roboto"/>
                  </a:defRPr>
                </a:pPr>
              </a:p>
            </c:txPr>
            <c:showLegendKey val="0"/>
            <c:showVal val="1"/>
            <c:showCatName val="0"/>
            <c:showSerName val="0"/>
            <c:showPercent val="0"/>
            <c:showBubbleSize val="0"/>
          </c:dLbls>
          <c:trendline>
            <c:name>Trend line for MRR</c:name>
            <c:spPr>
              <a:ln w="38100">
                <a:solidFill>
                  <a:srgbClr val="000000"/>
                </a:solidFill>
              </a:ln>
            </c:spPr>
            <c:trendlineType val="linear"/>
            <c:dispRSqr val="0"/>
            <c:dispEq val="0"/>
          </c:trendline>
          <c:cat>
            <c:strRef>
              <c:f>Rendimiento!$B$2:$S$2</c:f>
            </c:strRef>
          </c:cat>
          <c:val>
            <c:numRef>
              <c:f>Rendimiento!$B$58:$S$58</c:f>
              <c:numCache/>
            </c:numRef>
          </c:val>
          <c:smooth val="0"/>
        </c:ser>
        <c:axId val="836226549"/>
        <c:axId val="1491137730"/>
      </c:lineChart>
      <c:catAx>
        <c:axId val="83622654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491137730"/>
      </c:catAx>
      <c:valAx>
        <c:axId val="149113773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0.00\ [$€-1]" sourceLinked="0"/>
        <c:majorTickMark val="none"/>
        <c:minorTickMark val="none"/>
        <c:tickLblPos val="nextTo"/>
        <c:spPr>
          <a:ln/>
        </c:spPr>
        <c:txPr>
          <a:bodyPr/>
          <a:lstStyle/>
          <a:p>
            <a:pPr lvl="0">
              <a:defRPr b="0">
                <a:solidFill>
                  <a:srgbClr val="000000"/>
                </a:solidFill>
                <a:latin typeface="+mn-lt"/>
              </a:defRPr>
            </a:pPr>
          </a:p>
        </c:txPr>
        <c:crossAx val="836226549"/>
      </c:valAx>
    </c:plotArea>
    <c:legend>
      <c:legendPos val="r"/>
      <c:overlay val="0"/>
      <c:txPr>
        <a:bodyPr/>
        <a:lstStyle/>
        <a:p>
          <a:pPr lvl="0">
            <a:defRPr b="0">
              <a:solidFill>
                <a:srgbClr val="1A1A1A"/>
              </a:solidFill>
              <a:latin typeface="+mn-lt"/>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(distribucion de tier por numero de clientes)</a:t>
            </a:r>
          </a:p>
        </c:rich>
      </c:tx>
      <c:overlay val="0"/>
    </c:title>
    <c:plotArea>
      <c:layout/>
      <c:lineChart>
        <c:ser>
          <c:idx val="0"/>
          <c:order val="0"/>
          <c:tx>
            <c:strRef>
              <c:f>Rendimiento!$A$76</c:f>
            </c:strRef>
          </c:tx>
          <c:spPr>
            <a:ln cmpd="sng">
              <a:solidFill>
                <a:srgbClr val="4285F4"/>
              </a:solidFill>
            </a:ln>
          </c:spPr>
          <c:marker>
            <c:symbol val="none"/>
          </c:marker>
          <c:cat>
            <c:strRef>
              <c:f>Rendimiento!$B$2:$S$2</c:f>
            </c:strRef>
          </c:cat>
          <c:val>
            <c:numRef>
              <c:f>Rendimiento!$B$76:$S$76</c:f>
              <c:numCache/>
            </c:numRef>
          </c:val>
          <c:smooth val="0"/>
        </c:ser>
        <c:ser>
          <c:idx val="1"/>
          <c:order val="1"/>
          <c:tx>
            <c:strRef>
              <c:f>Rendimiento!$A$81</c:f>
            </c:strRef>
          </c:tx>
          <c:spPr>
            <a:ln cmpd="sng">
              <a:solidFill>
                <a:srgbClr val="EA4335"/>
              </a:solidFill>
            </a:ln>
          </c:spPr>
          <c:marker>
            <c:symbol val="none"/>
          </c:marker>
          <c:cat>
            <c:strRef>
              <c:f>Rendimiento!$B$2:$S$2</c:f>
            </c:strRef>
          </c:cat>
          <c:val>
            <c:numRef>
              <c:f>Rendimiento!$B$81:$S$81</c:f>
              <c:numCache/>
            </c:numRef>
          </c:val>
          <c:smooth val="0"/>
        </c:ser>
        <c:ser>
          <c:idx val="2"/>
          <c:order val="2"/>
          <c:tx>
            <c:strRef>
              <c:f>Rendimiento!$A$86</c:f>
            </c:strRef>
          </c:tx>
          <c:spPr>
            <a:ln cmpd="sng">
              <a:solidFill>
                <a:srgbClr val="FBBC04"/>
              </a:solidFill>
            </a:ln>
          </c:spPr>
          <c:marker>
            <c:symbol val="none"/>
          </c:marker>
          <c:cat>
            <c:strRef>
              <c:f>Rendimiento!$B$2:$S$2</c:f>
            </c:strRef>
          </c:cat>
          <c:val>
            <c:numRef>
              <c:f>Rendimiento!$B$86:$S$86</c:f>
              <c:numCache/>
            </c:numRef>
          </c:val>
          <c:smooth val="0"/>
        </c:ser>
        <c:axId val="642433890"/>
        <c:axId val="1726598346"/>
      </c:lineChart>
      <c:catAx>
        <c:axId val="64243389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726598346"/>
      </c:catAx>
      <c:valAx>
        <c:axId val="172659834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642433890"/>
      </c:valAx>
    </c:plotArea>
    <c:legend>
      <c:legendPos val="r"/>
      <c:overlay val="0"/>
      <c:txPr>
        <a:bodyPr/>
        <a:lstStyle/>
        <a:p>
          <a:pPr lvl="0">
            <a:defRPr b="0">
              <a:solidFill>
                <a:srgbClr val="1A1A1A"/>
              </a:solidFill>
              <a:latin typeface="+mn-lt"/>
            </a:defRPr>
          </a:pPr>
        </a:p>
      </c:txPr>
    </c:legend>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LTV/CAC ratio</a:t>
            </a:r>
          </a:p>
        </c:rich>
      </c:tx>
      <c:overlay val="0"/>
    </c:title>
    <c:plotArea>
      <c:layout/>
      <c:lineChart>
        <c:varyColors val="0"/>
        <c:ser>
          <c:idx val="0"/>
          <c:order val="0"/>
          <c:tx>
            <c:strRef>
              <c:f>Rendimiento!$A$64</c:f>
            </c:strRef>
          </c:tx>
          <c:spPr>
            <a:ln cmpd="sng">
              <a:solidFill>
                <a:srgbClr val="4285F4"/>
              </a:solidFill>
            </a:ln>
          </c:spPr>
          <c:marker>
            <c:symbol val="none"/>
          </c:marker>
          <c:cat>
            <c:strRef>
              <c:f>Rendimiento!$B$2:$S$2</c:f>
            </c:strRef>
          </c:cat>
          <c:val>
            <c:numRef>
              <c:f>Rendimiento!$B$64:$S$64</c:f>
              <c:numCache/>
            </c:numRef>
          </c:val>
          <c:smooth val="0"/>
        </c:ser>
        <c:axId val="612484582"/>
        <c:axId val="1505969948"/>
      </c:lineChart>
      <c:catAx>
        <c:axId val="61248458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505969948"/>
      </c:catAx>
      <c:valAx>
        <c:axId val="150596994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ratio</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612484582"/>
      </c:valAx>
    </c:plotArea>
    <c:legend>
      <c:legendPos val="r"/>
      <c:overlay val="0"/>
      <c:txPr>
        <a:bodyPr/>
        <a:lstStyle/>
        <a:p>
          <a:pPr lvl="0">
            <a:defRPr b="0">
              <a:solidFill>
                <a:srgbClr val="1A1A1A"/>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ARPU vs CAC - Unit Economics</a:t>
            </a:r>
          </a:p>
        </c:rich>
      </c:tx>
      <c:overlay val="0"/>
    </c:title>
    <c:plotArea>
      <c:layout/>
      <c:barChart>
        <c:barDir val="col"/>
        <c:ser>
          <c:idx val="0"/>
          <c:order val="0"/>
          <c:tx>
            <c:strRef>
              <c:f>Rendimiento!$A$55</c:f>
            </c:strRef>
          </c:tx>
          <c:spPr>
            <a:solidFill>
              <a:schemeClr val="accent1"/>
            </a:solidFill>
            <a:ln cmpd="sng">
              <a:solidFill>
                <a:srgbClr val="000000"/>
              </a:solidFill>
            </a:ln>
          </c:spPr>
          <c:cat>
            <c:strRef>
              <c:f>Rendimiento!$B$2:$S$2</c:f>
            </c:strRef>
          </c:cat>
          <c:val>
            <c:numRef>
              <c:f>Rendimiento!$B$55:$S$55</c:f>
              <c:numCache/>
            </c:numRef>
          </c:val>
        </c:ser>
        <c:axId val="26550051"/>
        <c:axId val="591586855"/>
      </c:barChart>
      <c:lineChart>
        <c:varyColors val="0"/>
        <c:ser>
          <c:idx val="1"/>
          <c:order val="1"/>
          <c:tx>
            <c:strRef>
              <c:f>Rendimiento!$A$61</c:f>
            </c:strRef>
          </c:tx>
          <c:spPr>
            <a:ln cmpd="sng">
              <a:solidFill>
                <a:srgbClr val="EA4335"/>
              </a:solidFill>
            </a:ln>
          </c:spPr>
          <c:marker>
            <c:symbol val="none"/>
          </c:marker>
          <c:cat>
            <c:strRef>
              <c:f>Rendimiento!$B$2:$S$2</c:f>
            </c:strRef>
          </c:cat>
          <c:val>
            <c:numRef>
              <c:f>Rendimiento!$B$61:$S$61</c:f>
              <c:numCache/>
            </c:numRef>
          </c:val>
          <c:smooth val="0"/>
        </c:ser>
        <c:axId val="26550051"/>
        <c:axId val="591586855"/>
      </c:lineChart>
      <c:catAx>
        <c:axId val="26550051"/>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591586855"/>
      </c:catAx>
      <c:valAx>
        <c:axId val="59158685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6550051"/>
      </c:valAx>
    </c:plotArea>
    <c:legend>
      <c:legendPos val="r"/>
      <c:overlay val="0"/>
      <c:txPr>
        <a:bodyPr/>
        <a:lstStyle/>
        <a:p>
          <a:pPr lvl="0">
            <a:defRPr b="0">
              <a:solidFill>
                <a:srgbClr val="1A1A1A"/>
              </a:solidFill>
              <a:latin typeface="+mn-lt"/>
            </a:defRPr>
          </a:pPr>
        </a:p>
      </c:txPr>
    </c:legend>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a:t>
            </a:r>
          </a:p>
        </c:rich>
      </c:tx>
      <c:overlay val="0"/>
    </c:title>
    <c:plotArea>
      <c:layout/>
      <c:lineChart>
        <c:varyColors val="0"/>
        <c:ser>
          <c:idx val="0"/>
          <c:order val="0"/>
          <c:tx>
            <c:strRef>
              <c:f>Rendimiento!$A$45</c:f>
            </c:strRef>
          </c:tx>
          <c:spPr>
            <a:ln cmpd="sng">
              <a:solidFill>
                <a:srgbClr val="4285F4"/>
              </a:solidFill>
            </a:ln>
          </c:spPr>
          <c:marker>
            <c:symbol val="none"/>
          </c:marker>
          <c:dPt>
            <c:idx val="5"/>
            <c:marker>
              <c:symbol val="none"/>
            </c:marker>
          </c:dPt>
          <c:dLbls>
            <c:numFmt formatCode="0.00%" sourceLinked="0"/>
            <c:txPr>
              <a:bodyPr/>
              <a:lstStyle/>
              <a:p>
                <a:pPr lvl="0">
                  <a:defRPr/>
                </a:pPr>
              </a:p>
            </c:txPr>
            <c:showLegendKey val="0"/>
            <c:showVal val="1"/>
            <c:showCatName val="0"/>
            <c:showSerName val="0"/>
            <c:showPercent val="0"/>
            <c:showBubbleSize val="0"/>
          </c:dLbls>
          <c:cat>
            <c:strRef>
              <c:f>Rendimiento!$B$2:$S$2</c:f>
            </c:strRef>
          </c:cat>
          <c:val>
            <c:numRef>
              <c:f>Rendimiento!$B$45:$S$45</c:f>
              <c:numCache/>
            </c:numRef>
          </c:val>
          <c:smooth val="0"/>
        </c:ser>
        <c:axId val="72264618"/>
        <c:axId val="1468392192"/>
      </c:lineChart>
      <c:catAx>
        <c:axId val="7226461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468392192"/>
      </c:catAx>
      <c:valAx>
        <c:axId val="146839219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2264618"/>
      </c:valAx>
    </c:plotArea>
    <c:legend>
      <c:legendPos val="r"/>
      <c:overlay val="0"/>
      <c:txPr>
        <a:bodyPr/>
        <a:lstStyle/>
        <a:p>
          <a:pPr lvl="0">
            <a:defRPr b="0">
              <a:solidFill>
                <a:srgbClr val="1A1A1A"/>
              </a:solidFill>
              <a:latin typeface="+mn-lt"/>
            </a:defRPr>
          </a:pPr>
        </a:p>
      </c:txPr>
    </c:legend>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a:t>
            </a:r>
          </a:p>
        </c:rich>
      </c:tx>
      <c:overlay val="0"/>
    </c:title>
    <c:plotArea>
      <c:layout/>
      <c:lineChart>
        <c:varyColors val="0"/>
        <c:ser>
          <c:idx val="0"/>
          <c:order val="0"/>
          <c:tx>
            <c:strRef>
              <c:f>Rendimiento!$A$43</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38100">
                <a:solidFill>
                  <a:srgbClr val="000000"/>
                </a:solidFill>
              </a:ln>
            </c:spPr>
            <c:trendlineType val="linear"/>
            <c:dispRSqr val="0"/>
            <c:dispEq val="0"/>
          </c:trendline>
          <c:cat>
            <c:strRef>
              <c:f>Rendimiento!$B$2:$S$2</c:f>
            </c:strRef>
          </c:cat>
          <c:val>
            <c:numRef>
              <c:f>Rendimiento!$B$43:$S$43</c:f>
              <c:numCache/>
            </c:numRef>
          </c:val>
          <c:smooth val="0"/>
        </c:ser>
        <c:axId val="710940810"/>
        <c:axId val="119945712"/>
      </c:lineChart>
      <c:catAx>
        <c:axId val="71094081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19945712"/>
      </c:catAx>
      <c:valAx>
        <c:axId val="11994571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10940810"/>
      </c:valAx>
    </c:plotArea>
    <c:legend>
      <c:legendPos val="r"/>
      <c:overlay val="0"/>
      <c:txPr>
        <a:bodyPr/>
        <a:lstStyle/>
        <a:p>
          <a:pPr lvl="0">
            <a:defRPr b="0">
              <a:solidFill>
                <a:srgbClr val="1A1A1A"/>
              </a:solidFill>
              <a:latin typeface="+mn-lt"/>
            </a:defRPr>
          </a:pPr>
        </a:p>
      </c:txPr>
    </c:legend>
    <c:plotVisOnly val="1"/>
  </c:chart>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Ingresos Vs Costes Neto</a:t>
            </a:r>
          </a:p>
        </c:rich>
      </c:tx>
      <c:overlay val="0"/>
    </c:title>
    <c:plotArea>
      <c:layout/>
      <c:lineChart>
        <c:ser>
          <c:idx val="0"/>
          <c:order val="0"/>
          <c:tx>
            <c:strRef>
              <c:f>Rendimiento!$A$41</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Rendimiento!$B$41:$S$41</c:f>
              <c:numCache/>
            </c:numRef>
          </c:val>
          <c:smooth val="1"/>
        </c:ser>
        <c:ser>
          <c:idx val="1"/>
          <c:order val="1"/>
          <c:tx>
            <c:strRef>
              <c:f>Rendimiento!$A$42</c:f>
            </c:strRef>
          </c:tx>
          <c:spPr>
            <a:ln cmpd="sng">
              <a:solidFill>
                <a:srgbClr val="EA4335"/>
              </a:solidFill>
            </a:ln>
          </c:spPr>
          <c:marker>
            <c:symbol val="none"/>
          </c:marker>
          <c:dPt>
            <c:idx val="8"/>
            <c:marker>
              <c:symbol val="none"/>
            </c:marker>
          </c:dPt>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Rendimiento!$B$42:$S$42</c:f>
              <c:numCache/>
            </c:numRef>
          </c:val>
          <c:smooth val="1"/>
        </c:ser>
        <c:axId val="835505308"/>
        <c:axId val="2052320317"/>
      </c:lineChart>
      <c:catAx>
        <c:axId val="83550530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052320317"/>
      </c:catAx>
      <c:valAx>
        <c:axId val="2052320317"/>
        <c:scaling>
          <c:orientation val="minMax"/>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835505308"/>
      </c:valAx>
    </c:plotArea>
    <c:legend>
      <c:legendPos val="r"/>
      <c:overlay val="0"/>
      <c:txPr>
        <a:bodyPr/>
        <a:lstStyle/>
        <a:p>
          <a:pPr lvl="0">
            <a:defRPr b="0">
              <a:solidFill>
                <a:srgbClr val="1A1A1A"/>
              </a:solidFill>
              <a:latin typeface="+mn-lt"/>
            </a:defRPr>
          </a:pPr>
        </a:p>
      </c:txPr>
    </c:legend>
    <c:plotVisOnly val="1"/>
  </c:chart>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Coste fijo por tier (distribuido por mensajes)</a:t>
            </a:r>
          </a:p>
        </c:rich>
      </c:tx>
      <c:overlay val="0"/>
    </c:title>
    <c:plotArea>
      <c:layout/>
      <c:areaChart>
        <c:grouping val="percentStacked"/>
        <c:ser>
          <c:idx val="0"/>
          <c:order val="0"/>
          <c:tx>
            <c:strRef>
              <c:f>Rendimiento!$A$90</c:f>
            </c:strRef>
          </c:tx>
          <c:spPr>
            <a:solidFill>
              <a:srgbClr val="4285F4">
                <a:alpha val="30000"/>
              </a:srgbClr>
            </a:solidFill>
            <a:ln cmpd="sng">
              <a:solidFill>
                <a:srgbClr val="4285F4"/>
              </a:solidFill>
            </a:ln>
          </c:spPr>
          <c:cat>
            <c:strRef>
              <c:f>Rendimiento!$B$2:$S$2</c:f>
            </c:strRef>
          </c:cat>
          <c:val>
            <c:numRef>
              <c:f>Rendimiento!$B$90:$S$90</c:f>
              <c:numCache/>
            </c:numRef>
          </c:val>
        </c:ser>
        <c:ser>
          <c:idx val="1"/>
          <c:order val="1"/>
          <c:tx>
            <c:strRef>
              <c:f>Rendimiento!$A$95</c:f>
            </c:strRef>
          </c:tx>
          <c:spPr>
            <a:solidFill>
              <a:srgbClr val="EA4335">
                <a:alpha val="30000"/>
              </a:srgbClr>
            </a:solidFill>
            <a:ln cmpd="sng">
              <a:solidFill>
                <a:srgbClr val="EA4335"/>
              </a:solidFill>
            </a:ln>
          </c:spPr>
          <c:cat>
            <c:strRef>
              <c:f>Rendimiento!$B$2:$S$2</c:f>
            </c:strRef>
          </c:cat>
          <c:val>
            <c:numRef>
              <c:f>Rendimiento!$B$95:$S$95</c:f>
              <c:numCache/>
            </c:numRef>
          </c:val>
        </c:ser>
        <c:ser>
          <c:idx val="2"/>
          <c:order val="2"/>
          <c:tx>
            <c:strRef>
              <c:f>Rendimiento!$A$100</c:f>
            </c:strRef>
          </c:tx>
          <c:spPr>
            <a:solidFill>
              <a:srgbClr val="FBBC04">
                <a:alpha val="30000"/>
              </a:srgbClr>
            </a:solidFill>
            <a:ln cmpd="sng">
              <a:solidFill>
                <a:srgbClr val="FBBC04"/>
              </a:solidFill>
            </a:ln>
          </c:spPr>
          <c:cat>
            <c:strRef>
              <c:f>Rendimiento!$B$2:$S$2</c:f>
            </c:strRef>
          </c:cat>
          <c:val>
            <c:numRef>
              <c:f>Rendimiento!$B$100:$S$100</c:f>
              <c:numCache/>
            </c:numRef>
          </c:val>
        </c:ser>
        <c:axId val="908186823"/>
        <c:axId val="1256647633"/>
      </c:areaChart>
      <c:catAx>
        <c:axId val="90818682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256647633"/>
      </c:catAx>
      <c:valAx>
        <c:axId val="125664763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908186823"/>
      </c:valAx>
    </c:plotArea>
    <c:legend>
      <c:legendPos val="r"/>
      <c:overlay val="0"/>
      <c:txPr>
        <a:bodyPr/>
        <a:lstStyle/>
        <a:p>
          <a:pPr lvl="0">
            <a:defRPr b="0">
              <a:solidFill>
                <a:srgbClr val="1A1A1A"/>
              </a:solidFill>
              <a:latin typeface="+mn-lt"/>
            </a:defRPr>
          </a:pPr>
        </a:p>
      </c:txPr>
    </c:legend>
    <c:plotVisOnly val="1"/>
  </c:chart>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 por tier (coste fijo distribuido por mensajes tier)</a:t>
            </a:r>
          </a:p>
        </c:rich>
      </c:tx>
      <c:overlay val="0"/>
    </c:title>
    <c:plotArea>
      <c:layout/>
      <c:barChart>
        <c:barDir val="col"/>
        <c:ser>
          <c:idx val="0"/>
          <c:order val="0"/>
          <c:tx>
            <c:strRef>
              <c:f>Rendimiento!$A$92</c:f>
            </c:strRef>
          </c:tx>
          <c:spPr>
            <a:solidFill>
              <a:schemeClr val="accent1"/>
            </a:solidFill>
            <a:ln cmpd="sng">
              <a:solidFill>
                <a:srgbClr val="000000"/>
              </a:solidFill>
            </a:ln>
          </c:spPr>
          <c:cat>
            <c:strRef>
              <c:f>Rendimiento!$B$2:$S$2</c:f>
            </c:strRef>
          </c:cat>
          <c:val>
            <c:numRef>
              <c:f>Rendimiento!$B$92:$S$92</c:f>
              <c:numCache/>
            </c:numRef>
          </c:val>
        </c:ser>
        <c:ser>
          <c:idx val="1"/>
          <c:order val="1"/>
          <c:tx>
            <c:strRef>
              <c:f>Rendimiento!$A$97</c:f>
            </c:strRef>
          </c:tx>
          <c:spPr>
            <a:solidFill>
              <a:schemeClr val="accent2"/>
            </a:solidFill>
            <a:ln cmpd="sng">
              <a:solidFill>
                <a:srgbClr val="000000"/>
              </a:solidFill>
            </a:ln>
          </c:spPr>
          <c:cat>
            <c:strRef>
              <c:f>Rendimiento!$B$2:$S$2</c:f>
            </c:strRef>
          </c:cat>
          <c:val>
            <c:numRef>
              <c:f>Rendimiento!$B$97:$S$97</c:f>
              <c:numCache/>
            </c:numRef>
          </c:val>
        </c:ser>
        <c:ser>
          <c:idx val="2"/>
          <c:order val="2"/>
          <c:tx>
            <c:strRef>
              <c:f>Rendimiento!$A$102</c:f>
            </c:strRef>
          </c:tx>
          <c:spPr>
            <a:solidFill>
              <a:schemeClr val="accent3"/>
            </a:solidFill>
            <a:ln cmpd="sng">
              <a:solidFill>
                <a:srgbClr val="000000"/>
              </a:solidFill>
            </a:ln>
          </c:spPr>
          <c:cat>
            <c:strRef>
              <c:f>Rendimiento!$B$2:$S$2</c:f>
            </c:strRef>
          </c:cat>
          <c:val>
            <c:numRef>
              <c:f>Rendimiento!$B$102:$S$102</c:f>
              <c:numCache/>
            </c:numRef>
          </c:val>
        </c:ser>
        <c:ser>
          <c:idx val="3"/>
          <c:order val="3"/>
          <c:tx>
            <c:strRef>
              <c:f>Rendimiento!$A$76</c:f>
            </c:strRef>
          </c:tx>
          <c:cat>
            <c:strRef>
              <c:f>Rendimiento!$B$2:$S$2</c:f>
            </c:strRef>
          </c:cat>
          <c:val>
            <c:numRef>
              <c:f>Rendimiento!$B$76:$S$76</c:f>
              <c:numCache/>
            </c:numRef>
          </c:val>
        </c:ser>
        <c:ser>
          <c:idx val="4"/>
          <c:order val="4"/>
          <c:tx>
            <c:strRef>
              <c:f>Rendimiento!$A$81</c:f>
            </c:strRef>
          </c:tx>
          <c:cat>
            <c:strRef>
              <c:f>Rendimiento!$B$2:$S$2</c:f>
            </c:strRef>
          </c:cat>
          <c:val>
            <c:numRef>
              <c:f>Rendimiento!$B$81:$S$81</c:f>
              <c:numCache/>
            </c:numRef>
          </c:val>
        </c:ser>
        <c:ser>
          <c:idx val="5"/>
          <c:order val="5"/>
          <c:tx>
            <c:strRef>
              <c:f>Rendimiento!$A$86</c:f>
            </c:strRef>
          </c:tx>
          <c:cat>
            <c:strRef>
              <c:f>Rendimiento!$B$2:$S$2</c:f>
            </c:strRef>
          </c:cat>
          <c:val>
            <c:numRef>
              <c:f>Rendimiento!$B$86:$S$86</c:f>
              <c:numCache/>
            </c:numRef>
          </c:val>
        </c:ser>
        <c:axId val="1719021445"/>
        <c:axId val="62962765"/>
      </c:barChart>
      <c:catAx>
        <c:axId val="171902144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62962765"/>
      </c:catAx>
      <c:valAx>
        <c:axId val="6296276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719021445"/>
      </c:valAx>
    </c:plotArea>
    <c:legend>
      <c:legendPos val="r"/>
      <c:overlay val="0"/>
      <c:txPr>
        <a:bodyPr/>
        <a:lstStyle/>
        <a:p>
          <a:pPr lvl="0">
            <a:defRPr b="0">
              <a:solidFill>
                <a:srgbClr val="1A1A1A"/>
              </a:solidFill>
              <a:latin typeface="+mn-lt"/>
            </a:defRPr>
          </a:pPr>
        </a:p>
      </c:txPr>
    </c:legend>
    <c:plotVisOnly val="1"/>
  </c:chart>
</c:chartSpace>
</file>

<file path=xl/charts/chart1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(coste fijo distribuido por mensajes tier)</a:t>
            </a:r>
          </a:p>
        </c:rich>
      </c:tx>
      <c:overlay val="0"/>
    </c:title>
    <c:plotArea>
      <c:layout/>
      <c:lineChart>
        <c:ser>
          <c:idx val="0"/>
          <c:order val="0"/>
          <c:tx>
            <c:strRef>
              <c:f>Rendimiento!$A$93</c:f>
            </c:strRef>
          </c:tx>
          <c:spPr>
            <a:ln cmpd="sng">
              <a:solidFill>
                <a:srgbClr val="4285F4"/>
              </a:solidFill>
            </a:ln>
          </c:spPr>
          <c:marker>
            <c:symbol val="none"/>
          </c:marker>
          <c:cat>
            <c:strRef>
              <c:f>Rendimiento!$B$2:$S$2</c:f>
            </c:strRef>
          </c:cat>
          <c:val>
            <c:numRef>
              <c:f>Rendimiento!$B$93:$S$93</c:f>
              <c:numCache/>
            </c:numRef>
          </c:val>
          <c:smooth val="0"/>
        </c:ser>
        <c:ser>
          <c:idx val="1"/>
          <c:order val="1"/>
          <c:tx>
            <c:strRef>
              <c:f>Rendimiento!$A$2</c:f>
            </c:strRef>
          </c:tx>
          <c:spPr>
            <a:ln cmpd="sng">
              <a:solidFill>
                <a:srgbClr val="EA4335"/>
              </a:solidFill>
            </a:ln>
          </c:spPr>
          <c:marker>
            <c:symbol val="none"/>
          </c:marker>
          <c:cat>
            <c:strRef>
              <c:f>Rendimiento!$B$2:$S$2</c:f>
            </c:strRef>
          </c:cat>
          <c:val>
            <c:numRef>
              <c:f>Rendimiento!$B$2:$S$2</c:f>
              <c:numCache/>
            </c:numRef>
          </c:val>
          <c:smooth val="0"/>
        </c:ser>
        <c:ser>
          <c:idx val="2"/>
          <c:order val="2"/>
          <c:tx>
            <c:strRef>
              <c:f>Rendimiento!$A$98</c:f>
            </c:strRef>
          </c:tx>
          <c:spPr>
            <a:ln cmpd="sng">
              <a:solidFill>
                <a:srgbClr val="FBBC04"/>
              </a:solidFill>
            </a:ln>
          </c:spPr>
          <c:marker>
            <c:symbol val="none"/>
          </c:marker>
          <c:cat>
            <c:strRef>
              <c:f>Rendimiento!$B$2:$S$2</c:f>
            </c:strRef>
          </c:cat>
          <c:val>
            <c:numRef>
              <c:f>Rendimiento!$B$98:$S$98</c:f>
              <c:numCache/>
            </c:numRef>
          </c:val>
          <c:smooth val="0"/>
        </c:ser>
        <c:axId val="426466680"/>
        <c:axId val="1012643086"/>
      </c:lineChart>
      <c:catAx>
        <c:axId val="42646668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012643086"/>
      </c:catAx>
      <c:valAx>
        <c:axId val="101264308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426466680"/>
      </c:valAx>
    </c:plotArea>
    <c:legend>
      <c:legendPos val="r"/>
      <c:overlay val="0"/>
      <c:txPr>
        <a:bodyPr/>
        <a:lstStyle/>
        <a:p>
          <a:pPr lvl="0">
            <a:defRPr b="0">
              <a:solidFill>
                <a:srgbClr val="1A1A1A"/>
              </a:solidFill>
              <a:latin typeface="+mn-lt"/>
            </a:defRPr>
          </a:pPr>
        </a:p>
      </c:txPr>
    </c:legend>
    <c:plotVisOnly val="1"/>
  </c:chart>
</c:chartSpace>
</file>

<file path=xl/charts/chart1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 neto por tier (distribucion de tier por numero de clientes)</a:t>
            </a:r>
          </a:p>
        </c:rich>
      </c:tx>
      <c:overlay val="0"/>
    </c:title>
    <c:plotArea>
      <c:layout/>
      <c:barChart>
        <c:barDir val="col"/>
        <c:grouping val="stacked"/>
        <c:ser>
          <c:idx val="0"/>
          <c:order val="0"/>
          <c:tx>
            <c:strRef>
              <c:f>Rendimiento!$A$72</c:f>
            </c:strRef>
          </c:tx>
          <c:spPr>
            <a:solidFill>
              <a:schemeClr val="accent1"/>
            </a:solidFill>
            <a:ln cmpd="sng">
              <a:solidFill>
                <a:srgbClr val="000000"/>
              </a:solidFill>
            </a:ln>
          </c:spPr>
          <c:cat>
            <c:strRef>
              <c:f>Rendimiento!$B$2:$S$2</c:f>
            </c:strRef>
          </c:cat>
          <c:val>
            <c:numRef>
              <c:f>Rendimiento!$B$72:$S$72</c:f>
              <c:numCache/>
            </c:numRef>
          </c:val>
        </c:ser>
        <c:ser>
          <c:idx val="1"/>
          <c:order val="1"/>
          <c:tx>
            <c:strRef>
              <c:f>Rendimiento!$A$77</c:f>
            </c:strRef>
          </c:tx>
          <c:spPr>
            <a:solidFill>
              <a:schemeClr val="accent2"/>
            </a:solidFill>
            <a:ln cmpd="sng">
              <a:solidFill>
                <a:srgbClr val="000000"/>
              </a:solidFill>
            </a:ln>
          </c:spPr>
          <c:cat>
            <c:strRef>
              <c:f>Rendimiento!$B$2:$S$2</c:f>
            </c:strRef>
          </c:cat>
          <c:val>
            <c:numRef>
              <c:f>Rendimiento!$B$77:$S$77</c:f>
              <c:numCache/>
            </c:numRef>
          </c:val>
        </c:ser>
        <c:ser>
          <c:idx val="2"/>
          <c:order val="2"/>
          <c:tx>
            <c:strRef>
              <c:f>Rendimiento!$A$82</c:f>
            </c:strRef>
          </c:tx>
          <c:cat>
            <c:strRef>
              <c:f>Rendimiento!$B$2:$S$2</c:f>
            </c:strRef>
          </c:cat>
          <c:val>
            <c:numRef>
              <c:f>Rendimiento!$B$82:$S$82</c:f>
              <c:numCache/>
            </c:numRef>
          </c:val>
        </c:ser>
        <c:overlap val="100"/>
        <c:axId val="423433712"/>
        <c:axId val="1202857662"/>
      </c:barChart>
      <c:catAx>
        <c:axId val="42343371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202857662"/>
      </c:catAx>
      <c:valAx>
        <c:axId val="120285766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423433712"/>
      </c:valAx>
    </c:plotArea>
    <c:legend>
      <c:legendPos val="r"/>
      <c:overlay val="0"/>
      <c:txPr>
        <a:bodyPr/>
        <a:lstStyle/>
        <a:p>
          <a:pPr lvl="0">
            <a:defRPr b="0">
              <a:solidFill>
                <a:srgbClr val="1A1A1A"/>
              </a:solidFill>
              <a:latin typeface="+mn-lt"/>
            </a:defRPr>
          </a:pPr>
        </a:p>
      </c:txPr>
    </c:legend>
    <c:plotVisOnly val="1"/>
  </c:chart>
</c:chartSpace>
</file>

<file path=xl/charts/chart1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MRR</a:t>
            </a:r>
          </a:p>
        </c:rich>
      </c:tx>
      <c:overlay val="0"/>
    </c:title>
    <c:plotArea>
      <c:layout/>
      <c:lineChart>
        <c:ser>
          <c:idx val="0"/>
          <c:order val="0"/>
          <c:tx>
            <c:strRef>
              <c:f>Rendimiento!$A$58</c:f>
            </c:strRef>
          </c:tx>
          <c:spPr>
            <a:ln cmpd="sng">
              <a:solidFill>
                <a:srgbClr val="4285F4"/>
              </a:solidFill>
            </a:ln>
          </c:spPr>
          <c:marker>
            <c:symbol val="circle"/>
            <c:size val="2"/>
            <c:spPr>
              <a:solidFill>
                <a:srgbClr val="4285F4"/>
              </a:solidFill>
              <a:ln cmpd="sng">
                <a:solidFill>
                  <a:srgbClr val="4285F4"/>
                </a:solidFill>
              </a:ln>
            </c:spPr>
          </c:marker>
          <c:dLbls>
            <c:numFmt formatCode="#,##0\ [$€-1]" sourceLinked="0"/>
            <c:txPr>
              <a:bodyPr/>
              <a:lstStyle/>
              <a:p>
                <a:pPr lvl="0">
                  <a:defRPr>
                    <a:latin typeface="Roboto"/>
                  </a:defRPr>
                </a:pPr>
              </a:p>
            </c:txPr>
            <c:showLegendKey val="0"/>
            <c:showVal val="1"/>
            <c:showCatName val="0"/>
            <c:showSerName val="0"/>
            <c:showPercent val="0"/>
            <c:showBubbleSize val="0"/>
          </c:dLbls>
          <c:trendline>
            <c:name>Trend line for MRR</c:name>
            <c:spPr>
              <a:ln w="38100">
                <a:solidFill>
                  <a:srgbClr val="000000"/>
                </a:solidFill>
              </a:ln>
            </c:spPr>
            <c:trendlineType val="linear"/>
            <c:dispRSqr val="0"/>
            <c:dispEq val="0"/>
          </c:trendline>
          <c:cat>
            <c:strRef>
              <c:f>Rendimiento!$B$2:$S$2</c:f>
            </c:strRef>
          </c:cat>
          <c:val>
            <c:numRef>
              <c:f>Rendimiento!$B$58:$S$58</c:f>
              <c:numCache/>
            </c:numRef>
          </c:val>
          <c:smooth val="0"/>
        </c:ser>
        <c:axId val="207718353"/>
        <c:axId val="751401998"/>
      </c:lineChart>
      <c:catAx>
        <c:axId val="20771835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751401998"/>
      </c:catAx>
      <c:valAx>
        <c:axId val="75140199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0.00\ [$€-1]" sourceLinked="0"/>
        <c:majorTickMark val="none"/>
        <c:minorTickMark val="none"/>
        <c:tickLblPos val="nextTo"/>
        <c:spPr>
          <a:ln/>
        </c:spPr>
        <c:txPr>
          <a:bodyPr/>
          <a:lstStyle/>
          <a:p>
            <a:pPr lvl="0">
              <a:defRPr b="0">
                <a:solidFill>
                  <a:srgbClr val="000000"/>
                </a:solidFill>
                <a:latin typeface="+mn-lt"/>
              </a:defRPr>
            </a:pPr>
          </a:p>
        </c:txPr>
        <c:crossAx val="207718353"/>
      </c:valAx>
    </c:plotArea>
    <c:legend>
      <c:legendPos val="r"/>
      <c:overlay val="0"/>
      <c:txPr>
        <a:bodyPr/>
        <a:lstStyle/>
        <a:p>
          <a:pPr lvl="0">
            <a:defRPr b="0">
              <a:solidFill>
                <a:srgbClr val="1A1A1A"/>
              </a:solidFill>
              <a:latin typeface="+mn-lt"/>
            </a:defRPr>
          </a:pPr>
        </a:p>
      </c:txPr>
    </c:legend>
    <c:plotVisOnly val="1"/>
  </c:chart>
</c:chartSpace>
</file>

<file path=xl/charts/chart1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(distribucion de tier por numero de clientes)</a:t>
            </a:r>
          </a:p>
        </c:rich>
      </c:tx>
      <c:overlay val="0"/>
    </c:title>
    <c:plotArea>
      <c:layout/>
      <c:lineChart>
        <c:ser>
          <c:idx val="0"/>
          <c:order val="0"/>
          <c:tx>
            <c:strRef>
              <c:f>Rendimiento!$A$76</c:f>
            </c:strRef>
          </c:tx>
          <c:spPr>
            <a:ln cmpd="sng">
              <a:solidFill>
                <a:srgbClr val="4285F4"/>
              </a:solidFill>
            </a:ln>
          </c:spPr>
          <c:marker>
            <c:symbol val="none"/>
          </c:marker>
          <c:cat>
            <c:strRef>
              <c:f>Rendimiento!$B$2:$S$2</c:f>
            </c:strRef>
          </c:cat>
          <c:val>
            <c:numRef>
              <c:f>Rendimiento!$B$76:$S$76</c:f>
              <c:numCache/>
            </c:numRef>
          </c:val>
          <c:smooth val="0"/>
        </c:ser>
        <c:ser>
          <c:idx val="1"/>
          <c:order val="1"/>
          <c:tx>
            <c:strRef>
              <c:f>Rendimiento!$A$81</c:f>
            </c:strRef>
          </c:tx>
          <c:spPr>
            <a:ln cmpd="sng">
              <a:solidFill>
                <a:srgbClr val="EA4335"/>
              </a:solidFill>
            </a:ln>
          </c:spPr>
          <c:marker>
            <c:symbol val="none"/>
          </c:marker>
          <c:cat>
            <c:strRef>
              <c:f>Rendimiento!$B$2:$S$2</c:f>
            </c:strRef>
          </c:cat>
          <c:val>
            <c:numRef>
              <c:f>Rendimiento!$B$81:$S$81</c:f>
              <c:numCache/>
            </c:numRef>
          </c:val>
          <c:smooth val="0"/>
        </c:ser>
        <c:ser>
          <c:idx val="2"/>
          <c:order val="2"/>
          <c:tx>
            <c:strRef>
              <c:f>Rendimiento!$A$86</c:f>
            </c:strRef>
          </c:tx>
          <c:spPr>
            <a:ln cmpd="sng">
              <a:solidFill>
                <a:srgbClr val="FBBC04"/>
              </a:solidFill>
            </a:ln>
          </c:spPr>
          <c:marker>
            <c:symbol val="none"/>
          </c:marker>
          <c:cat>
            <c:strRef>
              <c:f>Rendimiento!$B$2:$S$2</c:f>
            </c:strRef>
          </c:cat>
          <c:val>
            <c:numRef>
              <c:f>Rendimiento!$B$86:$S$86</c:f>
              <c:numCache/>
            </c:numRef>
          </c:val>
          <c:smooth val="0"/>
        </c:ser>
        <c:axId val="197020766"/>
        <c:axId val="2057201257"/>
      </c:lineChart>
      <c:catAx>
        <c:axId val="19702076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057201257"/>
      </c:catAx>
      <c:valAx>
        <c:axId val="205720125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97020766"/>
      </c:valAx>
    </c:plotArea>
    <c:legend>
      <c:legendPos val="r"/>
      <c:overlay val="0"/>
      <c:txPr>
        <a:bodyPr/>
        <a:lstStyle/>
        <a:p>
          <a:pPr lvl="0">
            <a:defRPr b="0">
              <a:solidFill>
                <a:srgbClr val="1A1A1A"/>
              </a:solidFill>
              <a:latin typeface="+mn-lt"/>
            </a:defRPr>
          </a:pPr>
        </a:p>
      </c:txPr>
    </c:legend>
    <c:plotVisOnly val="1"/>
  </c:chart>
</c:chartSpace>
</file>

<file path=xl/charts/chart1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LTV/CAC ratio</a:t>
            </a:r>
          </a:p>
        </c:rich>
      </c:tx>
      <c:overlay val="0"/>
    </c:title>
    <c:plotArea>
      <c:layout/>
      <c:lineChart>
        <c:varyColors val="0"/>
        <c:ser>
          <c:idx val="0"/>
          <c:order val="0"/>
          <c:tx>
            <c:strRef>
              <c:f>Rendimiento!$A$64</c:f>
            </c:strRef>
          </c:tx>
          <c:spPr>
            <a:ln cmpd="sng">
              <a:solidFill>
                <a:srgbClr val="4285F4"/>
              </a:solidFill>
            </a:ln>
          </c:spPr>
          <c:marker>
            <c:symbol val="none"/>
          </c:marker>
          <c:cat>
            <c:strRef>
              <c:f>Rendimiento!$B$2:$S$2</c:f>
            </c:strRef>
          </c:cat>
          <c:val>
            <c:numRef>
              <c:f>Rendimiento!$B$64:$S$64</c:f>
              <c:numCache/>
            </c:numRef>
          </c:val>
          <c:smooth val="0"/>
        </c:ser>
        <c:axId val="509712819"/>
        <c:axId val="901340115"/>
      </c:lineChart>
      <c:catAx>
        <c:axId val="50971281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901340115"/>
      </c:catAx>
      <c:valAx>
        <c:axId val="90134011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ratio</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509712819"/>
      </c:valAx>
    </c:plotArea>
    <c:legend>
      <c:legendPos val="r"/>
      <c:overlay val="0"/>
      <c:txPr>
        <a:bodyPr/>
        <a:lstStyle/>
        <a:p>
          <a:pPr lvl="0">
            <a:defRPr b="0">
              <a:solidFill>
                <a:srgbClr val="1A1A1A"/>
              </a:solidFill>
              <a:latin typeface="+mn-lt"/>
            </a:defRPr>
          </a:pPr>
        </a:p>
      </c:txPr>
    </c:legend>
    <c:plotVisOnly val="1"/>
  </c:chart>
</c:chartSpace>
</file>

<file path=xl/charts/chart1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ARPU vs CAC - Unit Economics</a:t>
            </a:r>
          </a:p>
        </c:rich>
      </c:tx>
      <c:overlay val="0"/>
    </c:title>
    <c:plotArea>
      <c:layout/>
      <c:barChart>
        <c:barDir val="col"/>
        <c:ser>
          <c:idx val="0"/>
          <c:order val="0"/>
          <c:tx>
            <c:strRef>
              <c:f>Rendimiento!$A$55</c:f>
            </c:strRef>
          </c:tx>
          <c:spPr>
            <a:solidFill>
              <a:schemeClr val="accent1"/>
            </a:solidFill>
            <a:ln cmpd="sng">
              <a:solidFill>
                <a:srgbClr val="000000"/>
              </a:solidFill>
            </a:ln>
          </c:spPr>
          <c:cat>
            <c:strRef>
              <c:f>Rendimiento!$B$2:$S$2</c:f>
            </c:strRef>
          </c:cat>
          <c:val>
            <c:numRef>
              <c:f>Rendimiento!$B$55:$S$55</c:f>
              <c:numCache/>
            </c:numRef>
          </c:val>
        </c:ser>
        <c:axId val="465036418"/>
        <c:axId val="2106055532"/>
      </c:barChart>
      <c:lineChart>
        <c:varyColors val="0"/>
        <c:ser>
          <c:idx val="1"/>
          <c:order val="1"/>
          <c:tx>
            <c:strRef>
              <c:f>Rendimiento!$A$61</c:f>
            </c:strRef>
          </c:tx>
          <c:spPr>
            <a:ln cmpd="sng">
              <a:solidFill>
                <a:srgbClr val="EA4335"/>
              </a:solidFill>
            </a:ln>
          </c:spPr>
          <c:marker>
            <c:symbol val="none"/>
          </c:marker>
          <c:cat>
            <c:strRef>
              <c:f>Rendimiento!$B$2:$S$2</c:f>
            </c:strRef>
          </c:cat>
          <c:val>
            <c:numRef>
              <c:f>Rendimiento!$B$61:$S$61</c:f>
              <c:numCache/>
            </c:numRef>
          </c:val>
          <c:smooth val="0"/>
        </c:ser>
        <c:axId val="465036418"/>
        <c:axId val="2106055532"/>
      </c:lineChart>
      <c:catAx>
        <c:axId val="46503641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2106055532"/>
      </c:catAx>
      <c:valAx>
        <c:axId val="210605553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465036418"/>
      </c:valAx>
    </c:plotArea>
    <c:legend>
      <c:legendPos val="r"/>
      <c:overlay val="0"/>
      <c:txPr>
        <a:bodyPr/>
        <a:lstStyle/>
        <a:p>
          <a:pPr lvl="0">
            <a:defRPr b="0">
              <a:solidFill>
                <a:srgbClr val="1A1A1A"/>
              </a:solidFill>
              <a:latin typeface="+mn-lt"/>
            </a:defRPr>
          </a:pPr>
        </a:p>
      </c:txPr>
    </c:legend>
    <c:plotVisOnly val="1"/>
  </c:chart>
</c:chartSpace>
</file>

<file path=xl/charts/chart1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a:t>
            </a:r>
          </a:p>
        </c:rich>
      </c:tx>
      <c:overlay val="0"/>
    </c:title>
    <c:plotArea>
      <c:layout/>
      <c:lineChart>
        <c:varyColors val="0"/>
        <c:ser>
          <c:idx val="0"/>
          <c:order val="0"/>
          <c:tx>
            <c:strRef>
              <c:f>Rendimiento!$A$45</c:f>
            </c:strRef>
          </c:tx>
          <c:spPr>
            <a:ln cmpd="sng">
              <a:solidFill>
                <a:srgbClr val="4285F4"/>
              </a:solidFill>
            </a:ln>
          </c:spPr>
          <c:marker>
            <c:symbol val="none"/>
          </c:marker>
          <c:dPt>
            <c:idx val="5"/>
            <c:marker>
              <c:symbol val="none"/>
            </c:marker>
          </c:dPt>
          <c:dLbls>
            <c:numFmt formatCode="0.00%" sourceLinked="0"/>
            <c:txPr>
              <a:bodyPr/>
              <a:lstStyle/>
              <a:p>
                <a:pPr lvl="0">
                  <a:defRPr/>
                </a:pPr>
              </a:p>
            </c:txPr>
            <c:showLegendKey val="0"/>
            <c:showVal val="1"/>
            <c:showCatName val="0"/>
            <c:showSerName val="0"/>
            <c:showPercent val="0"/>
            <c:showBubbleSize val="0"/>
          </c:dLbls>
          <c:cat>
            <c:strRef>
              <c:f>Rendimiento!$B$2:$S$2</c:f>
            </c:strRef>
          </c:cat>
          <c:val>
            <c:numRef>
              <c:f>Rendimiento!$B$45:$S$45</c:f>
              <c:numCache/>
            </c:numRef>
          </c:val>
          <c:smooth val="0"/>
        </c:ser>
        <c:axId val="751030262"/>
        <c:axId val="481827703"/>
      </c:lineChart>
      <c:catAx>
        <c:axId val="75103026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481827703"/>
      </c:catAx>
      <c:valAx>
        <c:axId val="4818277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51030262"/>
      </c:valAx>
    </c:plotArea>
    <c:legend>
      <c:legendPos val="r"/>
      <c:overlay val="0"/>
      <c:txPr>
        <a:bodyPr/>
        <a:lstStyle/>
        <a:p>
          <a:pPr lvl="0">
            <a:defRPr b="0">
              <a:solidFill>
                <a:srgbClr val="1A1A1A"/>
              </a:solidFill>
              <a:latin typeface="+mn-lt"/>
            </a:defRPr>
          </a:pPr>
        </a:p>
      </c:txPr>
    </c:legend>
    <c:plotVisOnly val="1"/>
  </c:chart>
</c:chartSpace>
</file>

<file path=xl/charts/chart1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a:t>
            </a:r>
          </a:p>
        </c:rich>
      </c:tx>
      <c:overlay val="0"/>
    </c:title>
    <c:plotArea>
      <c:layout/>
      <c:lineChart>
        <c:varyColors val="0"/>
        <c:ser>
          <c:idx val="0"/>
          <c:order val="0"/>
          <c:tx>
            <c:strRef>
              <c:f>Rendimiento!$A$43</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38100">
                <a:solidFill>
                  <a:srgbClr val="000000"/>
                </a:solidFill>
              </a:ln>
            </c:spPr>
            <c:trendlineType val="linear"/>
            <c:dispRSqr val="0"/>
            <c:dispEq val="0"/>
          </c:trendline>
          <c:cat>
            <c:strRef>
              <c:f>Rendimiento!$B$2:$S$2</c:f>
            </c:strRef>
          </c:cat>
          <c:val>
            <c:numRef>
              <c:f>Rendimiento!$B$43:$S$43</c:f>
              <c:numCache/>
            </c:numRef>
          </c:val>
          <c:smooth val="0"/>
        </c:ser>
        <c:axId val="329424778"/>
        <c:axId val="1514929454"/>
      </c:lineChart>
      <c:catAx>
        <c:axId val="32942477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514929454"/>
      </c:catAx>
      <c:valAx>
        <c:axId val="151492945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329424778"/>
      </c:valAx>
    </c:plotArea>
    <c:legend>
      <c:legendPos val="r"/>
      <c:overlay val="0"/>
      <c:txPr>
        <a:bodyPr/>
        <a:lstStyle/>
        <a:p>
          <a:pPr lvl="0">
            <a:defRPr b="0">
              <a:solidFill>
                <a:srgbClr val="1A1A1A"/>
              </a:solidFill>
              <a:latin typeface="+mn-lt"/>
            </a:defRPr>
          </a:pPr>
        </a:p>
      </c:txPr>
    </c:legend>
    <c:plotVisOnly val="1"/>
  </c:chart>
</c:chartSpace>
</file>

<file path=xl/charts/chart1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Ingresos Vs Costes Neto</a:t>
            </a:r>
          </a:p>
        </c:rich>
      </c:tx>
      <c:overlay val="0"/>
    </c:title>
    <c:plotArea>
      <c:layout/>
      <c:lineChart>
        <c:ser>
          <c:idx val="0"/>
          <c:order val="0"/>
          <c:tx>
            <c:strRef>
              <c:f>Rendimiento!$A$41</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Rendimiento!$B$41:$S$41</c:f>
              <c:numCache/>
            </c:numRef>
          </c:val>
          <c:smooth val="1"/>
        </c:ser>
        <c:ser>
          <c:idx val="1"/>
          <c:order val="1"/>
          <c:tx>
            <c:strRef>
              <c:f>Rendimiento!$A$42</c:f>
            </c:strRef>
          </c:tx>
          <c:spPr>
            <a:ln cmpd="sng">
              <a:solidFill>
                <a:srgbClr val="EA4335"/>
              </a:solidFill>
            </a:ln>
          </c:spPr>
          <c:marker>
            <c:symbol val="none"/>
          </c:marker>
          <c:dPt>
            <c:idx val="8"/>
            <c:marker>
              <c:symbol val="none"/>
            </c:marker>
          </c:dPt>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Rendimiento!$B$42:$S$42</c:f>
              <c:numCache/>
            </c:numRef>
          </c:val>
          <c:smooth val="1"/>
        </c:ser>
        <c:axId val="2124993600"/>
        <c:axId val="541256278"/>
      </c:lineChart>
      <c:catAx>
        <c:axId val="212499360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541256278"/>
      </c:catAx>
      <c:valAx>
        <c:axId val="541256278"/>
        <c:scaling>
          <c:orientation val="minMax"/>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124993600"/>
      </c:valAx>
    </c:plotArea>
    <c:legend>
      <c:legendPos val="r"/>
      <c:overlay val="0"/>
      <c:txPr>
        <a:bodyPr/>
        <a:lstStyle/>
        <a:p>
          <a:pPr lvl="0">
            <a:defRPr b="0">
              <a:solidFill>
                <a:srgbClr val="1A1A1A"/>
              </a:solidFill>
              <a:latin typeface="+mn-lt"/>
            </a:defRPr>
          </a:pPr>
        </a:p>
      </c:txPr>
    </c:legend>
    <c:plotVisOnly val="1"/>
  </c:chart>
</c:chartSpace>
</file>

<file path=xl/charts/chart2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Coste fijo por tier (distribuido por mensajes)</a:t>
            </a:r>
          </a:p>
        </c:rich>
      </c:tx>
      <c:overlay val="0"/>
    </c:title>
    <c:plotArea>
      <c:layout/>
      <c:areaChart>
        <c:grouping val="percentStacked"/>
        <c:ser>
          <c:idx val="0"/>
          <c:order val="0"/>
          <c:tx>
            <c:strRef>
              <c:f>Rendimiento!$A$90</c:f>
            </c:strRef>
          </c:tx>
          <c:spPr>
            <a:solidFill>
              <a:srgbClr val="4285F4">
                <a:alpha val="30000"/>
              </a:srgbClr>
            </a:solidFill>
            <a:ln cmpd="sng">
              <a:solidFill>
                <a:srgbClr val="4285F4"/>
              </a:solidFill>
            </a:ln>
          </c:spPr>
          <c:cat>
            <c:strRef>
              <c:f>Rendimiento!$B$2:$S$2</c:f>
            </c:strRef>
          </c:cat>
          <c:val>
            <c:numRef>
              <c:f>Rendimiento!$B$90:$S$90</c:f>
              <c:numCache/>
            </c:numRef>
          </c:val>
        </c:ser>
        <c:ser>
          <c:idx val="1"/>
          <c:order val="1"/>
          <c:tx>
            <c:strRef>
              <c:f>Rendimiento!$A$95</c:f>
            </c:strRef>
          </c:tx>
          <c:spPr>
            <a:solidFill>
              <a:srgbClr val="EA4335">
                <a:alpha val="30000"/>
              </a:srgbClr>
            </a:solidFill>
            <a:ln cmpd="sng">
              <a:solidFill>
                <a:srgbClr val="EA4335"/>
              </a:solidFill>
            </a:ln>
          </c:spPr>
          <c:cat>
            <c:strRef>
              <c:f>Rendimiento!$B$2:$S$2</c:f>
            </c:strRef>
          </c:cat>
          <c:val>
            <c:numRef>
              <c:f>Rendimiento!$B$95:$S$95</c:f>
              <c:numCache/>
            </c:numRef>
          </c:val>
        </c:ser>
        <c:ser>
          <c:idx val="2"/>
          <c:order val="2"/>
          <c:tx>
            <c:strRef>
              <c:f>Rendimiento!$A$100</c:f>
            </c:strRef>
          </c:tx>
          <c:spPr>
            <a:solidFill>
              <a:srgbClr val="FBBC04">
                <a:alpha val="30000"/>
              </a:srgbClr>
            </a:solidFill>
            <a:ln cmpd="sng">
              <a:solidFill>
                <a:srgbClr val="FBBC04"/>
              </a:solidFill>
            </a:ln>
          </c:spPr>
          <c:cat>
            <c:strRef>
              <c:f>Rendimiento!$B$2:$S$2</c:f>
            </c:strRef>
          </c:cat>
          <c:val>
            <c:numRef>
              <c:f>Rendimiento!$B$100:$S$100</c:f>
              <c:numCache/>
            </c:numRef>
          </c:val>
        </c:ser>
        <c:axId val="1779310175"/>
        <c:axId val="192954064"/>
      </c:areaChart>
      <c:catAx>
        <c:axId val="177931017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2954064"/>
      </c:catAx>
      <c:valAx>
        <c:axId val="19295406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779310175"/>
      </c:valAx>
    </c:plotArea>
    <c:legend>
      <c:legendPos val="r"/>
      <c:overlay val="0"/>
      <c:txPr>
        <a:bodyPr/>
        <a:lstStyle/>
        <a:p>
          <a:pPr lvl="0">
            <a:defRPr b="0">
              <a:solidFill>
                <a:srgbClr val="1A1A1A"/>
              </a:solidFill>
              <a:latin typeface="+mn-lt"/>
            </a:defRPr>
          </a:pPr>
        </a:p>
      </c:txPr>
    </c:legend>
    <c:plotVisOnly val="1"/>
  </c:chart>
</c:chartSpace>
</file>

<file path=xl/charts/chart2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 por tier (coste fijo distribuido por mensajes tier)</a:t>
            </a:r>
          </a:p>
        </c:rich>
      </c:tx>
      <c:overlay val="0"/>
    </c:title>
    <c:plotArea>
      <c:layout/>
      <c:barChart>
        <c:barDir val="col"/>
        <c:ser>
          <c:idx val="0"/>
          <c:order val="0"/>
          <c:tx>
            <c:strRef>
              <c:f>Rendimiento!$A$92</c:f>
            </c:strRef>
          </c:tx>
          <c:spPr>
            <a:solidFill>
              <a:schemeClr val="accent1"/>
            </a:solidFill>
            <a:ln cmpd="sng">
              <a:solidFill>
                <a:srgbClr val="000000"/>
              </a:solidFill>
            </a:ln>
          </c:spPr>
          <c:cat>
            <c:strRef>
              <c:f>Rendimiento!$B$2:$S$2</c:f>
            </c:strRef>
          </c:cat>
          <c:val>
            <c:numRef>
              <c:f>Rendimiento!$B$92:$S$92</c:f>
              <c:numCache/>
            </c:numRef>
          </c:val>
        </c:ser>
        <c:ser>
          <c:idx val="1"/>
          <c:order val="1"/>
          <c:tx>
            <c:strRef>
              <c:f>Rendimiento!$A$97</c:f>
            </c:strRef>
          </c:tx>
          <c:spPr>
            <a:solidFill>
              <a:schemeClr val="accent2"/>
            </a:solidFill>
            <a:ln cmpd="sng">
              <a:solidFill>
                <a:srgbClr val="000000"/>
              </a:solidFill>
            </a:ln>
          </c:spPr>
          <c:cat>
            <c:strRef>
              <c:f>Rendimiento!$B$2:$S$2</c:f>
            </c:strRef>
          </c:cat>
          <c:val>
            <c:numRef>
              <c:f>Rendimiento!$B$97:$S$97</c:f>
              <c:numCache/>
            </c:numRef>
          </c:val>
        </c:ser>
        <c:ser>
          <c:idx val="2"/>
          <c:order val="2"/>
          <c:tx>
            <c:strRef>
              <c:f>Rendimiento!$A$102</c:f>
            </c:strRef>
          </c:tx>
          <c:spPr>
            <a:solidFill>
              <a:schemeClr val="accent3"/>
            </a:solidFill>
            <a:ln cmpd="sng">
              <a:solidFill>
                <a:srgbClr val="000000"/>
              </a:solidFill>
            </a:ln>
          </c:spPr>
          <c:cat>
            <c:strRef>
              <c:f>Rendimiento!$B$2:$S$2</c:f>
            </c:strRef>
          </c:cat>
          <c:val>
            <c:numRef>
              <c:f>Rendimiento!$B$102:$S$102</c:f>
              <c:numCache/>
            </c:numRef>
          </c:val>
        </c:ser>
        <c:ser>
          <c:idx val="3"/>
          <c:order val="3"/>
          <c:tx>
            <c:strRef>
              <c:f>Rendimiento!$A$76</c:f>
            </c:strRef>
          </c:tx>
          <c:cat>
            <c:strRef>
              <c:f>Rendimiento!$B$2:$S$2</c:f>
            </c:strRef>
          </c:cat>
          <c:val>
            <c:numRef>
              <c:f>Rendimiento!$B$76:$S$76</c:f>
              <c:numCache/>
            </c:numRef>
          </c:val>
        </c:ser>
        <c:ser>
          <c:idx val="4"/>
          <c:order val="4"/>
          <c:tx>
            <c:strRef>
              <c:f>Rendimiento!$A$81</c:f>
            </c:strRef>
          </c:tx>
          <c:cat>
            <c:strRef>
              <c:f>Rendimiento!$B$2:$S$2</c:f>
            </c:strRef>
          </c:cat>
          <c:val>
            <c:numRef>
              <c:f>Rendimiento!$B$81:$S$81</c:f>
              <c:numCache/>
            </c:numRef>
          </c:val>
        </c:ser>
        <c:ser>
          <c:idx val="5"/>
          <c:order val="5"/>
          <c:tx>
            <c:strRef>
              <c:f>Rendimiento!$A$86</c:f>
            </c:strRef>
          </c:tx>
          <c:cat>
            <c:strRef>
              <c:f>Rendimiento!$B$2:$S$2</c:f>
            </c:strRef>
          </c:cat>
          <c:val>
            <c:numRef>
              <c:f>Rendimiento!$B$86:$S$86</c:f>
              <c:numCache/>
            </c:numRef>
          </c:val>
        </c:ser>
        <c:axId val="177949056"/>
        <c:axId val="1380544435"/>
      </c:barChart>
      <c:catAx>
        <c:axId val="17794905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380544435"/>
      </c:catAx>
      <c:valAx>
        <c:axId val="138054443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77949056"/>
      </c:valAx>
    </c:plotArea>
    <c:legend>
      <c:legendPos val="r"/>
      <c:overlay val="0"/>
      <c:txPr>
        <a:bodyPr/>
        <a:lstStyle/>
        <a:p>
          <a:pPr lvl="0">
            <a:defRPr b="0">
              <a:solidFill>
                <a:srgbClr val="1A1A1A"/>
              </a:solidFill>
              <a:latin typeface="+mn-lt"/>
            </a:defRPr>
          </a:pPr>
        </a:p>
      </c:txPr>
    </c:legend>
    <c:plotVisOnly val="1"/>
  </c:chart>
</c:chartSpace>
</file>

<file path=xl/charts/chart2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(coste fijo distribuido por mensajes tier)</a:t>
            </a:r>
          </a:p>
        </c:rich>
      </c:tx>
      <c:overlay val="0"/>
    </c:title>
    <c:plotArea>
      <c:layout/>
      <c:lineChart>
        <c:ser>
          <c:idx val="0"/>
          <c:order val="0"/>
          <c:tx>
            <c:strRef>
              <c:f>Rendimiento!$A$93</c:f>
            </c:strRef>
          </c:tx>
          <c:spPr>
            <a:ln cmpd="sng">
              <a:solidFill>
                <a:srgbClr val="4285F4"/>
              </a:solidFill>
            </a:ln>
          </c:spPr>
          <c:marker>
            <c:symbol val="none"/>
          </c:marker>
          <c:cat>
            <c:strRef>
              <c:f>Rendimiento!$B$2:$S$2</c:f>
            </c:strRef>
          </c:cat>
          <c:val>
            <c:numRef>
              <c:f>Rendimiento!$B$93:$S$93</c:f>
              <c:numCache/>
            </c:numRef>
          </c:val>
          <c:smooth val="0"/>
        </c:ser>
        <c:ser>
          <c:idx val="1"/>
          <c:order val="1"/>
          <c:tx>
            <c:strRef>
              <c:f>Rendimiento!$A$2</c:f>
            </c:strRef>
          </c:tx>
          <c:spPr>
            <a:ln cmpd="sng">
              <a:solidFill>
                <a:srgbClr val="EA4335"/>
              </a:solidFill>
            </a:ln>
          </c:spPr>
          <c:marker>
            <c:symbol val="none"/>
          </c:marker>
          <c:cat>
            <c:strRef>
              <c:f>Rendimiento!$B$2:$S$2</c:f>
            </c:strRef>
          </c:cat>
          <c:val>
            <c:numRef>
              <c:f>Rendimiento!$B$2:$S$2</c:f>
              <c:numCache/>
            </c:numRef>
          </c:val>
          <c:smooth val="0"/>
        </c:ser>
        <c:ser>
          <c:idx val="2"/>
          <c:order val="2"/>
          <c:tx>
            <c:strRef>
              <c:f>Rendimiento!$A$98</c:f>
            </c:strRef>
          </c:tx>
          <c:spPr>
            <a:ln cmpd="sng">
              <a:solidFill>
                <a:srgbClr val="FBBC04"/>
              </a:solidFill>
            </a:ln>
          </c:spPr>
          <c:marker>
            <c:symbol val="none"/>
          </c:marker>
          <c:cat>
            <c:strRef>
              <c:f>Rendimiento!$B$2:$S$2</c:f>
            </c:strRef>
          </c:cat>
          <c:val>
            <c:numRef>
              <c:f>Rendimiento!$B$98:$S$98</c:f>
              <c:numCache/>
            </c:numRef>
          </c:val>
          <c:smooth val="0"/>
        </c:ser>
        <c:axId val="1510905201"/>
        <c:axId val="211162450"/>
      </c:lineChart>
      <c:catAx>
        <c:axId val="1510905201"/>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11162450"/>
      </c:catAx>
      <c:valAx>
        <c:axId val="21116245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510905201"/>
      </c:valAx>
    </c:plotArea>
    <c:legend>
      <c:legendPos val="r"/>
      <c:overlay val="0"/>
      <c:txPr>
        <a:bodyPr/>
        <a:lstStyle/>
        <a:p>
          <a:pPr lvl="0">
            <a:defRPr b="0">
              <a:solidFill>
                <a:srgbClr val="1A1A1A"/>
              </a:solidFill>
              <a:latin typeface="+mn-lt"/>
            </a:defRPr>
          </a:pPr>
        </a:p>
      </c:txPr>
    </c:legend>
    <c:plotVisOnly val="1"/>
  </c:chart>
</c:chartSpace>
</file>

<file path=xl/charts/chart2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 neto por tier (distribucion de tier por numero de clientes)</a:t>
            </a:r>
          </a:p>
        </c:rich>
      </c:tx>
      <c:overlay val="0"/>
    </c:title>
    <c:plotArea>
      <c:layout/>
      <c:barChart>
        <c:barDir val="col"/>
        <c:grouping val="stacked"/>
        <c:ser>
          <c:idx val="0"/>
          <c:order val="0"/>
          <c:tx>
            <c:strRef>
              <c:f>Rendimiento!$A$72</c:f>
            </c:strRef>
          </c:tx>
          <c:spPr>
            <a:solidFill>
              <a:schemeClr val="accent1"/>
            </a:solidFill>
            <a:ln cmpd="sng">
              <a:solidFill>
                <a:srgbClr val="000000"/>
              </a:solidFill>
            </a:ln>
          </c:spPr>
          <c:cat>
            <c:strRef>
              <c:f>Rendimiento!$B$2:$S$2</c:f>
            </c:strRef>
          </c:cat>
          <c:val>
            <c:numRef>
              <c:f>Rendimiento!$B$72:$S$72</c:f>
              <c:numCache/>
            </c:numRef>
          </c:val>
        </c:ser>
        <c:ser>
          <c:idx val="1"/>
          <c:order val="1"/>
          <c:tx>
            <c:strRef>
              <c:f>Rendimiento!$A$77</c:f>
            </c:strRef>
          </c:tx>
          <c:spPr>
            <a:solidFill>
              <a:schemeClr val="accent2"/>
            </a:solidFill>
            <a:ln cmpd="sng">
              <a:solidFill>
                <a:srgbClr val="000000"/>
              </a:solidFill>
            </a:ln>
          </c:spPr>
          <c:cat>
            <c:strRef>
              <c:f>Rendimiento!$B$2:$S$2</c:f>
            </c:strRef>
          </c:cat>
          <c:val>
            <c:numRef>
              <c:f>Rendimiento!$B$77:$S$77</c:f>
              <c:numCache/>
            </c:numRef>
          </c:val>
        </c:ser>
        <c:ser>
          <c:idx val="2"/>
          <c:order val="2"/>
          <c:tx>
            <c:strRef>
              <c:f>Rendimiento!$A$82</c:f>
            </c:strRef>
          </c:tx>
          <c:cat>
            <c:strRef>
              <c:f>Rendimiento!$B$2:$S$2</c:f>
            </c:strRef>
          </c:cat>
          <c:val>
            <c:numRef>
              <c:f>Rendimiento!$B$82:$S$82</c:f>
              <c:numCache/>
            </c:numRef>
          </c:val>
        </c:ser>
        <c:overlap val="100"/>
        <c:axId val="1261340426"/>
        <c:axId val="1065778229"/>
      </c:barChart>
      <c:catAx>
        <c:axId val="126134042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065778229"/>
      </c:catAx>
      <c:valAx>
        <c:axId val="106577822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261340426"/>
      </c:valAx>
    </c:plotArea>
    <c:legend>
      <c:legendPos val="r"/>
      <c:overlay val="0"/>
      <c:txPr>
        <a:bodyPr/>
        <a:lstStyle/>
        <a:p>
          <a:pPr lvl="0">
            <a:defRPr b="0">
              <a:solidFill>
                <a:srgbClr val="1A1A1A"/>
              </a:solidFill>
              <a:latin typeface="+mn-lt"/>
            </a:defRPr>
          </a:pPr>
        </a:p>
      </c:txPr>
    </c:legend>
    <c:plotVisOnly val="1"/>
  </c:chart>
</c:chartSpace>
</file>

<file path=xl/charts/chart2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MRR</a:t>
            </a:r>
          </a:p>
        </c:rich>
      </c:tx>
      <c:overlay val="0"/>
    </c:title>
    <c:plotArea>
      <c:layout/>
      <c:lineChart>
        <c:ser>
          <c:idx val="0"/>
          <c:order val="0"/>
          <c:tx>
            <c:strRef>
              <c:f>Rendimiento!$A$58</c:f>
            </c:strRef>
          </c:tx>
          <c:spPr>
            <a:ln cmpd="sng">
              <a:solidFill>
                <a:srgbClr val="4285F4"/>
              </a:solidFill>
            </a:ln>
          </c:spPr>
          <c:marker>
            <c:symbol val="circle"/>
            <c:size val="2"/>
            <c:spPr>
              <a:solidFill>
                <a:srgbClr val="4285F4"/>
              </a:solidFill>
              <a:ln cmpd="sng">
                <a:solidFill>
                  <a:srgbClr val="4285F4"/>
                </a:solidFill>
              </a:ln>
            </c:spPr>
          </c:marker>
          <c:dLbls>
            <c:numFmt formatCode="#,##0\ [$€-1]" sourceLinked="0"/>
            <c:txPr>
              <a:bodyPr/>
              <a:lstStyle/>
              <a:p>
                <a:pPr lvl="0">
                  <a:defRPr>
                    <a:latin typeface="Roboto"/>
                  </a:defRPr>
                </a:pPr>
              </a:p>
            </c:txPr>
            <c:showLegendKey val="0"/>
            <c:showVal val="1"/>
            <c:showCatName val="0"/>
            <c:showSerName val="0"/>
            <c:showPercent val="0"/>
            <c:showBubbleSize val="0"/>
          </c:dLbls>
          <c:trendline>
            <c:name>Trend line for MRR</c:name>
            <c:spPr>
              <a:ln w="38100">
                <a:solidFill>
                  <a:srgbClr val="000000"/>
                </a:solidFill>
              </a:ln>
            </c:spPr>
            <c:trendlineType val="linear"/>
            <c:dispRSqr val="0"/>
            <c:dispEq val="0"/>
          </c:trendline>
          <c:cat>
            <c:strRef>
              <c:f>Rendimiento!$B$2:$S$2</c:f>
            </c:strRef>
          </c:cat>
          <c:val>
            <c:numRef>
              <c:f>Rendimiento!$B$58:$S$58</c:f>
              <c:numCache/>
            </c:numRef>
          </c:val>
          <c:smooth val="0"/>
        </c:ser>
        <c:axId val="1116012650"/>
        <c:axId val="1967456975"/>
      </c:lineChart>
      <c:catAx>
        <c:axId val="111601265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967456975"/>
      </c:catAx>
      <c:valAx>
        <c:axId val="196745697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0.00\ [$€-1]" sourceLinked="0"/>
        <c:majorTickMark val="none"/>
        <c:minorTickMark val="none"/>
        <c:tickLblPos val="nextTo"/>
        <c:spPr>
          <a:ln/>
        </c:spPr>
        <c:txPr>
          <a:bodyPr/>
          <a:lstStyle/>
          <a:p>
            <a:pPr lvl="0">
              <a:defRPr b="0">
                <a:solidFill>
                  <a:srgbClr val="000000"/>
                </a:solidFill>
                <a:latin typeface="+mn-lt"/>
              </a:defRPr>
            </a:pPr>
          </a:p>
        </c:txPr>
        <c:crossAx val="1116012650"/>
      </c:valAx>
    </c:plotArea>
    <c:legend>
      <c:legendPos val="r"/>
      <c:overlay val="0"/>
      <c:txPr>
        <a:bodyPr/>
        <a:lstStyle/>
        <a:p>
          <a:pPr lvl="0">
            <a:defRPr b="0">
              <a:solidFill>
                <a:srgbClr val="1A1A1A"/>
              </a:solidFill>
              <a:latin typeface="+mn-lt"/>
            </a:defRPr>
          </a:pPr>
        </a:p>
      </c:txPr>
    </c:legend>
    <c:plotVisOnly val="1"/>
  </c:chart>
</c:chartSpace>
</file>

<file path=xl/charts/chart2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(distribucion de tier por numero de clientes)</a:t>
            </a:r>
          </a:p>
        </c:rich>
      </c:tx>
      <c:overlay val="0"/>
    </c:title>
    <c:plotArea>
      <c:layout/>
      <c:lineChart>
        <c:ser>
          <c:idx val="0"/>
          <c:order val="0"/>
          <c:tx>
            <c:strRef>
              <c:f>Rendimiento!$A$76</c:f>
            </c:strRef>
          </c:tx>
          <c:spPr>
            <a:ln cmpd="sng">
              <a:solidFill>
                <a:srgbClr val="4285F4"/>
              </a:solidFill>
            </a:ln>
          </c:spPr>
          <c:marker>
            <c:symbol val="none"/>
          </c:marker>
          <c:cat>
            <c:strRef>
              <c:f>Rendimiento!$B$2:$S$2</c:f>
            </c:strRef>
          </c:cat>
          <c:val>
            <c:numRef>
              <c:f>Rendimiento!$B$76:$S$76</c:f>
              <c:numCache/>
            </c:numRef>
          </c:val>
          <c:smooth val="0"/>
        </c:ser>
        <c:ser>
          <c:idx val="1"/>
          <c:order val="1"/>
          <c:tx>
            <c:strRef>
              <c:f>Rendimiento!$A$81</c:f>
            </c:strRef>
          </c:tx>
          <c:spPr>
            <a:ln cmpd="sng">
              <a:solidFill>
                <a:srgbClr val="EA4335"/>
              </a:solidFill>
            </a:ln>
          </c:spPr>
          <c:marker>
            <c:symbol val="none"/>
          </c:marker>
          <c:cat>
            <c:strRef>
              <c:f>Rendimiento!$B$2:$S$2</c:f>
            </c:strRef>
          </c:cat>
          <c:val>
            <c:numRef>
              <c:f>Rendimiento!$B$81:$S$81</c:f>
              <c:numCache/>
            </c:numRef>
          </c:val>
          <c:smooth val="0"/>
        </c:ser>
        <c:ser>
          <c:idx val="2"/>
          <c:order val="2"/>
          <c:tx>
            <c:strRef>
              <c:f>Rendimiento!$A$86</c:f>
            </c:strRef>
          </c:tx>
          <c:spPr>
            <a:ln cmpd="sng">
              <a:solidFill>
                <a:srgbClr val="FBBC04"/>
              </a:solidFill>
            </a:ln>
          </c:spPr>
          <c:marker>
            <c:symbol val="none"/>
          </c:marker>
          <c:cat>
            <c:strRef>
              <c:f>Rendimiento!$B$2:$S$2</c:f>
            </c:strRef>
          </c:cat>
          <c:val>
            <c:numRef>
              <c:f>Rendimiento!$B$86:$S$86</c:f>
              <c:numCache/>
            </c:numRef>
          </c:val>
          <c:smooth val="0"/>
        </c:ser>
        <c:axId val="1814862734"/>
        <c:axId val="923980462"/>
      </c:lineChart>
      <c:catAx>
        <c:axId val="1814862734"/>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923980462"/>
      </c:catAx>
      <c:valAx>
        <c:axId val="92398046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814862734"/>
      </c:valAx>
    </c:plotArea>
    <c:legend>
      <c:legendPos val="r"/>
      <c:overlay val="0"/>
      <c:txPr>
        <a:bodyPr/>
        <a:lstStyle/>
        <a:p>
          <a:pPr lvl="0">
            <a:defRPr b="0">
              <a:solidFill>
                <a:srgbClr val="1A1A1A"/>
              </a:solidFill>
              <a:latin typeface="+mn-lt"/>
            </a:defRPr>
          </a:pPr>
        </a:p>
      </c:txPr>
    </c:legend>
    <c:plotVisOnly val="1"/>
  </c:chart>
</c:chartSpace>
</file>

<file path=xl/charts/chart2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LTV/CAC ratio</a:t>
            </a:r>
          </a:p>
        </c:rich>
      </c:tx>
      <c:overlay val="0"/>
    </c:title>
    <c:plotArea>
      <c:layout/>
      <c:lineChart>
        <c:varyColors val="0"/>
        <c:ser>
          <c:idx val="0"/>
          <c:order val="0"/>
          <c:tx>
            <c:strRef>
              <c:f>Rendimiento!$A$64</c:f>
            </c:strRef>
          </c:tx>
          <c:spPr>
            <a:ln cmpd="sng">
              <a:solidFill>
                <a:srgbClr val="4285F4"/>
              </a:solidFill>
            </a:ln>
          </c:spPr>
          <c:marker>
            <c:symbol val="none"/>
          </c:marker>
          <c:cat>
            <c:strRef>
              <c:f>Rendimiento!$B$2:$S$2</c:f>
            </c:strRef>
          </c:cat>
          <c:val>
            <c:numRef>
              <c:f>Rendimiento!$B$64:$S$64</c:f>
              <c:numCache/>
            </c:numRef>
          </c:val>
          <c:smooth val="0"/>
        </c:ser>
        <c:axId val="1263370810"/>
        <c:axId val="663383076"/>
      </c:lineChart>
      <c:catAx>
        <c:axId val="126337081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663383076"/>
      </c:catAx>
      <c:valAx>
        <c:axId val="66338307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ratio</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263370810"/>
      </c:valAx>
    </c:plotArea>
    <c:legend>
      <c:legendPos val="r"/>
      <c:overlay val="0"/>
      <c:txPr>
        <a:bodyPr/>
        <a:lstStyle/>
        <a:p>
          <a:pPr lvl="0">
            <a:defRPr b="0">
              <a:solidFill>
                <a:srgbClr val="1A1A1A"/>
              </a:solidFill>
              <a:latin typeface="+mn-lt"/>
            </a:defRPr>
          </a:pPr>
        </a:p>
      </c:txPr>
    </c:legend>
    <c:plotVisOnly val="1"/>
  </c:chart>
</c:chartSpace>
</file>

<file path=xl/charts/chart2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ARPU vs CAC - Unit Economics</a:t>
            </a:r>
          </a:p>
        </c:rich>
      </c:tx>
      <c:overlay val="0"/>
    </c:title>
    <c:plotArea>
      <c:layout/>
      <c:barChart>
        <c:barDir val="col"/>
        <c:ser>
          <c:idx val="0"/>
          <c:order val="0"/>
          <c:tx>
            <c:strRef>
              <c:f>Rendimiento!$A$55</c:f>
            </c:strRef>
          </c:tx>
          <c:spPr>
            <a:solidFill>
              <a:schemeClr val="accent1"/>
            </a:solidFill>
            <a:ln cmpd="sng">
              <a:solidFill>
                <a:srgbClr val="000000"/>
              </a:solidFill>
            </a:ln>
          </c:spPr>
          <c:cat>
            <c:strRef>
              <c:f>Rendimiento!$B$2:$S$2</c:f>
            </c:strRef>
          </c:cat>
          <c:val>
            <c:numRef>
              <c:f>Rendimiento!$B$55:$S$55</c:f>
              <c:numCache/>
            </c:numRef>
          </c:val>
        </c:ser>
        <c:axId val="37054608"/>
        <c:axId val="1321733860"/>
      </c:barChart>
      <c:lineChart>
        <c:varyColors val="0"/>
        <c:ser>
          <c:idx val="1"/>
          <c:order val="1"/>
          <c:tx>
            <c:strRef>
              <c:f>Rendimiento!$A$61</c:f>
            </c:strRef>
          </c:tx>
          <c:spPr>
            <a:ln cmpd="sng">
              <a:solidFill>
                <a:srgbClr val="EA4335"/>
              </a:solidFill>
            </a:ln>
          </c:spPr>
          <c:marker>
            <c:symbol val="none"/>
          </c:marker>
          <c:cat>
            <c:strRef>
              <c:f>Rendimiento!$B$2:$S$2</c:f>
            </c:strRef>
          </c:cat>
          <c:val>
            <c:numRef>
              <c:f>Rendimiento!$B$61:$S$61</c:f>
              <c:numCache/>
            </c:numRef>
          </c:val>
          <c:smooth val="0"/>
        </c:ser>
        <c:axId val="37054608"/>
        <c:axId val="1321733860"/>
      </c:lineChart>
      <c:catAx>
        <c:axId val="3705460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321733860"/>
      </c:catAx>
      <c:valAx>
        <c:axId val="132173386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37054608"/>
      </c:valAx>
    </c:plotArea>
    <c:legend>
      <c:legendPos val="r"/>
      <c:overlay val="0"/>
      <c:txPr>
        <a:bodyPr/>
        <a:lstStyle/>
        <a:p>
          <a:pPr lvl="0">
            <a:defRPr b="0">
              <a:solidFill>
                <a:srgbClr val="1A1A1A"/>
              </a:solidFill>
              <a:latin typeface="+mn-lt"/>
            </a:defRPr>
          </a:pPr>
        </a:p>
      </c:txPr>
    </c:legend>
    <c:plotVisOnly val="1"/>
  </c:chart>
</c:chartSpace>
</file>

<file path=xl/charts/chart2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a:t>
            </a:r>
          </a:p>
        </c:rich>
      </c:tx>
      <c:overlay val="0"/>
    </c:title>
    <c:plotArea>
      <c:layout/>
      <c:lineChart>
        <c:varyColors val="0"/>
        <c:ser>
          <c:idx val="0"/>
          <c:order val="0"/>
          <c:tx>
            <c:strRef>
              <c:f>Rendimiento!$A$45</c:f>
            </c:strRef>
          </c:tx>
          <c:spPr>
            <a:ln cmpd="sng">
              <a:solidFill>
                <a:srgbClr val="4285F4"/>
              </a:solidFill>
            </a:ln>
          </c:spPr>
          <c:marker>
            <c:symbol val="none"/>
          </c:marker>
          <c:dPt>
            <c:idx val="5"/>
            <c:marker>
              <c:symbol val="none"/>
            </c:marker>
          </c:dPt>
          <c:dLbls>
            <c:numFmt formatCode="0.00%" sourceLinked="0"/>
            <c:txPr>
              <a:bodyPr/>
              <a:lstStyle/>
              <a:p>
                <a:pPr lvl="0">
                  <a:defRPr/>
                </a:pPr>
              </a:p>
            </c:txPr>
            <c:showLegendKey val="0"/>
            <c:showVal val="1"/>
            <c:showCatName val="0"/>
            <c:showSerName val="0"/>
            <c:showPercent val="0"/>
            <c:showBubbleSize val="0"/>
          </c:dLbls>
          <c:cat>
            <c:strRef>
              <c:f>Rendimiento!$B$2:$S$2</c:f>
            </c:strRef>
          </c:cat>
          <c:val>
            <c:numRef>
              <c:f>Rendimiento!$B$45:$S$45</c:f>
              <c:numCache/>
            </c:numRef>
          </c:val>
          <c:smooth val="0"/>
        </c:ser>
        <c:axId val="871387246"/>
        <c:axId val="1526348357"/>
      </c:lineChart>
      <c:catAx>
        <c:axId val="87138724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526348357"/>
      </c:catAx>
      <c:valAx>
        <c:axId val="152634835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871387246"/>
      </c:valAx>
    </c:plotArea>
    <c:legend>
      <c:legendPos val="r"/>
      <c:overlay val="0"/>
      <c:txPr>
        <a:bodyPr/>
        <a:lstStyle/>
        <a:p>
          <a:pPr lvl="0">
            <a:defRPr b="0">
              <a:solidFill>
                <a:srgbClr val="1A1A1A"/>
              </a:solidFill>
              <a:latin typeface="+mn-lt"/>
            </a:defRPr>
          </a:pPr>
        </a:p>
      </c:txPr>
    </c:legend>
    <c:plotVisOnly val="1"/>
  </c:chart>
</c:chartSpace>
</file>

<file path=xl/charts/chart2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a:t>
            </a:r>
          </a:p>
        </c:rich>
      </c:tx>
      <c:overlay val="0"/>
    </c:title>
    <c:plotArea>
      <c:layout/>
      <c:lineChart>
        <c:varyColors val="0"/>
        <c:ser>
          <c:idx val="0"/>
          <c:order val="0"/>
          <c:tx>
            <c:strRef>
              <c:f>Rendimiento!$A$43</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38100">
                <a:solidFill>
                  <a:srgbClr val="000000"/>
                </a:solidFill>
              </a:ln>
            </c:spPr>
            <c:trendlineType val="linear"/>
            <c:dispRSqr val="0"/>
            <c:dispEq val="0"/>
          </c:trendline>
          <c:cat>
            <c:strRef>
              <c:f>Rendimiento!$B$2:$S$2</c:f>
            </c:strRef>
          </c:cat>
          <c:val>
            <c:numRef>
              <c:f>Rendimiento!$B$43:$S$43</c:f>
              <c:numCache/>
            </c:numRef>
          </c:val>
          <c:smooth val="0"/>
        </c:ser>
        <c:axId val="1886276237"/>
        <c:axId val="2041250719"/>
      </c:lineChart>
      <c:catAx>
        <c:axId val="188627623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2041250719"/>
      </c:catAx>
      <c:valAx>
        <c:axId val="204125071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886276237"/>
      </c:valAx>
    </c:plotArea>
    <c:legend>
      <c:legendPos val="r"/>
      <c:overlay val="0"/>
      <c:txPr>
        <a:bodyPr/>
        <a:lstStyle/>
        <a:p>
          <a:pPr lvl="0">
            <a:defRPr b="0">
              <a:solidFill>
                <a:srgbClr val="1A1A1A"/>
              </a:solidFill>
              <a:latin typeface="+mn-lt"/>
            </a:defRPr>
          </a:pPr>
        </a:p>
      </c:txPr>
    </c:legend>
    <c:plotVisOnly val="1"/>
  </c:chart>
</c:chartSpace>
</file>

<file path=xl/charts/chart3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Ingresos Vs Costes Neto</a:t>
            </a:r>
          </a:p>
        </c:rich>
      </c:tx>
      <c:overlay val="0"/>
    </c:title>
    <c:plotArea>
      <c:layout/>
      <c:lineChart>
        <c:ser>
          <c:idx val="0"/>
          <c:order val="0"/>
          <c:tx>
            <c:strRef>
              <c:f>Rendimiento!$A$41</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Rendimiento!$B$41:$S$41</c:f>
              <c:numCache/>
            </c:numRef>
          </c:val>
          <c:smooth val="1"/>
        </c:ser>
        <c:ser>
          <c:idx val="1"/>
          <c:order val="1"/>
          <c:tx>
            <c:strRef>
              <c:f>Rendimiento!$A$42</c:f>
            </c:strRef>
          </c:tx>
          <c:spPr>
            <a:ln cmpd="sng">
              <a:solidFill>
                <a:srgbClr val="EA4335"/>
              </a:solidFill>
            </a:ln>
          </c:spPr>
          <c:marker>
            <c:symbol val="none"/>
          </c:marker>
          <c:dPt>
            <c:idx val="8"/>
            <c:marker>
              <c:symbol val="none"/>
            </c:marker>
          </c:dPt>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Rendimiento!$B$42:$S$42</c:f>
              <c:numCache/>
            </c:numRef>
          </c:val>
          <c:smooth val="1"/>
        </c:ser>
        <c:axId val="1054085579"/>
        <c:axId val="1189022016"/>
      </c:lineChart>
      <c:catAx>
        <c:axId val="105408557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189022016"/>
      </c:catAx>
      <c:valAx>
        <c:axId val="1189022016"/>
        <c:scaling>
          <c:orientation val="minMax"/>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054085579"/>
      </c:valAx>
    </c:plotArea>
    <c:legend>
      <c:legendPos val="r"/>
      <c:overlay val="0"/>
      <c:txPr>
        <a:bodyPr/>
        <a:lstStyle/>
        <a:p>
          <a:pPr lvl="0">
            <a:defRPr b="0">
              <a:solidFill>
                <a:srgbClr val="1A1A1A"/>
              </a:solidFill>
              <a:latin typeface="+mn-lt"/>
            </a:defRPr>
          </a:pPr>
        </a:p>
      </c:txPr>
    </c:legend>
    <c:plotVisOnly val="1"/>
  </c:chart>
</c:chartSpace>
</file>

<file path=xl/charts/chart3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Coste fijo por tier (distribuido por mensajes)</a:t>
            </a:r>
          </a:p>
        </c:rich>
      </c:tx>
      <c:overlay val="0"/>
    </c:title>
    <c:plotArea>
      <c:layout/>
      <c:areaChart>
        <c:grouping val="percentStacked"/>
        <c:ser>
          <c:idx val="0"/>
          <c:order val="0"/>
          <c:tx>
            <c:strRef>
              <c:f>Rendimiento!$A$90</c:f>
            </c:strRef>
          </c:tx>
          <c:spPr>
            <a:solidFill>
              <a:srgbClr val="4285F4">
                <a:alpha val="30000"/>
              </a:srgbClr>
            </a:solidFill>
            <a:ln cmpd="sng">
              <a:solidFill>
                <a:srgbClr val="4285F4"/>
              </a:solidFill>
            </a:ln>
          </c:spPr>
          <c:cat>
            <c:strRef>
              <c:f>Rendimiento!$B$2:$S$2</c:f>
            </c:strRef>
          </c:cat>
          <c:val>
            <c:numRef>
              <c:f>Rendimiento!$B$90:$S$90</c:f>
              <c:numCache/>
            </c:numRef>
          </c:val>
        </c:ser>
        <c:ser>
          <c:idx val="1"/>
          <c:order val="1"/>
          <c:tx>
            <c:strRef>
              <c:f>Rendimiento!$A$95</c:f>
            </c:strRef>
          </c:tx>
          <c:spPr>
            <a:solidFill>
              <a:srgbClr val="EA4335">
                <a:alpha val="30000"/>
              </a:srgbClr>
            </a:solidFill>
            <a:ln cmpd="sng">
              <a:solidFill>
                <a:srgbClr val="EA4335"/>
              </a:solidFill>
            </a:ln>
          </c:spPr>
          <c:cat>
            <c:strRef>
              <c:f>Rendimiento!$B$2:$S$2</c:f>
            </c:strRef>
          </c:cat>
          <c:val>
            <c:numRef>
              <c:f>Rendimiento!$B$95:$S$95</c:f>
              <c:numCache/>
            </c:numRef>
          </c:val>
        </c:ser>
        <c:ser>
          <c:idx val="2"/>
          <c:order val="2"/>
          <c:tx>
            <c:strRef>
              <c:f>Rendimiento!$A$100</c:f>
            </c:strRef>
          </c:tx>
          <c:spPr>
            <a:solidFill>
              <a:srgbClr val="FBBC04">
                <a:alpha val="30000"/>
              </a:srgbClr>
            </a:solidFill>
            <a:ln cmpd="sng">
              <a:solidFill>
                <a:srgbClr val="FBBC04"/>
              </a:solidFill>
            </a:ln>
          </c:spPr>
          <c:cat>
            <c:strRef>
              <c:f>Rendimiento!$B$2:$S$2</c:f>
            </c:strRef>
          </c:cat>
          <c:val>
            <c:numRef>
              <c:f>Rendimiento!$B$100:$S$100</c:f>
              <c:numCache/>
            </c:numRef>
          </c:val>
        </c:ser>
        <c:axId val="523087102"/>
        <c:axId val="2072624557"/>
      </c:areaChart>
      <c:catAx>
        <c:axId val="52308710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072624557"/>
      </c:catAx>
      <c:valAx>
        <c:axId val="207262455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523087102"/>
      </c:valAx>
    </c:plotArea>
    <c:legend>
      <c:legendPos val="r"/>
      <c:overlay val="0"/>
      <c:txPr>
        <a:bodyPr/>
        <a:lstStyle/>
        <a:p>
          <a:pPr lvl="0">
            <a:defRPr b="0">
              <a:solidFill>
                <a:srgbClr val="1A1A1A"/>
              </a:solidFill>
              <a:latin typeface="+mn-lt"/>
            </a:defRPr>
          </a:pPr>
        </a:p>
      </c:txPr>
    </c:legend>
    <c:plotVisOnly val="1"/>
  </c:chart>
</c:chartSpace>
</file>

<file path=xl/charts/chart3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 por tier (coste fijo distribuido por mensajes tier)</a:t>
            </a:r>
          </a:p>
        </c:rich>
      </c:tx>
      <c:overlay val="0"/>
    </c:title>
    <c:plotArea>
      <c:layout/>
      <c:barChart>
        <c:barDir val="col"/>
        <c:ser>
          <c:idx val="0"/>
          <c:order val="0"/>
          <c:tx>
            <c:strRef>
              <c:f>Rendimiento!$A$92</c:f>
            </c:strRef>
          </c:tx>
          <c:spPr>
            <a:solidFill>
              <a:schemeClr val="accent1"/>
            </a:solidFill>
            <a:ln cmpd="sng">
              <a:solidFill>
                <a:srgbClr val="000000"/>
              </a:solidFill>
            </a:ln>
          </c:spPr>
          <c:cat>
            <c:strRef>
              <c:f>Rendimiento!$B$2:$S$2</c:f>
            </c:strRef>
          </c:cat>
          <c:val>
            <c:numRef>
              <c:f>Rendimiento!$B$92:$S$92</c:f>
              <c:numCache/>
            </c:numRef>
          </c:val>
        </c:ser>
        <c:ser>
          <c:idx val="1"/>
          <c:order val="1"/>
          <c:tx>
            <c:strRef>
              <c:f>Rendimiento!$A$97</c:f>
            </c:strRef>
          </c:tx>
          <c:spPr>
            <a:solidFill>
              <a:schemeClr val="accent2"/>
            </a:solidFill>
            <a:ln cmpd="sng">
              <a:solidFill>
                <a:srgbClr val="000000"/>
              </a:solidFill>
            </a:ln>
          </c:spPr>
          <c:cat>
            <c:strRef>
              <c:f>Rendimiento!$B$2:$S$2</c:f>
            </c:strRef>
          </c:cat>
          <c:val>
            <c:numRef>
              <c:f>Rendimiento!$B$97:$S$97</c:f>
              <c:numCache/>
            </c:numRef>
          </c:val>
        </c:ser>
        <c:ser>
          <c:idx val="2"/>
          <c:order val="2"/>
          <c:tx>
            <c:strRef>
              <c:f>Rendimiento!$A$102</c:f>
            </c:strRef>
          </c:tx>
          <c:spPr>
            <a:solidFill>
              <a:schemeClr val="accent3"/>
            </a:solidFill>
            <a:ln cmpd="sng">
              <a:solidFill>
                <a:srgbClr val="000000"/>
              </a:solidFill>
            </a:ln>
          </c:spPr>
          <c:cat>
            <c:strRef>
              <c:f>Rendimiento!$B$2:$S$2</c:f>
            </c:strRef>
          </c:cat>
          <c:val>
            <c:numRef>
              <c:f>Rendimiento!$B$102:$S$102</c:f>
              <c:numCache/>
            </c:numRef>
          </c:val>
        </c:ser>
        <c:ser>
          <c:idx val="3"/>
          <c:order val="3"/>
          <c:tx>
            <c:strRef>
              <c:f>Rendimiento!$A$76</c:f>
            </c:strRef>
          </c:tx>
          <c:cat>
            <c:strRef>
              <c:f>Rendimiento!$B$2:$S$2</c:f>
            </c:strRef>
          </c:cat>
          <c:val>
            <c:numRef>
              <c:f>Rendimiento!$B$76:$S$76</c:f>
              <c:numCache/>
            </c:numRef>
          </c:val>
        </c:ser>
        <c:ser>
          <c:idx val="4"/>
          <c:order val="4"/>
          <c:tx>
            <c:strRef>
              <c:f>Rendimiento!$A$81</c:f>
            </c:strRef>
          </c:tx>
          <c:cat>
            <c:strRef>
              <c:f>Rendimiento!$B$2:$S$2</c:f>
            </c:strRef>
          </c:cat>
          <c:val>
            <c:numRef>
              <c:f>Rendimiento!$B$81:$S$81</c:f>
              <c:numCache/>
            </c:numRef>
          </c:val>
        </c:ser>
        <c:ser>
          <c:idx val="5"/>
          <c:order val="5"/>
          <c:tx>
            <c:strRef>
              <c:f>Rendimiento!$A$86</c:f>
            </c:strRef>
          </c:tx>
          <c:cat>
            <c:strRef>
              <c:f>Rendimiento!$B$2:$S$2</c:f>
            </c:strRef>
          </c:cat>
          <c:val>
            <c:numRef>
              <c:f>Rendimiento!$B$86:$S$86</c:f>
              <c:numCache/>
            </c:numRef>
          </c:val>
        </c:ser>
        <c:axId val="2021427739"/>
        <c:axId val="1098213108"/>
      </c:barChart>
      <c:catAx>
        <c:axId val="202142773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098213108"/>
      </c:catAx>
      <c:valAx>
        <c:axId val="109821310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2021427739"/>
      </c:valAx>
    </c:plotArea>
    <c:legend>
      <c:legendPos val="r"/>
      <c:overlay val="0"/>
      <c:txPr>
        <a:bodyPr/>
        <a:lstStyle/>
        <a:p>
          <a:pPr lvl="0">
            <a:defRPr b="0">
              <a:solidFill>
                <a:srgbClr val="1A1A1A"/>
              </a:solidFill>
              <a:latin typeface="+mn-lt"/>
            </a:defRPr>
          </a:pPr>
        </a:p>
      </c:txPr>
    </c:legend>
    <c:plotVisOnly val="1"/>
  </c:chart>
</c:chartSpace>
</file>

<file path=xl/charts/chart3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(coste fijo distribuido por mensajes tier)</a:t>
            </a:r>
          </a:p>
        </c:rich>
      </c:tx>
      <c:overlay val="0"/>
    </c:title>
    <c:plotArea>
      <c:layout/>
      <c:lineChart>
        <c:ser>
          <c:idx val="0"/>
          <c:order val="0"/>
          <c:tx>
            <c:strRef>
              <c:f>Rendimiento!$A$93</c:f>
            </c:strRef>
          </c:tx>
          <c:spPr>
            <a:ln cmpd="sng">
              <a:solidFill>
                <a:srgbClr val="4285F4"/>
              </a:solidFill>
            </a:ln>
          </c:spPr>
          <c:marker>
            <c:symbol val="none"/>
          </c:marker>
          <c:cat>
            <c:strRef>
              <c:f>Rendimiento!$B$2:$S$2</c:f>
            </c:strRef>
          </c:cat>
          <c:val>
            <c:numRef>
              <c:f>Rendimiento!$B$93:$S$93</c:f>
              <c:numCache/>
            </c:numRef>
          </c:val>
          <c:smooth val="0"/>
        </c:ser>
        <c:ser>
          <c:idx val="1"/>
          <c:order val="1"/>
          <c:tx>
            <c:strRef>
              <c:f>Rendimiento!$A$2</c:f>
            </c:strRef>
          </c:tx>
          <c:spPr>
            <a:ln cmpd="sng">
              <a:solidFill>
                <a:srgbClr val="EA4335"/>
              </a:solidFill>
            </a:ln>
          </c:spPr>
          <c:marker>
            <c:symbol val="none"/>
          </c:marker>
          <c:cat>
            <c:strRef>
              <c:f>Rendimiento!$B$2:$S$2</c:f>
            </c:strRef>
          </c:cat>
          <c:val>
            <c:numRef>
              <c:f>Rendimiento!$B$2:$S$2</c:f>
              <c:numCache/>
            </c:numRef>
          </c:val>
          <c:smooth val="0"/>
        </c:ser>
        <c:ser>
          <c:idx val="2"/>
          <c:order val="2"/>
          <c:tx>
            <c:strRef>
              <c:f>Rendimiento!$A$98</c:f>
            </c:strRef>
          </c:tx>
          <c:spPr>
            <a:ln cmpd="sng">
              <a:solidFill>
                <a:srgbClr val="FBBC04"/>
              </a:solidFill>
            </a:ln>
          </c:spPr>
          <c:marker>
            <c:symbol val="none"/>
          </c:marker>
          <c:cat>
            <c:strRef>
              <c:f>Rendimiento!$B$2:$S$2</c:f>
            </c:strRef>
          </c:cat>
          <c:val>
            <c:numRef>
              <c:f>Rendimiento!$B$98:$S$98</c:f>
              <c:numCache/>
            </c:numRef>
          </c:val>
          <c:smooth val="0"/>
        </c:ser>
        <c:axId val="1380820300"/>
        <c:axId val="1391773451"/>
      </c:lineChart>
      <c:catAx>
        <c:axId val="138082030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391773451"/>
      </c:catAx>
      <c:valAx>
        <c:axId val="139177345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380820300"/>
      </c:valAx>
    </c:plotArea>
    <c:legend>
      <c:legendPos val="r"/>
      <c:overlay val="0"/>
      <c:txPr>
        <a:bodyPr/>
        <a:lstStyle/>
        <a:p>
          <a:pPr lvl="0">
            <a:defRPr b="0">
              <a:solidFill>
                <a:srgbClr val="1A1A1A"/>
              </a:solidFill>
              <a:latin typeface="+mn-lt"/>
            </a:defRPr>
          </a:pPr>
        </a:p>
      </c:txPr>
    </c:legend>
    <c:plotVisOnly val="1"/>
  </c:chart>
</c:chartSpace>
</file>

<file path=xl/charts/chart3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 neto por tier (distribucion de tier por numero de clientes)</a:t>
            </a:r>
          </a:p>
        </c:rich>
      </c:tx>
      <c:overlay val="0"/>
    </c:title>
    <c:plotArea>
      <c:layout/>
      <c:barChart>
        <c:barDir val="col"/>
        <c:grouping val="stacked"/>
        <c:ser>
          <c:idx val="0"/>
          <c:order val="0"/>
          <c:tx>
            <c:strRef>
              <c:f>Rendimiento!$A$72</c:f>
            </c:strRef>
          </c:tx>
          <c:spPr>
            <a:solidFill>
              <a:schemeClr val="accent1"/>
            </a:solidFill>
            <a:ln cmpd="sng">
              <a:solidFill>
                <a:srgbClr val="000000"/>
              </a:solidFill>
            </a:ln>
          </c:spPr>
          <c:cat>
            <c:strRef>
              <c:f>Rendimiento!$B$2:$S$2</c:f>
            </c:strRef>
          </c:cat>
          <c:val>
            <c:numRef>
              <c:f>Rendimiento!$B$72:$S$72</c:f>
              <c:numCache/>
            </c:numRef>
          </c:val>
        </c:ser>
        <c:ser>
          <c:idx val="1"/>
          <c:order val="1"/>
          <c:tx>
            <c:strRef>
              <c:f>Rendimiento!$A$77</c:f>
            </c:strRef>
          </c:tx>
          <c:spPr>
            <a:solidFill>
              <a:schemeClr val="accent2"/>
            </a:solidFill>
            <a:ln cmpd="sng">
              <a:solidFill>
                <a:srgbClr val="000000"/>
              </a:solidFill>
            </a:ln>
          </c:spPr>
          <c:cat>
            <c:strRef>
              <c:f>Rendimiento!$B$2:$S$2</c:f>
            </c:strRef>
          </c:cat>
          <c:val>
            <c:numRef>
              <c:f>Rendimiento!$B$77:$S$77</c:f>
              <c:numCache/>
            </c:numRef>
          </c:val>
        </c:ser>
        <c:ser>
          <c:idx val="2"/>
          <c:order val="2"/>
          <c:tx>
            <c:strRef>
              <c:f>Rendimiento!$A$82</c:f>
            </c:strRef>
          </c:tx>
          <c:cat>
            <c:strRef>
              <c:f>Rendimiento!$B$2:$S$2</c:f>
            </c:strRef>
          </c:cat>
          <c:val>
            <c:numRef>
              <c:f>Rendimiento!$B$82:$S$82</c:f>
              <c:numCache/>
            </c:numRef>
          </c:val>
        </c:ser>
        <c:overlap val="100"/>
        <c:axId val="1464186830"/>
        <c:axId val="1281968248"/>
      </c:barChart>
      <c:catAx>
        <c:axId val="146418683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281968248"/>
      </c:catAx>
      <c:valAx>
        <c:axId val="128196824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464186830"/>
      </c:valAx>
    </c:plotArea>
    <c:legend>
      <c:legendPos val="r"/>
      <c:overlay val="0"/>
      <c:txPr>
        <a:bodyPr/>
        <a:lstStyle/>
        <a:p>
          <a:pPr lvl="0">
            <a:defRPr b="0">
              <a:solidFill>
                <a:srgbClr val="1A1A1A"/>
              </a:solidFill>
              <a:latin typeface="+mn-lt"/>
            </a:defRPr>
          </a:pPr>
        </a:p>
      </c:txPr>
    </c:legend>
    <c:plotVisOnly val="1"/>
  </c:chart>
</c:chartSpace>
</file>

<file path=xl/charts/chart3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MRR</a:t>
            </a:r>
          </a:p>
        </c:rich>
      </c:tx>
      <c:overlay val="0"/>
    </c:title>
    <c:plotArea>
      <c:layout/>
      <c:lineChart>
        <c:ser>
          <c:idx val="0"/>
          <c:order val="0"/>
          <c:tx>
            <c:strRef>
              <c:f>Rendimiento!$A$58</c:f>
            </c:strRef>
          </c:tx>
          <c:spPr>
            <a:ln cmpd="sng">
              <a:solidFill>
                <a:srgbClr val="4285F4"/>
              </a:solidFill>
            </a:ln>
          </c:spPr>
          <c:marker>
            <c:symbol val="circle"/>
            <c:size val="2"/>
            <c:spPr>
              <a:solidFill>
                <a:srgbClr val="4285F4"/>
              </a:solidFill>
              <a:ln cmpd="sng">
                <a:solidFill>
                  <a:srgbClr val="4285F4"/>
                </a:solidFill>
              </a:ln>
            </c:spPr>
          </c:marker>
          <c:dLbls>
            <c:numFmt formatCode="#,##0\ [$€-1]" sourceLinked="0"/>
            <c:txPr>
              <a:bodyPr/>
              <a:lstStyle/>
              <a:p>
                <a:pPr lvl="0">
                  <a:defRPr>
                    <a:latin typeface="Roboto"/>
                  </a:defRPr>
                </a:pPr>
              </a:p>
            </c:txPr>
            <c:showLegendKey val="0"/>
            <c:showVal val="1"/>
            <c:showCatName val="0"/>
            <c:showSerName val="0"/>
            <c:showPercent val="0"/>
            <c:showBubbleSize val="0"/>
          </c:dLbls>
          <c:trendline>
            <c:name>Trend line for MRR</c:name>
            <c:spPr>
              <a:ln w="38100">
                <a:solidFill>
                  <a:srgbClr val="000000"/>
                </a:solidFill>
              </a:ln>
            </c:spPr>
            <c:trendlineType val="linear"/>
            <c:dispRSqr val="0"/>
            <c:dispEq val="0"/>
          </c:trendline>
          <c:cat>
            <c:strRef>
              <c:f>Rendimiento!$B$2:$S$2</c:f>
            </c:strRef>
          </c:cat>
          <c:val>
            <c:numRef>
              <c:f>Rendimiento!$B$58:$S$58</c:f>
              <c:numCache/>
            </c:numRef>
          </c:val>
          <c:smooth val="0"/>
        </c:ser>
        <c:axId val="1415729863"/>
        <c:axId val="1732306398"/>
      </c:lineChart>
      <c:catAx>
        <c:axId val="141572986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1732306398"/>
      </c:catAx>
      <c:valAx>
        <c:axId val="173230639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0.00\ [$€-1]" sourceLinked="0"/>
        <c:majorTickMark val="none"/>
        <c:minorTickMark val="none"/>
        <c:tickLblPos val="nextTo"/>
        <c:spPr>
          <a:ln/>
        </c:spPr>
        <c:txPr>
          <a:bodyPr/>
          <a:lstStyle/>
          <a:p>
            <a:pPr lvl="0">
              <a:defRPr b="0">
                <a:solidFill>
                  <a:srgbClr val="000000"/>
                </a:solidFill>
                <a:latin typeface="+mn-lt"/>
              </a:defRPr>
            </a:pPr>
          </a:p>
        </c:txPr>
        <c:crossAx val="1415729863"/>
      </c:valAx>
    </c:plotArea>
    <c:legend>
      <c:legendPos val="r"/>
      <c:overlay val="0"/>
      <c:txPr>
        <a:bodyPr/>
        <a:lstStyle/>
        <a:p>
          <a:pPr lvl="0">
            <a:defRPr b="0">
              <a:solidFill>
                <a:srgbClr val="1A1A1A"/>
              </a:solidFill>
              <a:latin typeface="+mn-lt"/>
            </a:defRPr>
          </a:pPr>
        </a:p>
      </c:txPr>
    </c:legend>
    <c:plotVisOnly val="1"/>
  </c:chart>
</c:chartSpace>
</file>

<file path=xl/charts/chart3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(distribucion de tier por numero de clientes)</a:t>
            </a:r>
          </a:p>
        </c:rich>
      </c:tx>
      <c:overlay val="0"/>
    </c:title>
    <c:plotArea>
      <c:layout/>
      <c:lineChart>
        <c:ser>
          <c:idx val="0"/>
          <c:order val="0"/>
          <c:tx>
            <c:strRef>
              <c:f>Rendimiento!$A$76</c:f>
            </c:strRef>
          </c:tx>
          <c:spPr>
            <a:ln cmpd="sng">
              <a:solidFill>
                <a:srgbClr val="4285F4"/>
              </a:solidFill>
            </a:ln>
          </c:spPr>
          <c:marker>
            <c:symbol val="none"/>
          </c:marker>
          <c:cat>
            <c:strRef>
              <c:f>Rendimiento!$B$2:$S$2</c:f>
            </c:strRef>
          </c:cat>
          <c:val>
            <c:numRef>
              <c:f>Rendimiento!$B$76:$S$76</c:f>
              <c:numCache/>
            </c:numRef>
          </c:val>
          <c:smooth val="0"/>
        </c:ser>
        <c:ser>
          <c:idx val="1"/>
          <c:order val="1"/>
          <c:tx>
            <c:strRef>
              <c:f>Rendimiento!$A$81</c:f>
            </c:strRef>
          </c:tx>
          <c:spPr>
            <a:ln cmpd="sng">
              <a:solidFill>
                <a:srgbClr val="EA4335"/>
              </a:solidFill>
            </a:ln>
          </c:spPr>
          <c:marker>
            <c:symbol val="none"/>
          </c:marker>
          <c:cat>
            <c:strRef>
              <c:f>Rendimiento!$B$2:$S$2</c:f>
            </c:strRef>
          </c:cat>
          <c:val>
            <c:numRef>
              <c:f>Rendimiento!$B$81:$S$81</c:f>
              <c:numCache/>
            </c:numRef>
          </c:val>
          <c:smooth val="0"/>
        </c:ser>
        <c:ser>
          <c:idx val="2"/>
          <c:order val="2"/>
          <c:tx>
            <c:strRef>
              <c:f>Rendimiento!$A$86</c:f>
            </c:strRef>
          </c:tx>
          <c:spPr>
            <a:ln cmpd="sng">
              <a:solidFill>
                <a:srgbClr val="FBBC04"/>
              </a:solidFill>
            </a:ln>
          </c:spPr>
          <c:marker>
            <c:symbol val="none"/>
          </c:marker>
          <c:cat>
            <c:strRef>
              <c:f>Rendimiento!$B$2:$S$2</c:f>
            </c:strRef>
          </c:cat>
          <c:val>
            <c:numRef>
              <c:f>Rendimiento!$B$86:$S$86</c:f>
              <c:numCache/>
            </c:numRef>
          </c:val>
          <c:smooth val="0"/>
        </c:ser>
        <c:axId val="608047499"/>
        <c:axId val="1682874347"/>
      </c:lineChart>
      <c:catAx>
        <c:axId val="60804749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682874347"/>
      </c:catAx>
      <c:valAx>
        <c:axId val="168287434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608047499"/>
      </c:valAx>
    </c:plotArea>
    <c:legend>
      <c:legendPos val="r"/>
      <c:overlay val="0"/>
      <c:txPr>
        <a:bodyPr/>
        <a:lstStyle/>
        <a:p>
          <a:pPr lvl="0">
            <a:defRPr b="0">
              <a:solidFill>
                <a:srgbClr val="1A1A1A"/>
              </a:solidFill>
              <a:latin typeface="+mn-lt"/>
            </a:defRPr>
          </a:pPr>
        </a:p>
      </c:txPr>
    </c:legend>
    <c:plotVisOnly val="1"/>
  </c:chart>
</c:chartSpace>
</file>

<file path=xl/charts/chart3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LTV/CAC ratio</a:t>
            </a:r>
          </a:p>
        </c:rich>
      </c:tx>
      <c:overlay val="0"/>
    </c:title>
    <c:plotArea>
      <c:layout/>
      <c:lineChart>
        <c:varyColors val="0"/>
        <c:ser>
          <c:idx val="0"/>
          <c:order val="0"/>
          <c:tx>
            <c:strRef>
              <c:f>Rendimiento!$A$64</c:f>
            </c:strRef>
          </c:tx>
          <c:spPr>
            <a:ln cmpd="sng">
              <a:solidFill>
                <a:srgbClr val="4285F4"/>
              </a:solidFill>
            </a:ln>
          </c:spPr>
          <c:marker>
            <c:symbol val="none"/>
          </c:marker>
          <c:cat>
            <c:strRef>
              <c:f>Rendimiento!$B$2:$S$2</c:f>
            </c:strRef>
          </c:cat>
          <c:val>
            <c:numRef>
              <c:f>Rendimiento!$B$64:$S$64</c:f>
              <c:numCache/>
            </c:numRef>
          </c:val>
          <c:smooth val="0"/>
        </c:ser>
        <c:axId val="406741245"/>
        <c:axId val="426882493"/>
      </c:lineChart>
      <c:catAx>
        <c:axId val="40674124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426882493"/>
      </c:catAx>
      <c:valAx>
        <c:axId val="42688249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ratio</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406741245"/>
      </c:valAx>
    </c:plotArea>
    <c:legend>
      <c:legendPos val="r"/>
      <c:overlay val="0"/>
      <c:txPr>
        <a:bodyPr/>
        <a:lstStyle/>
        <a:p>
          <a:pPr lvl="0">
            <a:defRPr b="0">
              <a:solidFill>
                <a:srgbClr val="1A1A1A"/>
              </a:solidFill>
              <a:latin typeface="+mn-lt"/>
            </a:defRPr>
          </a:pPr>
        </a:p>
      </c:txPr>
    </c:legend>
    <c:plotVisOnly val="1"/>
  </c:chart>
</c:chartSpace>
</file>

<file path=xl/charts/chart3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ARPU vs CAC - Unit Economics</a:t>
            </a:r>
          </a:p>
        </c:rich>
      </c:tx>
      <c:overlay val="0"/>
    </c:title>
    <c:plotArea>
      <c:layout/>
      <c:barChart>
        <c:barDir val="col"/>
        <c:ser>
          <c:idx val="0"/>
          <c:order val="0"/>
          <c:tx>
            <c:strRef>
              <c:f>Rendimiento!$A$55</c:f>
            </c:strRef>
          </c:tx>
          <c:spPr>
            <a:solidFill>
              <a:schemeClr val="accent1"/>
            </a:solidFill>
            <a:ln cmpd="sng">
              <a:solidFill>
                <a:srgbClr val="000000"/>
              </a:solidFill>
            </a:ln>
          </c:spPr>
          <c:cat>
            <c:strRef>
              <c:f>Rendimiento!$B$2:$S$2</c:f>
            </c:strRef>
          </c:cat>
          <c:val>
            <c:numRef>
              <c:f>Rendimiento!$B$55:$S$55</c:f>
              <c:numCache/>
            </c:numRef>
          </c:val>
        </c:ser>
        <c:axId val="783687589"/>
        <c:axId val="387238465"/>
      </c:barChart>
      <c:lineChart>
        <c:varyColors val="0"/>
        <c:ser>
          <c:idx val="1"/>
          <c:order val="1"/>
          <c:tx>
            <c:strRef>
              <c:f>Rendimiento!$A$61</c:f>
            </c:strRef>
          </c:tx>
          <c:spPr>
            <a:ln cmpd="sng">
              <a:solidFill>
                <a:srgbClr val="EA4335"/>
              </a:solidFill>
            </a:ln>
          </c:spPr>
          <c:marker>
            <c:symbol val="none"/>
          </c:marker>
          <c:cat>
            <c:strRef>
              <c:f>Rendimiento!$B$2:$S$2</c:f>
            </c:strRef>
          </c:cat>
          <c:val>
            <c:numRef>
              <c:f>Rendimiento!$B$61:$S$61</c:f>
              <c:numCache/>
            </c:numRef>
          </c:val>
          <c:smooth val="0"/>
        </c:ser>
        <c:axId val="783687589"/>
        <c:axId val="387238465"/>
      </c:lineChart>
      <c:catAx>
        <c:axId val="78368758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387238465"/>
      </c:catAx>
      <c:valAx>
        <c:axId val="38723846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83687589"/>
      </c:valAx>
    </c:plotArea>
    <c:legend>
      <c:legendPos val="r"/>
      <c:overlay val="0"/>
      <c:txPr>
        <a:bodyPr/>
        <a:lstStyle/>
        <a:p>
          <a:pPr lvl="0">
            <a:defRPr b="0">
              <a:solidFill>
                <a:srgbClr val="1A1A1A"/>
              </a:solidFill>
              <a:latin typeface="+mn-lt"/>
            </a:defRPr>
          </a:pPr>
        </a:p>
      </c:txPr>
    </c:legend>
    <c:plotVisOnly val="1"/>
  </c:chart>
</c:chartSpace>
</file>

<file path=xl/charts/chart3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a:t>
            </a:r>
          </a:p>
        </c:rich>
      </c:tx>
      <c:overlay val="0"/>
    </c:title>
    <c:plotArea>
      <c:layout/>
      <c:lineChart>
        <c:varyColors val="0"/>
        <c:ser>
          <c:idx val="0"/>
          <c:order val="0"/>
          <c:tx>
            <c:strRef>
              <c:f>Rendimiento!$A$45</c:f>
            </c:strRef>
          </c:tx>
          <c:spPr>
            <a:ln cmpd="sng">
              <a:solidFill>
                <a:srgbClr val="4285F4"/>
              </a:solidFill>
            </a:ln>
          </c:spPr>
          <c:marker>
            <c:symbol val="none"/>
          </c:marker>
          <c:dPt>
            <c:idx val="5"/>
            <c:marker>
              <c:symbol val="none"/>
            </c:marker>
          </c:dPt>
          <c:dLbls>
            <c:numFmt formatCode="0.00%" sourceLinked="0"/>
            <c:txPr>
              <a:bodyPr/>
              <a:lstStyle/>
              <a:p>
                <a:pPr lvl="0">
                  <a:defRPr/>
                </a:pPr>
              </a:p>
            </c:txPr>
            <c:showLegendKey val="0"/>
            <c:showVal val="1"/>
            <c:showCatName val="0"/>
            <c:showSerName val="0"/>
            <c:showPercent val="0"/>
            <c:showBubbleSize val="0"/>
          </c:dLbls>
          <c:cat>
            <c:strRef>
              <c:f>Rendimiento!$B$2:$S$2</c:f>
            </c:strRef>
          </c:cat>
          <c:val>
            <c:numRef>
              <c:f>Rendimiento!$B$45:$S$45</c:f>
              <c:numCache/>
            </c:numRef>
          </c:val>
          <c:smooth val="0"/>
        </c:ser>
        <c:axId val="1223151219"/>
        <c:axId val="1930902556"/>
      </c:lineChart>
      <c:catAx>
        <c:axId val="122315121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30902556"/>
      </c:catAx>
      <c:valAx>
        <c:axId val="193090255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223151219"/>
      </c:valAx>
    </c:plotArea>
    <c:legend>
      <c:legendPos val="r"/>
      <c:overlay val="0"/>
      <c:txPr>
        <a:bodyPr/>
        <a:lstStyle/>
        <a:p>
          <a:pPr lvl="0">
            <a:defRPr b="0">
              <a:solidFill>
                <a:srgbClr val="1A1A1A"/>
              </a:solidFill>
              <a:latin typeface="+mn-lt"/>
            </a:defRPr>
          </a:pPr>
        </a:p>
      </c:txPr>
    </c:legend>
    <c:plotVisOnly val="1"/>
  </c:chart>
</c:chartSpace>
</file>

<file path=xl/charts/chart4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a:t>
            </a:r>
          </a:p>
        </c:rich>
      </c:tx>
      <c:overlay val="0"/>
    </c:title>
    <c:plotArea>
      <c:layout/>
      <c:lineChart>
        <c:varyColors val="0"/>
        <c:ser>
          <c:idx val="0"/>
          <c:order val="0"/>
          <c:tx>
            <c:strRef>
              <c:f>Rendimiento!$A$43</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38100">
                <a:solidFill>
                  <a:srgbClr val="000000"/>
                </a:solidFill>
              </a:ln>
            </c:spPr>
            <c:trendlineType val="linear"/>
            <c:dispRSqr val="0"/>
            <c:dispEq val="0"/>
          </c:trendline>
          <c:cat>
            <c:strRef>
              <c:f>Rendimiento!$B$2:$S$2</c:f>
            </c:strRef>
          </c:cat>
          <c:val>
            <c:numRef>
              <c:f>Rendimiento!$B$43:$S$43</c:f>
              <c:numCache/>
            </c:numRef>
          </c:val>
          <c:smooth val="0"/>
        </c:ser>
        <c:axId val="587123553"/>
        <c:axId val="68998410"/>
      </c:lineChart>
      <c:catAx>
        <c:axId val="58712355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Numero de clientes</a:t>
                </a:r>
              </a:p>
            </c:rich>
          </c:tx>
          <c:overlay val="0"/>
        </c:title>
        <c:numFmt formatCode="General" sourceLinked="1"/>
        <c:majorTickMark val="none"/>
        <c:minorTickMark val="none"/>
        <c:spPr/>
        <c:txPr>
          <a:bodyPr/>
          <a:lstStyle/>
          <a:p>
            <a:pPr lvl="0">
              <a:defRPr b="0">
                <a:solidFill>
                  <a:srgbClr val="000000"/>
                </a:solidFill>
                <a:latin typeface="+mn-lt"/>
              </a:defRPr>
            </a:pPr>
          </a:p>
        </c:txPr>
        <c:crossAx val="68998410"/>
      </c:catAx>
      <c:valAx>
        <c:axId val="6899841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euros</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587123553"/>
      </c:valAx>
    </c:plotArea>
    <c:legend>
      <c:legendPos val="r"/>
      <c:overlay val="0"/>
      <c:txPr>
        <a:bodyPr/>
        <a:lstStyle/>
        <a:p>
          <a:pPr lvl="0">
            <a:defRPr b="0">
              <a:solidFill>
                <a:srgbClr val="1A1A1A"/>
              </a:solidFill>
              <a:latin typeface="+mn-lt"/>
            </a:defRPr>
          </a:pPr>
        </a:p>
      </c:txPr>
    </c:legend>
    <c:plotVisOnly val="1"/>
  </c:chart>
</c:chartSpace>
</file>

<file path=xl/charts/chart4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Ingresos Vs Costes Neto</a:t>
            </a:r>
          </a:p>
        </c:rich>
      </c:tx>
      <c:overlay val="0"/>
    </c:title>
    <c:plotArea>
      <c:layout/>
      <c:lineChart>
        <c:ser>
          <c:idx val="0"/>
          <c:order val="0"/>
          <c:tx>
            <c:strRef>
              <c:f>Rendimiento!$A$41</c:f>
            </c:strRef>
          </c:tx>
          <c:spPr>
            <a:ln cmpd="sng">
              <a:solidFill>
                <a:srgbClr val="4285F4"/>
              </a:solidFill>
            </a:ln>
          </c:spPr>
          <c:marker>
            <c:symbol val="none"/>
          </c:marker>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Rendimiento!$B$41:$S$41</c:f>
              <c:numCache/>
            </c:numRef>
          </c:val>
          <c:smooth val="1"/>
        </c:ser>
        <c:ser>
          <c:idx val="1"/>
          <c:order val="1"/>
          <c:tx>
            <c:strRef>
              <c:f>Rendimiento!$A$42</c:f>
            </c:strRef>
          </c:tx>
          <c:spPr>
            <a:ln cmpd="sng">
              <a:solidFill>
                <a:srgbClr val="EA4335"/>
              </a:solidFill>
            </a:ln>
          </c:spPr>
          <c:marker>
            <c:symbol val="none"/>
          </c:marker>
          <c:dPt>
            <c:idx val="8"/>
            <c:marker>
              <c:symbol val="none"/>
            </c:marker>
          </c:dPt>
          <c:dLbls>
            <c:numFmt formatCode="#,##0\ [$€-1]" sourceLinked="0"/>
            <c:txPr>
              <a:bodyPr/>
              <a:lstStyle/>
              <a:p>
                <a:pPr lvl="0">
                  <a:defRPr/>
                </a:pPr>
              </a:p>
            </c:txPr>
            <c:showLegendKey val="0"/>
            <c:showVal val="1"/>
            <c:showCatName val="0"/>
            <c:showSerName val="0"/>
            <c:showPercent val="0"/>
            <c:showBubbleSize val="0"/>
          </c:dLbls>
          <c:trendline>
            <c:name/>
            <c:spPr>
              <a:ln w="19050">
                <a:solidFill>
                  <a:srgbClr val="000000"/>
                </a:solidFill>
              </a:ln>
            </c:spPr>
            <c:trendlineType val="linear"/>
            <c:dispRSqr val="0"/>
            <c:dispEq val="0"/>
          </c:trendline>
          <c:cat>
            <c:strRef>
              <c:f>Rendimiento!$B$2:$S$2</c:f>
            </c:strRef>
          </c:cat>
          <c:val>
            <c:numRef>
              <c:f>Rendimiento!$B$42:$S$42</c:f>
              <c:numCache/>
            </c:numRef>
          </c:val>
          <c:smooth val="1"/>
        </c:ser>
        <c:axId val="1641310676"/>
        <c:axId val="386494016"/>
      </c:lineChart>
      <c:catAx>
        <c:axId val="164131067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386494016"/>
      </c:catAx>
      <c:valAx>
        <c:axId val="386494016"/>
        <c:scaling>
          <c:orientation val="minMax"/>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641310676"/>
      </c:valAx>
    </c:plotArea>
    <c:legend>
      <c:legendPos val="r"/>
      <c:overlay val="0"/>
      <c:txPr>
        <a:bodyPr/>
        <a:lstStyle/>
        <a:p>
          <a:pPr lvl="0">
            <a:defRPr b="0">
              <a:solidFill>
                <a:srgbClr val="1A1A1A"/>
              </a:solidFill>
              <a:latin typeface="+mn-lt"/>
            </a:defRPr>
          </a:pPr>
        </a:p>
      </c:txPr>
    </c:legend>
    <c:plotVisOnly val="1"/>
  </c:chart>
</c:chartSpace>
</file>

<file path=xl/charts/chart4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Coste fijo por tier (distribuido por mensajes)</a:t>
            </a:r>
          </a:p>
        </c:rich>
      </c:tx>
      <c:overlay val="0"/>
    </c:title>
    <c:plotArea>
      <c:layout/>
      <c:areaChart>
        <c:grouping val="percentStacked"/>
        <c:ser>
          <c:idx val="0"/>
          <c:order val="0"/>
          <c:tx>
            <c:strRef>
              <c:f>Rendimiento!$A$90</c:f>
            </c:strRef>
          </c:tx>
          <c:spPr>
            <a:solidFill>
              <a:srgbClr val="4285F4">
                <a:alpha val="30000"/>
              </a:srgbClr>
            </a:solidFill>
            <a:ln cmpd="sng">
              <a:solidFill>
                <a:srgbClr val="4285F4"/>
              </a:solidFill>
            </a:ln>
          </c:spPr>
          <c:cat>
            <c:strRef>
              <c:f>Rendimiento!$B$2:$S$2</c:f>
            </c:strRef>
          </c:cat>
          <c:val>
            <c:numRef>
              <c:f>Rendimiento!$B$90:$S$90</c:f>
              <c:numCache/>
            </c:numRef>
          </c:val>
        </c:ser>
        <c:ser>
          <c:idx val="1"/>
          <c:order val="1"/>
          <c:tx>
            <c:strRef>
              <c:f>Rendimiento!$A$95</c:f>
            </c:strRef>
          </c:tx>
          <c:spPr>
            <a:solidFill>
              <a:srgbClr val="EA4335">
                <a:alpha val="30000"/>
              </a:srgbClr>
            </a:solidFill>
            <a:ln cmpd="sng">
              <a:solidFill>
                <a:srgbClr val="EA4335"/>
              </a:solidFill>
            </a:ln>
          </c:spPr>
          <c:cat>
            <c:strRef>
              <c:f>Rendimiento!$B$2:$S$2</c:f>
            </c:strRef>
          </c:cat>
          <c:val>
            <c:numRef>
              <c:f>Rendimiento!$B$95:$S$95</c:f>
              <c:numCache/>
            </c:numRef>
          </c:val>
        </c:ser>
        <c:ser>
          <c:idx val="2"/>
          <c:order val="2"/>
          <c:tx>
            <c:strRef>
              <c:f>Rendimiento!$A$100</c:f>
            </c:strRef>
          </c:tx>
          <c:spPr>
            <a:solidFill>
              <a:srgbClr val="FBBC04">
                <a:alpha val="30000"/>
              </a:srgbClr>
            </a:solidFill>
            <a:ln cmpd="sng">
              <a:solidFill>
                <a:srgbClr val="FBBC04"/>
              </a:solidFill>
            </a:ln>
          </c:spPr>
          <c:cat>
            <c:strRef>
              <c:f>Rendimiento!$B$2:$S$2</c:f>
            </c:strRef>
          </c:cat>
          <c:val>
            <c:numRef>
              <c:f>Rendimiento!$B$100:$S$100</c:f>
              <c:numCache/>
            </c:numRef>
          </c:val>
        </c:ser>
        <c:axId val="702112648"/>
        <c:axId val="1832656290"/>
      </c:areaChart>
      <c:catAx>
        <c:axId val="70211264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832656290"/>
      </c:catAx>
      <c:valAx>
        <c:axId val="183265629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02112648"/>
      </c:valAx>
    </c:plotArea>
    <c:legend>
      <c:legendPos val="r"/>
      <c:overlay val="0"/>
      <c:txPr>
        <a:bodyPr/>
        <a:lstStyle/>
        <a:p>
          <a:pPr lvl="0">
            <a:defRPr b="0">
              <a:solidFill>
                <a:srgbClr val="1A1A1A"/>
              </a:solidFill>
              <a:latin typeface="+mn-lt"/>
            </a:defRPr>
          </a:pPr>
        </a:p>
      </c:txPr>
    </c:legend>
    <c:plotVisOnly val="1"/>
  </c:chart>
</c:chartSpace>
</file>

<file path=xl/charts/chart4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EVITDA por tier (coste fijo distribuido por mensajes tier)</a:t>
            </a:r>
          </a:p>
        </c:rich>
      </c:tx>
      <c:overlay val="0"/>
    </c:title>
    <c:plotArea>
      <c:layout/>
      <c:barChart>
        <c:barDir val="col"/>
        <c:ser>
          <c:idx val="0"/>
          <c:order val="0"/>
          <c:tx>
            <c:strRef>
              <c:f>Rendimiento!$A$92</c:f>
            </c:strRef>
          </c:tx>
          <c:spPr>
            <a:solidFill>
              <a:schemeClr val="accent1"/>
            </a:solidFill>
            <a:ln cmpd="sng">
              <a:solidFill>
                <a:srgbClr val="000000"/>
              </a:solidFill>
            </a:ln>
          </c:spPr>
          <c:cat>
            <c:strRef>
              <c:f>Rendimiento!$B$2:$S$2</c:f>
            </c:strRef>
          </c:cat>
          <c:val>
            <c:numRef>
              <c:f>Rendimiento!$B$92:$S$92</c:f>
              <c:numCache/>
            </c:numRef>
          </c:val>
        </c:ser>
        <c:ser>
          <c:idx val="1"/>
          <c:order val="1"/>
          <c:tx>
            <c:strRef>
              <c:f>Rendimiento!$A$97</c:f>
            </c:strRef>
          </c:tx>
          <c:spPr>
            <a:solidFill>
              <a:schemeClr val="accent2"/>
            </a:solidFill>
            <a:ln cmpd="sng">
              <a:solidFill>
                <a:srgbClr val="000000"/>
              </a:solidFill>
            </a:ln>
          </c:spPr>
          <c:cat>
            <c:strRef>
              <c:f>Rendimiento!$B$2:$S$2</c:f>
            </c:strRef>
          </c:cat>
          <c:val>
            <c:numRef>
              <c:f>Rendimiento!$B$97:$S$97</c:f>
              <c:numCache/>
            </c:numRef>
          </c:val>
        </c:ser>
        <c:ser>
          <c:idx val="2"/>
          <c:order val="2"/>
          <c:tx>
            <c:strRef>
              <c:f>Rendimiento!$A$102</c:f>
            </c:strRef>
          </c:tx>
          <c:spPr>
            <a:solidFill>
              <a:schemeClr val="accent3"/>
            </a:solidFill>
            <a:ln cmpd="sng">
              <a:solidFill>
                <a:srgbClr val="000000"/>
              </a:solidFill>
            </a:ln>
          </c:spPr>
          <c:cat>
            <c:strRef>
              <c:f>Rendimiento!$B$2:$S$2</c:f>
            </c:strRef>
          </c:cat>
          <c:val>
            <c:numRef>
              <c:f>Rendimiento!$B$102:$S$102</c:f>
              <c:numCache/>
            </c:numRef>
          </c:val>
        </c:ser>
        <c:ser>
          <c:idx val="3"/>
          <c:order val="3"/>
          <c:tx>
            <c:strRef>
              <c:f>Rendimiento!$A$76</c:f>
            </c:strRef>
          </c:tx>
          <c:cat>
            <c:strRef>
              <c:f>Rendimiento!$B$2:$S$2</c:f>
            </c:strRef>
          </c:cat>
          <c:val>
            <c:numRef>
              <c:f>Rendimiento!$B$76:$S$76</c:f>
              <c:numCache/>
            </c:numRef>
          </c:val>
        </c:ser>
        <c:ser>
          <c:idx val="4"/>
          <c:order val="4"/>
          <c:tx>
            <c:strRef>
              <c:f>Rendimiento!$A$81</c:f>
            </c:strRef>
          </c:tx>
          <c:cat>
            <c:strRef>
              <c:f>Rendimiento!$B$2:$S$2</c:f>
            </c:strRef>
          </c:cat>
          <c:val>
            <c:numRef>
              <c:f>Rendimiento!$B$81:$S$81</c:f>
              <c:numCache/>
            </c:numRef>
          </c:val>
        </c:ser>
        <c:ser>
          <c:idx val="5"/>
          <c:order val="5"/>
          <c:tx>
            <c:strRef>
              <c:f>Rendimiento!$A$86</c:f>
            </c:strRef>
          </c:tx>
          <c:cat>
            <c:strRef>
              <c:f>Rendimiento!$B$2:$S$2</c:f>
            </c:strRef>
          </c:cat>
          <c:val>
            <c:numRef>
              <c:f>Rendimiento!$B$86:$S$86</c:f>
              <c:numCache/>
            </c:numRef>
          </c:val>
        </c:ser>
        <c:axId val="328855028"/>
        <c:axId val="1947545183"/>
      </c:barChart>
      <c:catAx>
        <c:axId val="32885502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47545183"/>
      </c:catAx>
      <c:valAx>
        <c:axId val="194754518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328855028"/>
      </c:valAx>
    </c:plotArea>
    <c:legend>
      <c:legendPos val="r"/>
      <c:overlay val="0"/>
      <c:txPr>
        <a:bodyPr/>
        <a:lstStyle/>
        <a:p>
          <a:pPr lvl="0">
            <a:defRPr b="0">
              <a:solidFill>
                <a:srgbClr val="1A1A1A"/>
              </a:solidFill>
              <a:latin typeface="+mn-lt"/>
            </a:defRPr>
          </a:pPr>
        </a:p>
      </c:txPr>
    </c:legend>
    <c:plotVisOnly val="1"/>
  </c:chart>
</c:chartSpace>
</file>

<file path=xl/charts/chart4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757575"/>
                </a:solidFill>
                <a:latin typeface="+mn-lt"/>
              </a:defRPr>
            </a:pPr>
            <a:r>
              <a:rPr b="1">
                <a:solidFill>
                  <a:srgbClr val="757575"/>
                </a:solidFill>
                <a:latin typeface="+mn-lt"/>
              </a:rPr>
              <a:t>Margen neto % por tier (coste fijo distribuido por mensajes tier)</a:t>
            </a:r>
          </a:p>
        </c:rich>
      </c:tx>
      <c:overlay val="0"/>
    </c:title>
    <c:plotArea>
      <c:layout/>
      <c:lineChart>
        <c:ser>
          <c:idx val="0"/>
          <c:order val="0"/>
          <c:tx>
            <c:strRef>
              <c:f>Rendimiento!$A$93</c:f>
            </c:strRef>
          </c:tx>
          <c:spPr>
            <a:ln cmpd="sng">
              <a:solidFill>
                <a:srgbClr val="4285F4"/>
              </a:solidFill>
            </a:ln>
          </c:spPr>
          <c:marker>
            <c:symbol val="none"/>
          </c:marker>
          <c:cat>
            <c:strRef>
              <c:f>Rendimiento!$B$2:$S$2</c:f>
            </c:strRef>
          </c:cat>
          <c:val>
            <c:numRef>
              <c:f>Rendimiento!$B$93:$S$93</c:f>
              <c:numCache/>
            </c:numRef>
          </c:val>
          <c:smooth val="0"/>
        </c:ser>
        <c:ser>
          <c:idx val="1"/>
          <c:order val="1"/>
          <c:tx>
            <c:strRef>
              <c:f>Rendimiento!$A$2</c:f>
            </c:strRef>
          </c:tx>
          <c:spPr>
            <a:ln cmpd="sng">
              <a:solidFill>
                <a:srgbClr val="EA4335"/>
              </a:solidFill>
            </a:ln>
          </c:spPr>
          <c:marker>
            <c:symbol val="none"/>
          </c:marker>
          <c:cat>
            <c:strRef>
              <c:f>Rendimiento!$B$2:$S$2</c:f>
            </c:strRef>
          </c:cat>
          <c:val>
            <c:numRef>
              <c:f>Rendimiento!$B$2:$S$2</c:f>
              <c:numCache/>
            </c:numRef>
          </c:val>
          <c:smooth val="0"/>
        </c:ser>
        <c:ser>
          <c:idx val="2"/>
          <c:order val="2"/>
          <c:tx>
            <c:strRef>
              <c:f>Rendimiento!$A$98</c:f>
            </c:strRef>
          </c:tx>
          <c:spPr>
            <a:ln cmpd="sng">
              <a:solidFill>
                <a:srgbClr val="FBBC04"/>
              </a:solidFill>
            </a:ln>
          </c:spPr>
          <c:marker>
            <c:symbol val="none"/>
          </c:marker>
          <c:cat>
            <c:strRef>
              <c:f>Rendimiento!$B$2:$S$2</c:f>
            </c:strRef>
          </c:cat>
          <c:val>
            <c:numRef>
              <c:f>Rendimiento!$B$98:$S$98</c:f>
              <c:numCache/>
            </c:numRef>
          </c:val>
          <c:smooth val="0"/>
        </c:ser>
        <c:axId val="1933627441"/>
        <c:axId val="1277141991"/>
      </c:lineChart>
      <c:catAx>
        <c:axId val="1933627441"/>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277141991"/>
      </c:catAx>
      <c:valAx>
        <c:axId val="127714199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933627441"/>
      </c:valAx>
    </c:plotArea>
    <c:legend>
      <c:legendPos val="r"/>
      <c:overlay val="0"/>
      <c:txPr>
        <a:bodyPr/>
        <a:lstStyle/>
        <a:p>
          <a:pPr lvl="0">
            <a:defRPr b="0">
              <a:solidFill>
                <a:srgbClr val="1A1A1A"/>
              </a:solidFill>
              <a:latin typeface="+mn-lt"/>
            </a:defRPr>
          </a:pPr>
        </a:p>
      </c:txPr>
    </c:legend>
    <c:plotVisOnly val="1"/>
  </c:chart>
</c:chartSpace>
</file>

<file path=xl/drawings/_rels/drawing2.xml.rels><?xml version="1.0" encoding="UTF-8" standalone="yes"?><Relationships xmlns="http://schemas.openxmlformats.org/package/2006/relationships"><Relationship Id="rId11" Type="http://schemas.openxmlformats.org/officeDocument/2006/relationships/image" Target="../media/Chart11.png"/><Relationship Id="rId10" Type="http://schemas.openxmlformats.org/officeDocument/2006/relationships/image" Target="../media/Chart10.png"/><Relationship Id="rId13" Type="http://schemas.openxmlformats.org/officeDocument/2006/relationships/chart" Target="../charts/chart10.xml"/><Relationship Id="rId12" Type="http://schemas.openxmlformats.org/officeDocument/2006/relationships/chart" Target="../charts/chart9.xml"/><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image" Target="../media/Chart4.png"/><Relationship Id="rId9" Type="http://schemas.openxmlformats.org/officeDocument/2006/relationships/chart" Target="../charts/chart8.xml"/><Relationship Id="rId14" Type="http://schemas.openxmlformats.org/officeDocument/2006/relationships/chart" Target="../charts/chart11.xml"/><Relationship Id="rId5" Type="http://schemas.openxmlformats.org/officeDocument/2006/relationships/chart" Target="../charts/chart4.xml"/><Relationship Id="rId6" Type="http://schemas.openxmlformats.org/officeDocument/2006/relationships/chart" Target="../charts/chart5.xml"/><Relationship Id="rId7" Type="http://schemas.openxmlformats.org/officeDocument/2006/relationships/chart" Target="../charts/chart6.xml"/><Relationship Id="rId8" Type="http://schemas.openxmlformats.org/officeDocument/2006/relationships/chart" Target="../charts/chart7.xml"/></Relationships>
</file>

<file path=xl/drawings/_rels/drawing3.xml.rels><?xml version="1.0" encoding="UTF-8" standalone="yes"?><Relationships xmlns="http://schemas.openxmlformats.org/package/2006/relationships"><Relationship Id="rId11" Type="http://schemas.openxmlformats.org/officeDocument/2006/relationships/image" Target="../media/Chart11.png"/><Relationship Id="rId10" Type="http://schemas.openxmlformats.org/officeDocument/2006/relationships/image" Target="../media/Chart10.png"/><Relationship Id="rId13" Type="http://schemas.openxmlformats.org/officeDocument/2006/relationships/chart" Target="../charts/chart21.xml"/><Relationship Id="rId12" Type="http://schemas.openxmlformats.org/officeDocument/2006/relationships/chart" Target="../charts/chart20.xml"/><Relationship Id="rId1" Type="http://schemas.openxmlformats.org/officeDocument/2006/relationships/chart" Target="../charts/chart12.xml"/><Relationship Id="rId2" Type="http://schemas.openxmlformats.org/officeDocument/2006/relationships/chart" Target="../charts/chart13.xml"/><Relationship Id="rId3" Type="http://schemas.openxmlformats.org/officeDocument/2006/relationships/chart" Target="../charts/chart14.xml"/><Relationship Id="rId4" Type="http://schemas.openxmlformats.org/officeDocument/2006/relationships/image" Target="../media/Chart4.png"/><Relationship Id="rId9" Type="http://schemas.openxmlformats.org/officeDocument/2006/relationships/chart" Target="../charts/chart19.xml"/><Relationship Id="rId14" Type="http://schemas.openxmlformats.org/officeDocument/2006/relationships/chart" Target="../charts/chart22.xml"/><Relationship Id="rId5" Type="http://schemas.openxmlformats.org/officeDocument/2006/relationships/chart" Target="../charts/chart15.xml"/><Relationship Id="rId6" Type="http://schemas.openxmlformats.org/officeDocument/2006/relationships/chart" Target="../charts/chart16.xml"/><Relationship Id="rId7" Type="http://schemas.openxmlformats.org/officeDocument/2006/relationships/chart" Target="../charts/chart17.xml"/><Relationship Id="rId8" Type="http://schemas.openxmlformats.org/officeDocument/2006/relationships/chart" Target="../charts/chart18.xml"/></Relationships>
</file>

<file path=xl/drawings/_rels/drawing4.xml.rels><?xml version="1.0" encoding="UTF-8" standalone="yes"?><Relationships xmlns="http://schemas.openxmlformats.org/package/2006/relationships"><Relationship Id="rId11" Type="http://schemas.openxmlformats.org/officeDocument/2006/relationships/image" Target="../media/Chart11.png"/><Relationship Id="rId10" Type="http://schemas.openxmlformats.org/officeDocument/2006/relationships/image" Target="../media/Chart10.png"/><Relationship Id="rId13" Type="http://schemas.openxmlformats.org/officeDocument/2006/relationships/chart" Target="../charts/chart32.xml"/><Relationship Id="rId12" Type="http://schemas.openxmlformats.org/officeDocument/2006/relationships/chart" Target="../charts/chart31.xml"/><Relationship Id="rId1" Type="http://schemas.openxmlformats.org/officeDocument/2006/relationships/chart" Target="../charts/chart23.xml"/><Relationship Id="rId2" Type="http://schemas.openxmlformats.org/officeDocument/2006/relationships/chart" Target="../charts/chart24.xml"/><Relationship Id="rId3" Type="http://schemas.openxmlformats.org/officeDocument/2006/relationships/chart" Target="../charts/chart25.xml"/><Relationship Id="rId4" Type="http://schemas.openxmlformats.org/officeDocument/2006/relationships/image" Target="../media/Chart4.png"/><Relationship Id="rId9" Type="http://schemas.openxmlformats.org/officeDocument/2006/relationships/chart" Target="../charts/chart30.xml"/><Relationship Id="rId14" Type="http://schemas.openxmlformats.org/officeDocument/2006/relationships/chart" Target="../charts/chart33.xml"/><Relationship Id="rId5" Type="http://schemas.openxmlformats.org/officeDocument/2006/relationships/chart" Target="../charts/chart26.xml"/><Relationship Id="rId6" Type="http://schemas.openxmlformats.org/officeDocument/2006/relationships/chart" Target="../charts/chart27.xml"/><Relationship Id="rId7" Type="http://schemas.openxmlformats.org/officeDocument/2006/relationships/chart" Target="../charts/chart28.xml"/><Relationship Id="rId8" Type="http://schemas.openxmlformats.org/officeDocument/2006/relationships/chart" Target="../charts/chart29.xml"/></Relationships>
</file>

<file path=xl/drawings/_rels/drawing5.xml.rels><?xml version="1.0" encoding="UTF-8" standalone="yes"?><Relationships xmlns="http://schemas.openxmlformats.org/package/2006/relationships"><Relationship Id="rId11" Type="http://schemas.openxmlformats.org/officeDocument/2006/relationships/image" Target="../media/Chart11.png"/><Relationship Id="rId10" Type="http://schemas.openxmlformats.org/officeDocument/2006/relationships/image" Target="../media/Chart10.png"/><Relationship Id="rId13" Type="http://schemas.openxmlformats.org/officeDocument/2006/relationships/chart" Target="../charts/chart43.xml"/><Relationship Id="rId12" Type="http://schemas.openxmlformats.org/officeDocument/2006/relationships/chart" Target="../charts/chart42.xml"/><Relationship Id="rId1" Type="http://schemas.openxmlformats.org/officeDocument/2006/relationships/chart" Target="../charts/chart34.xml"/><Relationship Id="rId2" Type="http://schemas.openxmlformats.org/officeDocument/2006/relationships/chart" Target="../charts/chart35.xml"/><Relationship Id="rId3" Type="http://schemas.openxmlformats.org/officeDocument/2006/relationships/chart" Target="../charts/chart36.xml"/><Relationship Id="rId4" Type="http://schemas.openxmlformats.org/officeDocument/2006/relationships/image" Target="../media/Chart4.png"/><Relationship Id="rId9" Type="http://schemas.openxmlformats.org/officeDocument/2006/relationships/chart" Target="../charts/chart41.xml"/><Relationship Id="rId14" Type="http://schemas.openxmlformats.org/officeDocument/2006/relationships/chart" Target="../charts/chart44.xml"/><Relationship Id="rId5" Type="http://schemas.openxmlformats.org/officeDocument/2006/relationships/chart" Target="../charts/chart37.xml"/><Relationship Id="rId6" Type="http://schemas.openxmlformats.org/officeDocument/2006/relationships/chart" Target="../charts/chart38.xml"/><Relationship Id="rId7" Type="http://schemas.openxmlformats.org/officeDocument/2006/relationships/chart" Target="../charts/chart39.xml"/><Relationship Id="rId8" Type="http://schemas.openxmlformats.org/officeDocument/2006/relationships/chart" Target="../charts/chart40.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419100</xdr:colOff>
      <xdr:row>326</xdr:row>
      <xdr:rowOff>95250</xdr:rowOff>
    </xdr:from>
    <xdr:ext cx="12011025" cy="741997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0</xdr:col>
      <xdr:colOff>0</xdr:colOff>
      <xdr:row>0</xdr:row>
      <xdr:rowOff>0</xdr:rowOff>
    </xdr:from>
    <xdr:ext cx="12582525" cy="7772400"/>
    <xdr:graphicFrame>
      <xdr:nvGraphicFramePr>
        <xdr:cNvPr id="2" name="Chart 2"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12</xdr:col>
      <xdr:colOff>466725</xdr:colOff>
      <xdr:row>326</xdr:row>
      <xdr:rowOff>66675</xdr:rowOff>
    </xdr:from>
    <xdr:ext cx="12096750" cy="7477125"/>
    <xdr:graphicFrame>
      <xdr:nvGraphicFramePr>
        <xdr:cNvPr id="3" name="Chart 3"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13</xdr:col>
      <xdr:colOff>19050</xdr:colOff>
      <xdr:row>39</xdr:row>
      <xdr:rowOff>190500</xdr:rowOff>
    </xdr:from>
    <xdr:ext cx="12401550" cy="7677150"/>
    <xdr:pic>
      <xdr:nvPicPr>
        <xdr:cNvPr id="1941532007" name="Chart4" title="Chart">
          <a:extLst>
            <a:ext uri="GoogleSheetsCustomDataVersion1">
              <go:sheetsCustomData xmlns:go="http://customooxmlschemas.google.com/" pictureOfChart="1"/>
            </a:ext>
          </a:extLst>
        </xdr:cNvPr>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200</xdr:row>
      <xdr:rowOff>152400</xdr:rowOff>
    </xdr:from>
    <xdr:ext cx="12144375" cy="7534275"/>
    <xdr:graphicFrame>
      <xdr:nvGraphicFramePr>
        <xdr:cNvPr id="5" name="Chart 5" title="Chart"/>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13</xdr:col>
      <xdr:colOff>19050</xdr:colOff>
      <xdr:row>160</xdr:row>
      <xdr:rowOff>66675</xdr:rowOff>
    </xdr:from>
    <xdr:ext cx="11525250" cy="7124700"/>
    <xdr:graphicFrame>
      <xdr:nvGraphicFramePr>
        <xdr:cNvPr id="6" name="Chart 6" title="Chart"/>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0</xdr:col>
      <xdr:colOff>0</xdr:colOff>
      <xdr:row>81</xdr:row>
      <xdr:rowOff>38100</xdr:rowOff>
    </xdr:from>
    <xdr:ext cx="12011025" cy="7419975"/>
    <xdr:graphicFrame>
      <xdr:nvGraphicFramePr>
        <xdr:cNvPr id="7" name="Chart 7" title="Chart"/>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0</xdr:col>
      <xdr:colOff>47625</xdr:colOff>
      <xdr:row>39</xdr:row>
      <xdr:rowOff>133350</xdr:rowOff>
    </xdr:from>
    <xdr:ext cx="12096750" cy="7477125"/>
    <xdr:graphicFrame>
      <xdr:nvGraphicFramePr>
        <xdr:cNvPr id="8" name="Chart 8" title="Chart"/>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13</xdr:col>
      <xdr:colOff>257175</xdr:colOff>
      <xdr:row>0</xdr:row>
      <xdr:rowOff>0</xdr:rowOff>
    </xdr:from>
    <xdr:ext cx="12049125" cy="7477125"/>
    <xdr:graphicFrame>
      <xdr:nvGraphicFramePr>
        <xdr:cNvPr id="9" name="Chart 9" title="Chart"/>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12</xdr:col>
      <xdr:colOff>800100</xdr:colOff>
      <xdr:row>79</xdr:row>
      <xdr:rowOff>85725</xdr:rowOff>
    </xdr:from>
    <xdr:ext cx="12306300" cy="7620000"/>
    <xdr:pic>
      <xdr:nvPicPr>
        <xdr:cNvPr id="1040126095" name="Chart10" title="Chart">
          <a:extLst>
            <a:ext uri="GoogleSheetsCustomDataVersion1">
              <go:sheetsCustomData xmlns:go="http://customooxmlschemas.google.com/" pictureOfChart="1"/>
            </a:ext>
          </a:extLst>
        </xdr:cNvPr>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419100</xdr:colOff>
      <xdr:row>365</xdr:row>
      <xdr:rowOff>190500</xdr:rowOff>
    </xdr:from>
    <xdr:ext cx="12049125" cy="7419975"/>
    <xdr:pic>
      <xdr:nvPicPr>
        <xdr:cNvPr id="863696328" name="Chart11" title="Chart">
          <a:extLst>
            <a:ext uri="GoogleSheetsCustomDataVersion1">
              <go:sheetsCustomData xmlns:go="http://customooxmlschemas.google.com/" pictureOfChart="1"/>
            </a:ext>
          </a:extLst>
        </xdr:cNvPr>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0</xdr:colOff>
      <xdr:row>160</xdr:row>
      <xdr:rowOff>66675</xdr:rowOff>
    </xdr:from>
    <xdr:ext cx="11363325" cy="7029450"/>
    <xdr:graphicFrame>
      <xdr:nvGraphicFramePr>
        <xdr:cNvPr id="12" name="Chart 12" title="Chart"/>
        <xdr:cNvGraphicFramePr/>
      </xdr:nvGraphicFramePr>
      <xdr:xfrm>
        <a:off x="0" y="0"/>
        <a:ext cx="0" cy="0"/>
      </xdr:xfrm>
      <a:graphic>
        <a:graphicData uri="http://schemas.openxmlformats.org/drawingml/2006/chart">
          <c:chart r:id="rId12"/>
        </a:graphicData>
      </a:graphic>
    </xdr:graphicFrame>
    <xdr:clientData fLocksWithSheet="0"/>
  </xdr:oneCellAnchor>
  <xdr:oneCellAnchor>
    <xdr:from>
      <xdr:col>0</xdr:col>
      <xdr:colOff>0</xdr:colOff>
      <xdr:row>119</xdr:row>
      <xdr:rowOff>190500</xdr:rowOff>
    </xdr:from>
    <xdr:ext cx="12144375" cy="7534275"/>
    <xdr:graphicFrame>
      <xdr:nvGraphicFramePr>
        <xdr:cNvPr id="13" name="Chart 13" title="Chart"/>
        <xdr:cNvGraphicFramePr/>
      </xdr:nvGraphicFramePr>
      <xdr:xfrm>
        <a:off x="0" y="0"/>
        <a:ext cx="0" cy="0"/>
      </xdr:xfrm>
      <a:graphic>
        <a:graphicData uri="http://schemas.openxmlformats.org/drawingml/2006/chart">
          <c:chart r:id="rId13"/>
        </a:graphicData>
      </a:graphic>
    </xdr:graphicFrame>
    <xdr:clientData fLocksWithSheet="0"/>
  </xdr:oneCellAnchor>
  <xdr:oneCellAnchor>
    <xdr:from>
      <xdr:col>13</xdr:col>
      <xdr:colOff>19050</xdr:colOff>
      <xdr:row>119</xdr:row>
      <xdr:rowOff>190500</xdr:rowOff>
    </xdr:from>
    <xdr:ext cx="12096750" cy="7477125"/>
    <xdr:graphicFrame>
      <xdr:nvGraphicFramePr>
        <xdr:cNvPr id="14" name="Chart 14" title="Chart"/>
        <xdr:cNvGraphicFramePr/>
      </xdr:nvGraphicFramePr>
      <xdr:xfrm>
        <a:off x="0" y="0"/>
        <a:ext cx="0" cy="0"/>
      </xdr:xfrm>
      <a:graphic>
        <a:graphicData uri="http://schemas.openxmlformats.org/drawingml/2006/chart">
          <c:chart r:id="rId14"/>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419100</xdr:colOff>
      <xdr:row>326</xdr:row>
      <xdr:rowOff>95250</xdr:rowOff>
    </xdr:from>
    <xdr:ext cx="12011025" cy="7419975"/>
    <xdr:graphicFrame>
      <xdr:nvGraphicFramePr>
        <xdr:cNvPr id="15" name="Chart 15"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0</xdr:col>
      <xdr:colOff>0</xdr:colOff>
      <xdr:row>0</xdr:row>
      <xdr:rowOff>0</xdr:rowOff>
    </xdr:from>
    <xdr:ext cx="12582525" cy="7772400"/>
    <xdr:graphicFrame>
      <xdr:nvGraphicFramePr>
        <xdr:cNvPr id="16" name="Chart 16"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12</xdr:col>
      <xdr:colOff>466725</xdr:colOff>
      <xdr:row>326</xdr:row>
      <xdr:rowOff>66675</xdr:rowOff>
    </xdr:from>
    <xdr:ext cx="12096750" cy="7477125"/>
    <xdr:graphicFrame>
      <xdr:nvGraphicFramePr>
        <xdr:cNvPr id="17" name="Chart 17"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13</xdr:col>
      <xdr:colOff>19050</xdr:colOff>
      <xdr:row>39</xdr:row>
      <xdr:rowOff>190500</xdr:rowOff>
    </xdr:from>
    <xdr:ext cx="12401550" cy="7677150"/>
    <xdr:pic>
      <xdr:nvPicPr>
        <xdr:cNvPr id="1014542418" name="Chart18" title="Chart">
          <a:extLst>
            <a:ext uri="GoogleSheetsCustomDataVersion1">
              <go:sheetsCustomData xmlns:go="http://customooxmlschemas.google.com/" pictureOfChart="1"/>
            </a:ext>
          </a:extLst>
        </xdr:cNvPr>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200</xdr:row>
      <xdr:rowOff>152400</xdr:rowOff>
    </xdr:from>
    <xdr:ext cx="12144375" cy="7534275"/>
    <xdr:graphicFrame>
      <xdr:nvGraphicFramePr>
        <xdr:cNvPr id="19" name="Chart 19" title="Chart"/>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13</xdr:col>
      <xdr:colOff>19050</xdr:colOff>
      <xdr:row>160</xdr:row>
      <xdr:rowOff>66675</xdr:rowOff>
    </xdr:from>
    <xdr:ext cx="11525250" cy="7124700"/>
    <xdr:graphicFrame>
      <xdr:nvGraphicFramePr>
        <xdr:cNvPr id="20" name="Chart 20" title="Chart"/>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0</xdr:col>
      <xdr:colOff>0</xdr:colOff>
      <xdr:row>81</xdr:row>
      <xdr:rowOff>38100</xdr:rowOff>
    </xdr:from>
    <xdr:ext cx="12011025" cy="7419975"/>
    <xdr:graphicFrame>
      <xdr:nvGraphicFramePr>
        <xdr:cNvPr id="21" name="Chart 21" title="Chart"/>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0</xdr:col>
      <xdr:colOff>47625</xdr:colOff>
      <xdr:row>39</xdr:row>
      <xdr:rowOff>133350</xdr:rowOff>
    </xdr:from>
    <xdr:ext cx="12096750" cy="7477125"/>
    <xdr:graphicFrame>
      <xdr:nvGraphicFramePr>
        <xdr:cNvPr id="22" name="Chart 22" title="Chart"/>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13</xdr:col>
      <xdr:colOff>257175</xdr:colOff>
      <xdr:row>0</xdr:row>
      <xdr:rowOff>0</xdr:rowOff>
    </xdr:from>
    <xdr:ext cx="12049125" cy="7477125"/>
    <xdr:graphicFrame>
      <xdr:nvGraphicFramePr>
        <xdr:cNvPr id="23" name="Chart 23" title="Chart"/>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12</xdr:col>
      <xdr:colOff>800100</xdr:colOff>
      <xdr:row>79</xdr:row>
      <xdr:rowOff>85725</xdr:rowOff>
    </xdr:from>
    <xdr:ext cx="12306300" cy="7620000"/>
    <xdr:pic>
      <xdr:nvPicPr>
        <xdr:cNvPr id="460130133" name="Chart24" title="Chart">
          <a:extLst>
            <a:ext uri="GoogleSheetsCustomDataVersion1">
              <go:sheetsCustomData xmlns:go="http://customooxmlschemas.google.com/" pictureOfChart="1"/>
            </a:ext>
          </a:extLst>
        </xdr:cNvPr>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419100</xdr:colOff>
      <xdr:row>365</xdr:row>
      <xdr:rowOff>190500</xdr:rowOff>
    </xdr:from>
    <xdr:ext cx="12049125" cy="7419975"/>
    <xdr:pic>
      <xdr:nvPicPr>
        <xdr:cNvPr id="974912542" name="Chart25" title="Chart">
          <a:extLst>
            <a:ext uri="GoogleSheetsCustomDataVersion1">
              <go:sheetsCustomData xmlns:go="http://customooxmlschemas.google.com/" pictureOfChart="1"/>
            </a:ext>
          </a:extLst>
        </xdr:cNvPr>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0</xdr:colOff>
      <xdr:row>160</xdr:row>
      <xdr:rowOff>66675</xdr:rowOff>
    </xdr:from>
    <xdr:ext cx="11363325" cy="7029450"/>
    <xdr:graphicFrame>
      <xdr:nvGraphicFramePr>
        <xdr:cNvPr id="26" name="Chart 26" title="Chart"/>
        <xdr:cNvGraphicFramePr/>
      </xdr:nvGraphicFramePr>
      <xdr:xfrm>
        <a:off x="0" y="0"/>
        <a:ext cx="0" cy="0"/>
      </xdr:xfrm>
      <a:graphic>
        <a:graphicData uri="http://schemas.openxmlformats.org/drawingml/2006/chart">
          <c:chart r:id="rId12"/>
        </a:graphicData>
      </a:graphic>
    </xdr:graphicFrame>
    <xdr:clientData fLocksWithSheet="0"/>
  </xdr:oneCellAnchor>
  <xdr:oneCellAnchor>
    <xdr:from>
      <xdr:col>0</xdr:col>
      <xdr:colOff>0</xdr:colOff>
      <xdr:row>119</xdr:row>
      <xdr:rowOff>190500</xdr:rowOff>
    </xdr:from>
    <xdr:ext cx="12144375" cy="7534275"/>
    <xdr:graphicFrame>
      <xdr:nvGraphicFramePr>
        <xdr:cNvPr id="27" name="Chart 27" title="Chart"/>
        <xdr:cNvGraphicFramePr/>
      </xdr:nvGraphicFramePr>
      <xdr:xfrm>
        <a:off x="0" y="0"/>
        <a:ext cx="0" cy="0"/>
      </xdr:xfrm>
      <a:graphic>
        <a:graphicData uri="http://schemas.openxmlformats.org/drawingml/2006/chart">
          <c:chart r:id="rId13"/>
        </a:graphicData>
      </a:graphic>
    </xdr:graphicFrame>
    <xdr:clientData fLocksWithSheet="0"/>
  </xdr:oneCellAnchor>
  <xdr:oneCellAnchor>
    <xdr:from>
      <xdr:col>13</xdr:col>
      <xdr:colOff>19050</xdr:colOff>
      <xdr:row>119</xdr:row>
      <xdr:rowOff>190500</xdr:rowOff>
    </xdr:from>
    <xdr:ext cx="12096750" cy="7477125"/>
    <xdr:graphicFrame>
      <xdr:nvGraphicFramePr>
        <xdr:cNvPr id="28" name="Chart 28" title="Chart"/>
        <xdr:cNvGraphicFramePr/>
      </xdr:nvGraphicFramePr>
      <xdr:xfrm>
        <a:off x="0" y="0"/>
        <a:ext cx="0" cy="0"/>
      </xdr:xfrm>
      <a:graphic>
        <a:graphicData uri="http://schemas.openxmlformats.org/drawingml/2006/chart">
          <c:chart r:id="rId14"/>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419100</xdr:colOff>
      <xdr:row>326</xdr:row>
      <xdr:rowOff>95250</xdr:rowOff>
    </xdr:from>
    <xdr:ext cx="12011025" cy="7419975"/>
    <xdr:graphicFrame>
      <xdr:nvGraphicFramePr>
        <xdr:cNvPr id="29" name="Chart 29"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0</xdr:col>
      <xdr:colOff>0</xdr:colOff>
      <xdr:row>0</xdr:row>
      <xdr:rowOff>0</xdr:rowOff>
    </xdr:from>
    <xdr:ext cx="12582525" cy="7772400"/>
    <xdr:graphicFrame>
      <xdr:nvGraphicFramePr>
        <xdr:cNvPr id="30" name="Chart 30"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12</xdr:col>
      <xdr:colOff>466725</xdr:colOff>
      <xdr:row>326</xdr:row>
      <xdr:rowOff>66675</xdr:rowOff>
    </xdr:from>
    <xdr:ext cx="12096750" cy="7477125"/>
    <xdr:graphicFrame>
      <xdr:nvGraphicFramePr>
        <xdr:cNvPr id="31" name="Chart 31"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13</xdr:col>
      <xdr:colOff>19050</xdr:colOff>
      <xdr:row>39</xdr:row>
      <xdr:rowOff>190500</xdr:rowOff>
    </xdr:from>
    <xdr:ext cx="12401550" cy="7677150"/>
    <xdr:pic>
      <xdr:nvPicPr>
        <xdr:cNvPr id="944916198" name="Chart32" title="Chart">
          <a:extLst>
            <a:ext uri="GoogleSheetsCustomDataVersion1">
              <go:sheetsCustomData xmlns:go="http://customooxmlschemas.google.com/" pictureOfChart="1"/>
            </a:ext>
          </a:extLst>
        </xdr:cNvPr>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200</xdr:row>
      <xdr:rowOff>152400</xdr:rowOff>
    </xdr:from>
    <xdr:ext cx="12144375" cy="7534275"/>
    <xdr:graphicFrame>
      <xdr:nvGraphicFramePr>
        <xdr:cNvPr id="33" name="Chart 33" title="Chart"/>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13</xdr:col>
      <xdr:colOff>19050</xdr:colOff>
      <xdr:row>160</xdr:row>
      <xdr:rowOff>66675</xdr:rowOff>
    </xdr:from>
    <xdr:ext cx="11525250" cy="7124700"/>
    <xdr:graphicFrame>
      <xdr:nvGraphicFramePr>
        <xdr:cNvPr id="34" name="Chart 34" title="Chart"/>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0</xdr:col>
      <xdr:colOff>0</xdr:colOff>
      <xdr:row>81</xdr:row>
      <xdr:rowOff>38100</xdr:rowOff>
    </xdr:from>
    <xdr:ext cx="12011025" cy="7419975"/>
    <xdr:graphicFrame>
      <xdr:nvGraphicFramePr>
        <xdr:cNvPr id="35" name="Chart 35" title="Chart"/>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0</xdr:col>
      <xdr:colOff>47625</xdr:colOff>
      <xdr:row>39</xdr:row>
      <xdr:rowOff>133350</xdr:rowOff>
    </xdr:from>
    <xdr:ext cx="12096750" cy="7477125"/>
    <xdr:graphicFrame>
      <xdr:nvGraphicFramePr>
        <xdr:cNvPr id="36" name="Chart 36" title="Chart"/>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13</xdr:col>
      <xdr:colOff>257175</xdr:colOff>
      <xdr:row>0</xdr:row>
      <xdr:rowOff>0</xdr:rowOff>
    </xdr:from>
    <xdr:ext cx="12049125" cy="7477125"/>
    <xdr:graphicFrame>
      <xdr:nvGraphicFramePr>
        <xdr:cNvPr id="37" name="Chart 37" title="Chart"/>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12</xdr:col>
      <xdr:colOff>800100</xdr:colOff>
      <xdr:row>79</xdr:row>
      <xdr:rowOff>85725</xdr:rowOff>
    </xdr:from>
    <xdr:ext cx="12306300" cy="7620000"/>
    <xdr:pic>
      <xdr:nvPicPr>
        <xdr:cNvPr id="744486873" name="Chart38" title="Chart">
          <a:extLst>
            <a:ext uri="GoogleSheetsCustomDataVersion1">
              <go:sheetsCustomData xmlns:go="http://customooxmlschemas.google.com/" pictureOfChart="1"/>
            </a:ext>
          </a:extLst>
        </xdr:cNvPr>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419100</xdr:colOff>
      <xdr:row>365</xdr:row>
      <xdr:rowOff>190500</xdr:rowOff>
    </xdr:from>
    <xdr:ext cx="12049125" cy="7419975"/>
    <xdr:pic>
      <xdr:nvPicPr>
        <xdr:cNvPr id="32896395" name="Chart39" title="Chart">
          <a:extLst>
            <a:ext uri="GoogleSheetsCustomDataVersion1">
              <go:sheetsCustomData xmlns:go="http://customooxmlschemas.google.com/" pictureOfChart="1"/>
            </a:ext>
          </a:extLst>
        </xdr:cNvPr>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0</xdr:colOff>
      <xdr:row>160</xdr:row>
      <xdr:rowOff>66675</xdr:rowOff>
    </xdr:from>
    <xdr:ext cx="11363325" cy="7029450"/>
    <xdr:graphicFrame>
      <xdr:nvGraphicFramePr>
        <xdr:cNvPr id="40" name="Chart 40" title="Chart"/>
        <xdr:cNvGraphicFramePr/>
      </xdr:nvGraphicFramePr>
      <xdr:xfrm>
        <a:off x="0" y="0"/>
        <a:ext cx="0" cy="0"/>
      </xdr:xfrm>
      <a:graphic>
        <a:graphicData uri="http://schemas.openxmlformats.org/drawingml/2006/chart">
          <c:chart r:id="rId12"/>
        </a:graphicData>
      </a:graphic>
    </xdr:graphicFrame>
    <xdr:clientData fLocksWithSheet="0"/>
  </xdr:oneCellAnchor>
  <xdr:oneCellAnchor>
    <xdr:from>
      <xdr:col>0</xdr:col>
      <xdr:colOff>0</xdr:colOff>
      <xdr:row>119</xdr:row>
      <xdr:rowOff>190500</xdr:rowOff>
    </xdr:from>
    <xdr:ext cx="12144375" cy="7534275"/>
    <xdr:graphicFrame>
      <xdr:nvGraphicFramePr>
        <xdr:cNvPr id="41" name="Chart 41" title="Chart"/>
        <xdr:cNvGraphicFramePr/>
      </xdr:nvGraphicFramePr>
      <xdr:xfrm>
        <a:off x="0" y="0"/>
        <a:ext cx="0" cy="0"/>
      </xdr:xfrm>
      <a:graphic>
        <a:graphicData uri="http://schemas.openxmlformats.org/drawingml/2006/chart">
          <c:chart r:id="rId13"/>
        </a:graphicData>
      </a:graphic>
    </xdr:graphicFrame>
    <xdr:clientData fLocksWithSheet="0"/>
  </xdr:oneCellAnchor>
  <xdr:oneCellAnchor>
    <xdr:from>
      <xdr:col>13</xdr:col>
      <xdr:colOff>19050</xdr:colOff>
      <xdr:row>119</xdr:row>
      <xdr:rowOff>190500</xdr:rowOff>
    </xdr:from>
    <xdr:ext cx="12096750" cy="7477125"/>
    <xdr:graphicFrame>
      <xdr:nvGraphicFramePr>
        <xdr:cNvPr id="42" name="Chart 42" title="Chart"/>
        <xdr:cNvGraphicFramePr/>
      </xdr:nvGraphicFramePr>
      <xdr:xfrm>
        <a:off x="0" y="0"/>
        <a:ext cx="0" cy="0"/>
      </xdr:xfrm>
      <a:graphic>
        <a:graphicData uri="http://schemas.openxmlformats.org/drawingml/2006/chart">
          <c:chart r:id="rId14"/>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419100</xdr:colOff>
      <xdr:row>326</xdr:row>
      <xdr:rowOff>95250</xdr:rowOff>
    </xdr:from>
    <xdr:ext cx="12011025" cy="7419975"/>
    <xdr:graphicFrame>
      <xdr:nvGraphicFramePr>
        <xdr:cNvPr id="43" name="Chart 43"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0</xdr:col>
      <xdr:colOff>0</xdr:colOff>
      <xdr:row>0</xdr:row>
      <xdr:rowOff>0</xdr:rowOff>
    </xdr:from>
    <xdr:ext cx="12582525" cy="7772400"/>
    <xdr:graphicFrame>
      <xdr:nvGraphicFramePr>
        <xdr:cNvPr id="44" name="Chart 44" title="Chart"/>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12</xdr:col>
      <xdr:colOff>466725</xdr:colOff>
      <xdr:row>326</xdr:row>
      <xdr:rowOff>66675</xdr:rowOff>
    </xdr:from>
    <xdr:ext cx="12096750" cy="7477125"/>
    <xdr:graphicFrame>
      <xdr:nvGraphicFramePr>
        <xdr:cNvPr id="45" name="Chart 45" title="Chart"/>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13</xdr:col>
      <xdr:colOff>19050</xdr:colOff>
      <xdr:row>39</xdr:row>
      <xdr:rowOff>190500</xdr:rowOff>
    </xdr:from>
    <xdr:ext cx="12401550" cy="7677150"/>
    <xdr:pic>
      <xdr:nvPicPr>
        <xdr:cNvPr id="518833312" name="Chart46" title="Chart">
          <a:extLst>
            <a:ext uri="GoogleSheetsCustomDataVersion1">
              <go:sheetsCustomData xmlns:go="http://customooxmlschemas.google.com/" pictureOfChart="1"/>
            </a:ext>
          </a:extLst>
        </xdr:cNvPr>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200</xdr:row>
      <xdr:rowOff>152400</xdr:rowOff>
    </xdr:from>
    <xdr:ext cx="12144375" cy="7534275"/>
    <xdr:graphicFrame>
      <xdr:nvGraphicFramePr>
        <xdr:cNvPr id="47" name="Chart 47" title="Chart"/>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13</xdr:col>
      <xdr:colOff>19050</xdr:colOff>
      <xdr:row>160</xdr:row>
      <xdr:rowOff>66675</xdr:rowOff>
    </xdr:from>
    <xdr:ext cx="11525250" cy="7124700"/>
    <xdr:graphicFrame>
      <xdr:nvGraphicFramePr>
        <xdr:cNvPr id="48" name="Chart 48" title="Chart"/>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0</xdr:col>
      <xdr:colOff>0</xdr:colOff>
      <xdr:row>81</xdr:row>
      <xdr:rowOff>38100</xdr:rowOff>
    </xdr:from>
    <xdr:ext cx="12011025" cy="7419975"/>
    <xdr:graphicFrame>
      <xdr:nvGraphicFramePr>
        <xdr:cNvPr id="49" name="Chart 49" title="Chart"/>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0</xdr:col>
      <xdr:colOff>47625</xdr:colOff>
      <xdr:row>39</xdr:row>
      <xdr:rowOff>133350</xdr:rowOff>
    </xdr:from>
    <xdr:ext cx="12096750" cy="7477125"/>
    <xdr:graphicFrame>
      <xdr:nvGraphicFramePr>
        <xdr:cNvPr id="50" name="Chart 50" title="Chart"/>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13</xdr:col>
      <xdr:colOff>257175</xdr:colOff>
      <xdr:row>0</xdr:row>
      <xdr:rowOff>0</xdr:rowOff>
    </xdr:from>
    <xdr:ext cx="12049125" cy="7477125"/>
    <xdr:graphicFrame>
      <xdr:nvGraphicFramePr>
        <xdr:cNvPr id="51" name="Chart 51" title="Chart"/>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12</xdr:col>
      <xdr:colOff>800100</xdr:colOff>
      <xdr:row>79</xdr:row>
      <xdr:rowOff>85725</xdr:rowOff>
    </xdr:from>
    <xdr:ext cx="12306300" cy="7620000"/>
    <xdr:pic>
      <xdr:nvPicPr>
        <xdr:cNvPr id="2079321720" name="Chart52" title="Chart">
          <a:extLst>
            <a:ext uri="GoogleSheetsCustomDataVersion1">
              <go:sheetsCustomData xmlns:go="http://customooxmlschemas.google.com/" pictureOfChart="1"/>
            </a:ext>
          </a:extLst>
        </xdr:cNvPr>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419100</xdr:colOff>
      <xdr:row>365</xdr:row>
      <xdr:rowOff>190500</xdr:rowOff>
    </xdr:from>
    <xdr:ext cx="12049125" cy="7419975"/>
    <xdr:pic>
      <xdr:nvPicPr>
        <xdr:cNvPr id="1121902889" name="Chart53" title="Chart">
          <a:extLst>
            <a:ext uri="GoogleSheetsCustomDataVersion1">
              <go:sheetsCustomData xmlns:go="http://customooxmlschemas.google.com/" pictureOfChart="1"/>
            </a:ext>
          </a:extLst>
        </xdr:cNvPr>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0</xdr:colOff>
      <xdr:row>160</xdr:row>
      <xdr:rowOff>66675</xdr:rowOff>
    </xdr:from>
    <xdr:ext cx="11363325" cy="7029450"/>
    <xdr:graphicFrame>
      <xdr:nvGraphicFramePr>
        <xdr:cNvPr id="54" name="Chart 54" title="Chart"/>
        <xdr:cNvGraphicFramePr/>
      </xdr:nvGraphicFramePr>
      <xdr:xfrm>
        <a:off x="0" y="0"/>
        <a:ext cx="0" cy="0"/>
      </xdr:xfrm>
      <a:graphic>
        <a:graphicData uri="http://schemas.openxmlformats.org/drawingml/2006/chart">
          <c:chart r:id="rId12"/>
        </a:graphicData>
      </a:graphic>
    </xdr:graphicFrame>
    <xdr:clientData fLocksWithSheet="0"/>
  </xdr:oneCellAnchor>
  <xdr:oneCellAnchor>
    <xdr:from>
      <xdr:col>0</xdr:col>
      <xdr:colOff>0</xdr:colOff>
      <xdr:row>119</xdr:row>
      <xdr:rowOff>190500</xdr:rowOff>
    </xdr:from>
    <xdr:ext cx="12144375" cy="7534275"/>
    <xdr:graphicFrame>
      <xdr:nvGraphicFramePr>
        <xdr:cNvPr id="55" name="Chart 55" title="Chart"/>
        <xdr:cNvGraphicFramePr/>
      </xdr:nvGraphicFramePr>
      <xdr:xfrm>
        <a:off x="0" y="0"/>
        <a:ext cx="0" cy="0"/>
      </xdr:xfrm>
      <a:graphic>
        <a:graphicData uri="http://schemas.openxmlformats.org/drawingml/2006/chart">
          <c:chart r:id="rId13"/>
        </a:graphicData>
      </a:graphic>
    </xdr:graphicFrame>
    <xdr:clientData fLocksWithSheet="0"/>
  </xdr:oneCellAnchor>
  <xdr:oneCellAnchor>
    <xdr:from>
      <xdr:col>13</xdr:col>
      <xdr:colOff>19050</xdr:colOff>
      <xdr:row>119</xdr:row>
      <xdr:rowOff>190500</xdr:rowOff>
    </xdr:from>
    <xdr:ext cx="12096750" cy="7477125"/>
    <xdr:graphicFrame>
      <xdr:nvGraphicFramePr>
        <xdr:cNvPr id="56" name="Chart 56" title="Chart"/>
        <xdr:cNvGraphicFramePr/>
      </xdr:nvGraphicFramePr>
      <xdr:xfrm>
        <a:off x="0" y="0"/>
        <a:ext cx="0" cy="0"/>
      </xdr:xfrm>
      <a:graphic>
        <a:graphicData uri="http://schemas.openxmlformats.org/drawingml/2006/chart">
          <c:chart r:id="rId14"/>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taxdown.es/irpf/tabla-tramos/" TargetMode="External"/><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notifycal.com/" TargetMode="External"/><Relationship Id="rId2"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0.38"/>
    <col customWidth="1" min="2" max="2" width="19.75"/>
    <col customWidth="1" min="3" max="3" width="18.88"/>
    <col customWidth="1" min="4" max="4" width="15.75"/>
  </cols>
  <sheetData>
    <row r="1" ht="15.0" customHeight="1">
      <c r="A1" s="1" t="s">
        <v>0</v>
      </c>
      <c r="F1" s="1"/>
      <c r="G1" s="1"/>
      <c r="H1" s="1"/>
      <c r="I1" s="1"/>
      <c r="J1" s="1"/>
      <c r="K1" s="1"/>
    </row>
    <row r="2">
      <c r="A2" s="1" t="s">
        <v>1</v>
      </c>
      <c r="B2" s="1">
        <f t="array" ref="B2:S2">Numero_Clientes</f>
        <v>10</v>
      </c>
      <c r="C2" s="2">
        <v>25.0</v>
      </c>
      <c r="D2" s="2">
        <v>50.0</v>
      </c>
      <c r="E2" s="2">
        <v>80.0</v>
      </c>
      <c r="F2" s="2">
        <v>120.0</v>
      </c>
      <c r="G2" s="1">
        <v>170.0</v>
      </c>
      <c r="H2" s="1">
        <v>230.0</v>
      </c>
      <c r="I2" s="1">
        <v>300.0</v>
      </c>
      <c r="J2" s="1">
        <v>380.0</v>
      </c>
      <c r="K2" s="1">
        <v>470.0</v>
      </c>
      <c r="L2" s="2">
        <v>600.0</v>
      </c>
      <c r="M2" s="2">
        <v>750.0</v>
      </c>
      <c r="N2" s="2">
        <v>900.0</v>
      </c>
      <c r="O2" s="2">
        <v>1000.0</v>
      </c>
      <c r="P2" s="2">
        <v>1200.0</v>
      </c>
      <c r="Q2" s="2">
        <v>1500.0</v>
      </c>
      <c r="R2" s="2">
        <v>2000.0</v>
      </c>
      <c r="S2" s="2">
        <v>3000.0</v>
      </c>
    </row>
    <row r="3">
      <c r="A3" s="1" t="s">
        <v>2</v>
      </c>
      <c r="B3" s="1">
        <v>16.0</v>
      </c>
      <c r="G3" s="1"/>
      <c r="H3" s="1"/>
      <c r="I3" s="1"/>
      <c r="J3" s="1"/>
      <c r="K3" s="1"/>
    </row>
    <row r="4">
      <c r="A4" s="1" t="s">
        <v>3</v>
      </c>
      <c r="B4" s="1">
        <v>44.0</v>
      </c>
      <c r="G4" s="1"/>
      <c r="H4" s="1"/>
      <c r="I4" s="1"/>
      <c r="J4" s="1"/>
      <c r="K4" s="1"/>
    </row>
    <row r="5">
      <c r="A5" s="1" t="s">
        <v>4</v>
      </c>
      <c r="B5" s="1">
        <v>99.0</v>
      </c>
      <c r="G5" s="1"/>
      <c r="H5" s="1"/>
      <c r="I5" s="1"/>
      <c r="J5" s="1"/>
      <c r="K5" s="1"/>
    </row>
    <row r="6">
      <c r="A6" s="1" t="s">
        <v>5</v>
      </c>
      <c r="B6" s="1">
        <f>4*20</f>
        <v>80</v>
      </c>
      <c r="C6" s="1" t="s">
        <v>2</v>
      </c>
      <c r="D6" s="2">
        <f t="shared" ref="D6:D8" si="1">B3/B6</f>
        <v>0.2</v>
      </c>
    </row>
    <row r="7">
      <c r="A7" s="1" t="s">
        <v>6</v>
      </c>
      <c r="B7" s="1">
        <f>15*20</f>
        <v>300</v>
      </c>
      <c r="C7" s="1" t="s">
        <v>7</v>
      </c>
      <c r="D7" s="2">
        <f t="shared" si="1"/>
        <v>0.1466666667</v>
      </c>
    </row>
    <row r="8">
      <c r="A8" s="1" t="s">
        <v>8</v>
      </c>
      <c r="B8" s="1">
        <f>60*20</f>
        <v>1200</v>
      </c>
      <c r="C8" s="1" t="s">
        <v>4</v>
      </c>
      <c r="D8" s="2">
        <f t="shared" si="1"/>
        <v>0.0825</v>
      </c>
    </row>
    <row r="9">
      <c r="A9" s="1" t="s">
        <v>9</v>
      </c>
      <c r="B9" s="1">
        <v>35.0</v>
      </c>
    </row>
    <row r="10">
      <c r="A10" s="1" t="s">
        <v>10</v>
      </c>
      <c r="B10" s="1">
        <v>50.0</v>
      </c>
    </row>
    <row r="11">
      <c r="A11" s="1" t="s">
        <v>11</v>
      </c>
      <c r="B11" s="1">
        <v>15.0</v>
      </c>
    </row>
    <row r="12">
      <c r="A12" s="3" t="s">
        <v>12</v>
      </c>
      <c r="B12" s="4">
        <f>POR_NUMERO_CLIENTES(LAMBDA(col, NETO(Costes_Fijos!B20, 21)))</f>
        <v>3912.431129</v>
      </c>
      <c r="C12" s="4">
        <v>3912.4311294765844</v>
      </c>
      <c r="D12" s="4">
        <v>3912.4311294765844</v>
      </c>
      <c r="E12" s="4">
        <v>3912.4311294765844</v>
      </c>
      <c r="F12" s="4">
        <v>3912.4311294765844</v>
      </c>
      <c r="G12" s="2">
        <v>3912.4311294765844</v>
      </c>
      <c r="H12" s="2">
        <v>3912.4311294765844</v>
      </c>
      <c r="I12" s="2">
        <v>3912.4311294765844</v>
      </c>
      <c r="J12" s="2">
        <v>3912.4311294765844</v>
      </c>
      <c r="K12" s="2">
        <v>3912.4311294765844</v>
      </c>
      <c r="L12" s="2">
        <v>3912.4311294765844</v>
      </c>
      <c r="M12" s="2">
        <v>3912.4311294765844</v>
      </c>
      <c r="N12" s="2">
        <v>3912.4311294765844</v>
      </c>
      <c r="O12" s="2">
        <v>3912.4311294765844</v>
      </c>
      <c r="P12" s="2">
        <v>3912.4311294765844</v>
      </c>
      <c r="Q12" s="2">
        <v>3912.4311294765844</v>
      </c>
      <c r="R12" s="2">
        <v>3912.4311294765844</v>
      </c>
      <c r="S12" s="2">
        <v>3912.4311294765844</v>
      </c>
    </row>
    <row r="13">
      <c r="A13" s="1" t="s">
        <v>13</v>
      </c>
      <c r="B13" s="1">
        <v>12.0</v>
      </c>
      <c r="C13" s="1" t="s">
        <v>14</v>
      </c>
      <c r="D13" s="1" t="s">
        <v>15</v>
      </c>
      <c r="E13" s="5">
        <v>0.05</v>
      </c>
      <c r="F13" s="1" t="s">
        <v>16</v>
      </c>
    </row>
    <row r="15">
      <c r="A15" s="1" t="s">
        <v>17</v>
      </c>
    </row>
    <row r="16">
      <c r="A16" s="1" t="s">
        <v>18</v>
      </c>
      <c r="B16" s="1"/>
      <c r="C16" s="1"/>
      <c r="D16" s="1"/>
      <c r="E16" s="1"/>
      <c r="F16" s="1"/>
    </row>
    <row r="17">
      <c r="A17" s="1" t="s">
        <v>19</v>
      </c>
      <c r="B17" s="1">
        <f t="array" ref="B17:S17">ROUND(Numero_Clientes*$B9%,0)</f>
        <v>4</v>
      </c>
      <c r="C17" s="2">
        <v>9.0</v>
      </c>
      <c r="D17" s="2">
        <v>18.0</v>
      </c>
      <c r="E17" s="2">
        <v>28.0</v>
      </c>
      <c r="F17" s="2">
        <v>42.0</v>
      </c>
      <c r="G17" s="2">
        <v>60.0</v>
      </c>
      <c r="H17" s="2">
        <v>81.0</v>
      </c>
      <c r="I17" s="2">
        <v>105.0</v>
      </c>
      <c r="J17" s="2">
        <v>133.0</v>
      </c>
      <c r="K17" s="2">
        <v>165.0</v>
      </c>
      <c r="L17" s="2">
        <v>210.0</v>
      </c>
      <c r="M17" s="2">
        <v>263.0</v>
      </c>
      <c r="N17" s="2">
        <v>315.0</v>
      </c>
      <c r="O17" s="2">
        <v>350.0</v>
      </c>
      <c r="P17" s="2">
        <v>420.0</v>
      </c>
      <c r="Q17" s="2">
        <v>525.0</v>
      </c>
      <c r="R17" s="2">
        <v>700.0</v>
      </c>
      <c r="S17" s="2">
        <v>1050.0</v>
      </c>
    </row>
    <row r="18">
      <c r="A18" s="1" t="s">
        <v>20</v>
      </c>
      <c r="B18" s="1">
        <f t="array" ref="B18:S18">ROUND(Numero_Clientes*$B10%,0)</f>
        <v>5</v>
      </c>
      <c r="C18" s="2">
        <v>13.0</v>
      </c>
      <c r="D18" s="2">
        <v>25.0</v>
      </c>
      <c r="E18" s="2">
        <v>40.0</v>
      </c>
      <c r="F18" s="2">
        <v>60.0</v>
      </c>
      <c r="G18" s="2">
        <v>85.0</v>
      </c>
      <c r="H18" s="2">
        <v>115.0</v>
      </c>
      <c r="I18" s="2">
        <v>150.0</v>
      </c>
      <c r="J18" s="2">
        <v>190.0</v>
      </c>
      <c r="K18" s="2">
        <v>235.0</v>
      </c>
      <c r="L18" s="2">
        <v>300.0</v>
      </c>
      <c r="M18" s="2">
        <v>375.0</v>
      </c>
      <c r="N18" s="2">
        <v>450.0</v>
      </c>
      <c r="O18" s="2">
        <v>500.0</v>
      </c>
      <c r="P18" s="2">
        <v>600.0</v>
      </c>
      <c r="Q18" s="2">
        <v>750.0</v>
      </c>
      <c r="R18" s="2">
        <v>1000.0</v>
      </c>
      <c r="S18" s="2">
        <v>1500.0</v>
      </c>
    </row>
    <row r="19">
      <c r="A19" s="1" t="s">
        <v>21</v>
      </c>
      <c r="B19" s="1">
        <f t="array" ref="B19:S19">ROUND(Numero_Clientes*$B11%,0)</f>
        <v>2</v>
      </c>
      <c r="C19" s="2">
        <v>4.0</v>
      </c>
      <c r="D19" s="2">
        <v>8.0</v>
      </c>
      <c r="E19" s="2">
        <v>12.0</v>
      </c>
      <c r="F19" s="2">
        <v>18.0</v>
      </c>
      <c r="G19" s="2">
        <v>26.0</v>
      </c>
      <c r="H19" s="2">
        <v>35.0</v>
      </c>
      <c r="I19" s="2">
        <v>45.0</v>
      </c>
      <c r="J19" s="2">
        <v>57.0</v>
      </c>
      <c r="K19" s="2">
        <v>71.0</v>
      </c>
      <c r="L19" s="2">
        <v>90.0</v>
      </c>
      <c r="M19" s="2">
        <v>113.0</v>
      </c>
      <c r="N19" s="2">
        <v>135.0</v>
      </c>
      <c r="O19" s="2">
        <v>150.0</v>
      </c>
      <c r="P19" s="2">
        <v>180.0</v>
      </c>
      <c r="Q19" s="2">
        <v>225.0</v>
      </c>
      <c r="R19" s="2">
        <v>300.0</v>
      </c>
      <c r="S19" s="2">
        <v>450.0</v>
      </c>
    </row>
    <row r="20">
      <c r="A20" s="1" t="s">
        <v>22</v>
      </c>
      <c r="B20" s="1">
        <f t="array" ref="B20:S20">POR_NUMERO_CLIENTES(LAMBDA(col, SUM(INDEX($17:$19,,col))))</f>
        <v>11</v>
      </c>
      <c r="C20" s="2">
        <v>26.0</v>
      </c>
      <c r="D20" s="2">
        <v>51.0</v>
      </c>
      <c r="E20" s="2">
        <v>80.0</v>
      </c>
      <c r="F20" s="2">
        <v>120.0</v>
      </c>
      <c r="G20" s="2">
        <v>171.0</v>
      </c>
      <c r="H20" s="2">
        <v>231.0</v>
      </c>
      <c r="I20" s="2">
        <v>300.0</v>
      </c>
      <c r="J20" s="2">
        <v>380.0</v>
      </c>
      <c r="K20" s="2">
        <v>471.0</v>
      </c>
      <c r="L20" s="2">
        <v>600.0</v>
      </c>
      <c r="M20" s="2">
        <v>751.0</v>
      </c>
      <c r="N20" s="2">
        <v>900.0</v>
      </c>
      <c r="O20" s="2">
        <v>1000.0</v>
      </c>
      <c r="P20" s="2">
        <v>1200.0</v>
      </c>
      <c r="Q20" s="2">
        <v>1500.0</v>
      </c>
      <c r="R20" s="2">
        <v>2000.0</v>
      </c>
      <c r="S20" s="2">
        <v>3000.0</v>
      </c>
    </row>
    <row r="21">
      <c r="A21" s="1" t="s">
        <v>23</v>
      </c>
    </row>
    <row r="22">
      <c r="A22" s="1" t="s">
        <v>24</v>
      </c>
      <c r="B22" s="1">
        <f>POR_NUMERO_CLIENTES(LAMBDA(col, MICELDA(17,col)* $B$3))</f>
        <v>64</v>
      </c>
      <c r="C22" s="2">
        <v>144.0</v>
      </c>
      <c r="D22" s="2">
        <v>288.0</v>
      </c>
      <c r="E22" s="2">
        <v>448.0</v>
      </c>
      <c r="F22" s="2">
        <v>672.0</v>
      </c>
      <c r="G22" s="2">
        <v>960.0</v>
      </c>
      <c r="H22" s="2">
        <v>1296.0</v>
      </c>
      <c r="I22" s="2">
        <v>1680.0</v>
      </c>
      <c r="J22" s="2">
        <v>2128.0</v>
      </c>
      <c r="K22" s="2">
        <v>2640.0</v>
      </c>
      <c r="L22" s="2">
        <v>3360.0</v>
      </c>
      <c r="M22" s="2">
        <v>4208.0</v>
      </c>
      <c r="N22" s="2">
        <v>5040.0</v>
      </c>
      <c r="O22" s="2">
        <v>5600.0</v>
      </c>
      <c r="P22" s="2">
        <v>6720.0</v>
      </c>
      <c r="Q22" s="2">
        <v>8400.0</v>
      </c>
      <c r="R22" s="2">
        <v>11200.0</v>
      </c>
      <c r="S22" s="2">
        <v>16800.0</v>
      </c>
    </row>
    <row r="23">
      <c r="A23" s="1" t="s">
        <v>25</v>
      </c>
      <c r="B23" s="1">
        <f>POR_NUMERO_CLIENTES(LAMBDA(col, MICELDA(18,col)* $B$4))</f>
        <v>220</v>
      </c>
      <c r="C23" s="2">
        <v>572.0</v>
      </c>
      <c r="D23" s="2">
        <v>1100.0</v>
      </c>
      <c r="E23" s="2">
        <v>1760.0</v>
      </c>
      <c r="F23" s="2">
        <v>2640.0</v>
      </c>
      <c r="G23" s="2">
        <v>3740.0</v>
      </c>
      <c r="H23" s="2">
        <v>5060.0</v>
      </c>
      <c r="I23" s="2">
        <v>6600.0</v>
      </c>
      <c r="J23" s="2">
        <v>8360.0</v>
      </c>
      <c r="K23" s="2">
        <v>10340.0</v>
      </c>
      <c r="L23" s="2">
        <v>13200.0</v>
      </c>
      <c r="M23" s="2">
        <v>16500.0</v>
      </c>
      <c r="N23" s="2">
        <v>19800.0</v>
      </c>
      <c r="O23" s="2">
        <v>22000.0</v>
      </c>
      <c r="P23" s="2">
        <v>26400.0</v>
      </c>
      <c r="Q23" s="2">
        <v>33000.0</v>
      </c>
      <c r="R23" s="2">
        <v>44000.0</v>
      </c>
      <c r="S23" s="2">
        <v>66000.0</v>
      </c>
    </row>
    <row r="24">
      <c r="A24" s="1" t="s">
        <v>26</v>
      </c>
      <c r="B24" s="1">
        <f>POR_NUMERO_CLIENTES(LAMBDA(col, MICELDA(19,col)* $B$5))</f>
        <v>198</v>
      </c>
      <c r="C24" s="2">
        <v>396.0</v>
      </c>
      <c r="D24" s="2">
        <v>792.0</v>
      </c>
      <c r="E24" s="2">
        <v>1188.0</v>
      </c>
      <c r="F24" s="2">
        <v>1782.0</v>
      </c>
      <c r="G24" s="1">
        <v>2574.0</v>
      </c>
      <c r="H24" s="2">
        <v>3465.0</v>
      </c>
      <c r="I24" s="2">
        <v>4455.0</v>
      </c>
      <c r="J24" s="2">
        <v>5643.0</v>
      </c>
      <c r="K24" s="2">
        <v>7029.0</v>
      </c>
      <c r="L24" s="2">
        <v>8910.0</v>
      </c>
      <c r="M24" s="2">
        <v>11187.0</v>
      </c>
      <c r="N24" s="2">
        <v>13365.0</v>
      </c>
      <c r="O24" s="2">
        <v>14850.0</v>
      </c>
      <c r="P24" s="2">
        <v>17820.0</v>
      </c>
      <c r="Q24" s="2">
        <v>22275.0</v>
      </c>
      <c r="R24" s="2">
        <v>29700.0</v>
      </c>
      <c r="S24" s="2">
        <v>44550.0</v>
      </c>
    </row>
    <row r="25">
      <c r="A25" s="1" t="s">
        <v>27</v>
      </c>
      <c r="B25" s="1">
        <f t="array" ref="B25:S25">POR_NUMERO_CLIENTES(LAMBDA(col, SUM(INDEX($22:$24,,col))))</f>
        <v>482</v>
      </c>
      <c r="C25" s="2">
        <v>1112.0</v>
      </c>
      <c r="D25" s="2">
        <v>2180.0</v>
      </c>
      <c r="E25" s="2">
        <v>3396.0</v>
      </c>
      <c r="F25" s="2">
        <v>5094.0</v>
      </c>
      <c r="G25" s="2">
        <v>7274.0</v>
      </c>
      <c r="H25" s="2">
        <v>9821.0</v>
      </c>
      <c r="I25" s="2">
        <v>12735.0</v>
      </c>
      <c r="J25" s="2">
        <v>16131.0</v>
      </c>
      <c r="K25" s="2">
        <v>20009.0</v>
      </c>
      <c r="L25" s="2">
        <v>25470.0</v>
      </c>
      <c r="M25" s="2">
        <v>31895.0</v>
      </c>
      <c r="N25" s="2">
        <v>38205.0</v>
      </c>
      <c r="O25" s="2">
        <v>42450.0</v>
      </c>
      <c r="P25" s="2">
        <v>50940.0</v>
      </c>
      <c r="Q25" s="2">
        <v>63675.0</v>
      </c>
      <c r="R25" s="2">
        <v>84900.0</v>
      </c>
      <c r="S25" s="2">
        <v>127350.0</v>
      </c>
    </row>
    <row r="26">
      <c r="A26" s="1" t="s">
        <v>28</v>
      </c>
      <c r="B26" s="2">
        <f>POR_NUMERO_CLIENTES( LAMBDA(col, NETO(MICELDA(25, col) , 21)))</f>
        <v>398.3471074</v>
      </c>
      <c r="C26" s="2">
        <v>919.00826446281</v>
      </c>
      <c r="D26" s="2">
        <v>1801.6528925619834</v>
      </c>
      <c r="E26" s="2">
        <v>2806.6115702479337</v>
      </c>
      <c r="F26" s="2">
        <v>4209.917355371901</v>
      </c>
      <c r="G26" s="2">
        <v>6011.570247933884</v>
      </c>
      <c r="H26" s="2">
        <v>8116.528925619835</v>
      </c>
      <c r="I26" s="2">
        <v>10524.793388429753</v>
      </c>
      <c r="J26" s="2">
        <v>13331.404958677685</v>
      </c>
      <c r="K26" s="2">
        <v>16536.363636363636</v>
      </c>
      <c r="L26" s="2">
        <v>21049.586776859505</v>
      </c>
      <c r="M26" s="2">
        <v>26359.504132231406</v>
      </c>
      <c r="N26" s="2">
        <v>31574.380165289258</v>
      </c>
      <c r="O26" s="2">
        <v>35082.64462809917</v>
      </c>
      <c r="P26" s="2">
        <v>42099.17355371901</v>
      </c>
      <c r="Q26" s="2">
        <v>52623.96694214876</v>
      </c>
      <c r="R26" s="2">
        <v>70165.28925619835</v>
      </c>
      <c r="S26" s="2">
        <v>105247.93388429753</v>
      </c>
    </row>
    <row r="27">
      <c r="A27" s="1" t="s">
        <v>29</v>
      </c>
    </row>
    <row r="28">
      <c r="A28" s="1" t="s">
        <v>30</v>
      </c>
      <c r="B28" s="2">
        <f>POR_NUMERO_CLIENTES(LAMBDA(col, MICELDA(17,col)* $B$6))</f>
        <v>320</v>
      </c>
      <c r="C28" s="2">
        <v>720.0</v>
      </c>
      <c r="D28" s="2">
        <v>1440.0</v>
      </c>
      <c r="E28" s="2">
        <v>2240.0</v>
      </c>
      <c r="F28" s="2">
        <v>3360.0</v>
      </c>
      <c r="G28" s="2">
        <v>4800.0</v>
      </c>
      <c r="H28" s="2">
        <v>6480.0</v>
      </c>
      <c r="I28" s="2">
        <v>8400.0</v>
      </c>
      <c r="J28" s="2">
        <v>10640.0</v>
      </c>
      <c r="K28" s="2">
        <v>13200.0</v>
      </c>
      <c r="L28" s="2">
        <v>16800.0</v>
      </c>
      <c r="M28" s="2">
        <v>21040.0</v>
      </c>
      <c r="N28" s="2">
        <v>25200.0</v>
      </c>
      <c r="O28" s="2">
        <v>28000.0</v>
      </c>
      <c r="P28" s="2">
        <v>33600.0</v>
      </c>
      <c r="Q28" s="2">
        <v>42000.0</v>
      </c>
      <c r="R28" s="2">
        <v>56000.0</v>
      </c>
      <c r="S28" s="2">
        <v>84000.0</v>
      </c>
    </row>
    <row r="29">
      <c r="A29" s="1" t="s">
        <v>31</v>
      </c>
      <c r="B29" s="2">
        <f>POR_NUMERO_CLIENTES(LAMBDA(col, MICELDA(18,col)* $B$7))</f>
        <v>1500</v>
      </c>
      <c r="C29" s="2">
        <v>3900.0</v>
      </c>
      <c r="D29" s="2">
        <v>7500.0</v>
      </c>
      <c r="E29" s="2">
        <v>12000.0</v>
      </c>
      <c r="F29" s="2">
        <v>18000.0</v>
      </c>
      <c r="G29" s="2">
        <v>25500.0</v>
      </c>
      <c r="H29" s="2">
        <v>34500.0</v>
      </c>
      <c r="I29" s="2">
        <v>45000.0</v>
      </c>
      <c r="J29" s="2">
        <v>57000.0</v>
      </c>
      <c r="K29" s="2">
        <v>70500.0</v>
      </c>
      <c r="L29" s="2">
        <v>90000.0</v>
      </c>
      <c r="M29" s="2">
        <v>112500.0</v>
      </c>
      <c r="N29" s="2">
        <v>135000.0</v>
      </c>
      <c r="O29" s="2">
        <v>150000.0</v>
      </c>
      <c r="P29" s="2">
        <v>180000.0</v>
      </c>
      <c r="Q29" s="2">
        <v>225000.0</v>
      </c>
      <c r="R29" s="2">
        <v>300000.0</v>
      </c>
      <c r="S29" s="2">
        <v>450000.0</v>
      </c>
    </row>
    <row r="30">
      <c r="A30" s="1" t="s">
        <v>32</v>
      </c>
      <c r="B30" s="2">
        <f>POR_NUMERO_CLIENTES(LAMBDA(col, MICELDA(19,col)* $B$8))</f>
        <v>2400</v>
      </c>
      <c r="C30" s="2">
        <v>4800.0</v>
      </c>
      <c r="D30" s="2">
        <v>9600.0</v>
      </c>
      <c r="E30" s="2">
        <v>14400.0</v>
      </c>
      <c r="F30" s="2">
        <v>21600.0</v>
      </c>
      <c r="G30" s="2">
        <v>31200.0</v>
      </c>
      <c r="H30" s="2">
        <v>42000.0</v>
      </c>
      <c r="I30" s="2">
        <v>54000.0</v>
      </c>
      <c r="J30" s="2">
        <v>68400.0</v>
      </c>
      <c r="K30" s="2">
        <v>85200.0</v>
      </c>
      <c r="L30" s="2">
        <v>108000.0</v>
      </c>
      <c r="M30" s="2">
        <v>135600.0</v>
      </c>
      <c r="N30" s="2">
        <v>162000.0</v>
      </c>
      <c r="O30" s="2">
        <v>180000.0</v>
      </c>
      <c r="P30" s="2">
        <v>216000.0</v>
      </c>
      <c r="Q30" s="2">
        <v>270000.0</v>
      </c>
      <c r="R30" s="2">
        <v>360000.0</v>
      </c>
      <c r="S30" s="2">
        <v>540000.0</v>
      </c>
    </row>
    <row r="31">
      <c r="A31" s="1" t="s">
        <v>33</v>
      </c>
      <c r="B31" s="1">
        <f t="array" ref="B31:S31">POR_NUMERO_CLIENTES(LAMBDA(col, SUM(INDEX($28:$30,,col))))</f>
        <v>4220</v>
      </c>
      <c r="C31" s="2">
        <v>9420.0</v>
      </c>
      <c r="D31" s="2">
        <v>18540.0</v>
      </c>
      <c r="E31" s="2">
        <v>28640.0</v>
      </c>
      <c r="F31" s="2">
        <v>42960.0</v>
      </c>
      <c r="G31" s="2">
        <v>61500.0</v>
      </c>
      <c r="H31" s="2">
        <v>82980.0</v>
      </c>
      <c r="I31" s="2">
        <v>107400.0</v>
      </c>
      <c r="J31" s="2">
        <v>136040.0</v>
      </c>
      <c r="K31" s="2">
        <v>168900.0</v>
      </c>
      <c r="L31" s="2">
        <v>214800.0</v>
      </c>
      <c r="M31" s="2">
        <v>269140.0</v>
      </c>
      <c r="N31" s="2">
        <v>322200.0</v>
      </c>
      <c r="O31" s="2">
        <v>358000.0</v>
      </c>
      <c r="P31" s="2">
        <v>429600.0</v>
      </c>
      <c r="Q31" s="2">
        <v>537000.0</v>
      </c>
      <c r="R31" s="2">
        <v>716000.0</v>
      </c>
      <c r="S31" s="2">
        <v>1074000.0</v>
      </c>
    </row>
    <row r="32">
      <c r="A32" s="1" t="s">
        <v>34</v>
      </c>
    </row>
    <row r="33">
      <c r="A33" s="1" t="s">
        <v>35</v>
      </c>
      <c r="B33" s="2">
        <f>POR_NUMERO_CLIENTES(LAMBDA(col, COSTO_VARIABLE_DE_INGRESO(MICELDA(26, col), Costes_Variables!B10)))</f>
        <v>113.5289256</v>
      </c>
      <c r="C33" s="2">
        <v>261.91735537190084</v>
      </c>
      <c r="D33" s="2">
        <v>513.4710743801653</v>
      </c>
      <c r="E33" s="2">
        <v>799.8842975206611</v>
      </c>
      <c r="F33" s="2">
        <v>1199.8264462809918</v>
      </c>
      <c r="G33" s="2">
        <v>1713.297520661157</v>
      </c>
      <c r="H33" s="2">
        <v>2313.210743801653</v>
      </c>
      <c r="I33" s="2">
        <v>2999.5661157024797</v>
      </c>
      <c r="J33" s="2">
        <v>3799.4504132231405</v>
      </c>
      <c r="K33" s="2">
        <v>4712.863636363636</v>
      </c>
      <c r="L33" s="2">
        <v>5999.132231404959</v>
      </c>
      <c r="M33" s="2">
        <v>7512.458677685951</v>
      </c>
      <c r="N33" s="2">
        <v>8998.698347107438</v>
      </c>
      <c r="O33" s="2">
        <v>9998.553719008265</v>
      </c>
      <c r="P33" s="2">
        <v>11998.264462809919</v>
      </c>
      <c r="Q33" s="2">
        <v>14997.830578512398</v>
      </c>
      <c r="R33" s="2">
        <v>19997.10743801653</v>
      </c>
      <c r="S33" s="2">
        <v>29995.661157024795</v>
      </c>
    </row>
    <row r="34">
      <c r="A34" s="1" t="s">
        <v>36</v>
      </c>
      <c r="B34" s="2">
        <f>POR_NUMERO_CLIENTES(LAMBDA(col, COSTE_VARIABLE_POR_TRANSACCION(MICELDA(20, col), Costes_Variables!B13)))</f>
        <v>2.75</v>
      </c>
      <c r="C34" s="2">
        <v>6.5</v>
      </c>
      <c r="D34" s="2">
        <v>12.75</v>
      </c>
      <c r="E34" s="2">
        <v>20.0</v>
      </c>
      <c r="F34" s="2">
        <v>30.0</v>
      </c>
      <c r="G34" s="2">
        <v>42.75</v>
      </c>
      <c r="H34" s="2">
        <v>57.75</v>
      </c>
      <c r="I34" s="2">
        <v>75.0</v>
      </c>
      <c r="J34" s="2">
        <v>95.0</v>
      </c>
      <c r="K34" s="2">
        <v>117.75</v>
      </c>
      <c r="L34" s="2">
        <v>150.0</v>
      </c>
      <c r="M34" s="2">
        <v>187.75</v>
      </c>
      <c r="N34" s="2">
        <v>225.0</v>
      </c>
      <c r="O34" s="2">
        <v>250.0</v>
      </c>
      <c r="P34" s="2">
        <v>300.0</v>
      </c>
      <c r="Q34" s="2">
        <v>375.0</v>
      </c>
      <c r="R34" s="2">
        <v>500.0</v>
      </c>
      <c r="S34" s="2">
        <v>750.0</v>
      </c>
    </row>
    <row r="35">
      <c r="A35" s="1" t="s">
        <v>37</v>
      </c>
      <c r="B35" s="2">
        <f>POR_NUMERO_CLIENTES(LAMBDA(col, COSTE_VARIABLE_POR_SMS(MICELDA(31, col), Costes_Variables!B23)))</f>
        <v>131.1998</v>
      </c>
      <c r="C35" s="2">
        <v>292.8678</v>
      </c>
      <c r="D35" s="2">
        <v>576.4086</v>
      </c>
      <c r="E35" s="2">
        <v>890.4176</v>
      </c>
      <c r="F35" s="2">
        <v>1335.6263999999999</v>
      </c>
      <c r="G35" s="2">
        <v>1912.035</v>
      </c>
      <c r="H35" s="2">
        <v>2579.8482</v>
      </c>
      <c r="I35" s="2">
        <v>3339.066</v>
      </c>
      <c r="J35" s="2">
        <v>4229.4836</v>
      </c>
      <c r="K35" s="2">
        <v>5251.101</v>
      </c>
      <c r="L35" s="2">
        <v>6678.132</v>
      </c>
      <c r="M35" s="2">
        <v>8367.5626</v>
      </c>
      <c r="N35" s="2">
        <v>10017.198</v>
      </c>
      <c r="O35" s="2">
        <v>11130.22</v>
      </c>
      <c r="P35" s="2">
        <v>13356.264</v>
      </c>
      <c r="Q35" s="2">
        <v>16695.329999999998</v>
      </c>
      <c r="R35" s="2">
        <v>22260.44</v>
      </c>
      <c r="S35" s="2">
        <v>33390.659999999996</v>
      </c>
    </row>
    <row r="36">
      <c r="A36" s="1" t="s">
        <v>38</v>
      </c>
      <c r="B36" s="1">
        <f t="array" ref="B36:S36">POR_NUMERO_CLIENTES(LAMBDA(col, SUM(INDEX($33:$35,,col))))</f>
        <v>247.4787256</v>
      </c>
      <c r="C36" s="2">
        <v>561.2851553719008</v>
      </c>
      <c r="D36" s="2">
        <v>1102.6296743801654</v>
      </c>
      <c r="E36" s="2">
        <v>1710.301897520661</v>
      </c>
      <c r="F36" s="2">
        <v>2565.4528462809917</v>
      </c>
      <c r="G36" s="2">
        <v>3668.082520661157</v>
      </c>
      <c r="H36" s="2">
        <v>4950.808943801652</v>
      </c>
      <c r="I36" s="2">
        <v>6413.6321157024795</v>
      </c>
      <c r="J36" s="2">
        <v>8123.93401322314</v>
      </c>
      <c r="K36" s="2">
        <v>10081.714636363635</v>
      </c>
      <c r="L36" s="2">
        <v>12827.264231404959</v>
      </c>
      <c r="M36" s="2">
        <v>16067.771277685952</v>
      </c>
      <c r="N36" s="2">
        <v>19240.89634710744</v>
      </c>
      <c r="O36" s="2">
        <v>21378.773719008263</v>
      </c>
      <c r="P36" s="2">
        <v>25654.528462809918</v>
      </c>
      <c r="Q36" s="2">
        <v>32068.160578512397</v>
      </c>
      <c r="R36" s="2">
        <v>42757.547438016525</v>
      </c>
      <c r="S36" s="2">
        <v>64136.321157024795</v>
      </c>
    </row>
    <row r="37">
      <c r="A37" s="1" t="s">
        <v>39</v>
      </c>
      <c r="B37" s="2">
        <f>POR_NUMERO_CLIENTES( LAMBDA(col, NETO(MICELDA(36, col) , 21)))</f>
        <v>204.5278724</v>
      </c>
      <c r="C37" s="2">
        <v>463.8720292329759</v>
      </c>
      <c r="D37" s="2">
        <v>911.264193702616</v>
      </c>
      <c r="E37" s="2">
        <v>1413.4726425790586</v>
      </c>
      <c r="F37" s="2">
        <v>2120.2089638685884</v>
      </c>
      <c r="G37" s="2">
        <v>3031.4731575712044</v>
      </c>
      <c r="H37" s="2">
        <v>4091.5776395054977</v>
      </c>
      <c r="I37" s="2">
        <v>5300.522409671471</v>
      </c>
      <c r="J37" s="2">
        <v>6713.995052250529</v>
      </c>
      <c r="K37" s="2">
        <v>8331.995567242673</v>
      </c>
      <c r="L37" s="2">
        <v>10601.044819342942</v>
      </c>
      <c r="M37" s="2">
        <v>13279.149816269382</v>
      </c>
      <c r="N37" s="2">
        <v>15901.567229014412</v>
      </c>
      <c r="O37" s="2">
        <v>17668.408032238232</v>
      </c>
      <c r="P37" s="2">
        <v>21202.089638685884</v>
      </c>
      <c r="Q37" s="2">
        <v>26502.612048357354</v>
      </c>
      <c r="R37" s="2">
        <v>35336.816064476465</v>
      </c>
      <c r="S37" s="2">
        <v>53005.22409671471</v>
      </c>
    </row>
    <row r="38">
      <c r="A38" s="1" t="s">
        <v>40</v>
      </c>
      <c r="B38" s="1" t="s">
        <v>41</v>
      </c>
      <c r="C38" s="1" t="s">
        <v>41</v>
      </c>
      <c r="D38" s="1" t="s">
        <v>41</v>
      </c>
      <c r="E38" s="1" t="s">
        <v>41</v>
      </c>
      <c r="F38" s="1" t="s">
        <v>41</v>
      </c>
      <c r="G38" s="1" t="s">
        <v>41</v>
      </c>
      <c r="H38" s="1" t="s">
        <v>41</v>
      </c>
      <c r="I38" s="1" t="s">
        <v>41</v>
      </c>
      <c r="J38" s="1" t="s">
        <v>41</v>
      </c>
      <c r="K38" s="1" t="s">
        <v>41</v>
      </c>
      <c r="L38" s="1" t="s">
        <v>41</v>
      </c>
      <c r="M38" s="1" t="s">
        <v>41</v>
      </c>
      <c r="N38" s="1" t="s">
        <v>41</v>
      </c>
      <c r="O38" s="1" t="s">
        <v>41</v>
      </c>
      <c r="P38" s="1" t="s">
        <v>41</v>
      </c>
      <c r="Q38" s="1" t="s">
        <v>41</v>
      </c>
      <c r="R38" s="1" t="s">
        <v>41</v>
      </c>
      <c r="S38" s="1" t="s">
        <v>41</v>
      </c>
    </row>
    <row r="39">
      <c r="A39" s="3" t="s">
        <v>42</v>
      </c>
      <c r="B39" s="6"/>
      <c r="C39" s="6"/>
      <c r="D39" s="6"/>
      <c r="E39" s="6"/>
      <c r="F39" s="6"/>
      <c r="G39" s="1"/>
      <c r="I39" s="1"/>
    </row>
    <row r="40">
      <c r="A40" s="1" t="s">
        <v>43</v>
      </c>
      <c r="B40" s="2">
        <f>POR_NUMERO_CLIENTES( LAMBDA(col, MICELDA(25, col)))</f>
        <v>482</v>
      </c>
      <c r="C40" s="2">
        <v>1112.0</v>
      </c>
      <c r="D40" s="2">
        <v>2180.0</v>
      </c>
      <c r="E40" s="2">
        <v>3396.0</v>
      </c>
      <c r="F40" s="2">
        <v>5094.0</v>
      </c>
      <c r="G40" s="1">
        <v>7274.0</v>
      </c>
      <c r="H40" s="2">
        <v>9821.0</v>
      </c>
      <c r="I40" s="1">
        <v>12735.0</v>
      </c>
      <c r="J40" s="2">
        <v>16131.0</v>
      </c>
      <c r="K40" s="2">
        <v>20009.0</v>
      </c>
      <c r="L40" s="2">
        <v>25470.0</v>
      </c>
      <c r="M40" s="2">
        <v>31895.0</v>
      </c>
      <c r="N40" s="2">
        <v>38205.0</v>
      </c>
      <c r="O40" s="2">
        <v>42450.0</v>
      </c>
      <c r="P40" s="2">
        <v>50940.0</v>
      </c>
      <c r="Q40" s="2">
        <v>63675.0</v>
      </c>
      <c r="R40" s="2">
        <v>84900.0</v>
      </c>
      <c r="S40" s="2">
        <v>127350.0</v>
      </c>
    </row>
    <row r="41">
      <c r="A41" s="1" t="s">
        <v>44</v>
      </c>
      <c r="B41" s="2">
        <f>POR_NUMERO_CLIENTES(LAMBDA(col, MICELDA(26, col)))</f>
        <v>398.3471074</v>
      </c>
      <c r="C41" s="2">
        <v>919.00826446281</v>
      </c>
      <c r="D41" s="2">
        <v>1801.6528925619834</v>
      </c>
      <c r="E41" s="2">
        <v>2806.6115702479337</v>
      </c>
      <c r="F41" s="2">
        <v>4209.917355371901</v>
      </c>
      <c r="G41" s="1">
        <v>6011.570247933884</v>
      </c>
      <c r="H41" s="2">
        <v>8116.528925619835</v>
      </c>
      <c r="I41" s="1">
        <v>10524.793388429753</v>
      </c>
      <c r="J41" s="2">
        <v>13331.404958677685</v>
      </c>
      <c r="K41" s="2">
        <v>16536.363636363636</v>
      </c>
      <c r="L41" s="2">
        <v>21049.586776859505</v>
      </c>
      <c r="M41" s="2">
        <v>26359.504132231406</v>
      </c>
      <c r="N41" s="2">
        <v>31574.380165289258</v>
      </c>
      <c r="O41" s="2">
        <v>35082.64462809917</v>
      </c>
      <c r="P41" s="2">
        <v>42099.17355371901</v>
      </c>
      <c r="Q41" s="2">
        <v>52623.96694214876</v>
      </c>
      <c r="R41" s="2">
        <v>70165.28925619835</v>
      </c>
      <c r="S41" s="2">
        <v>105247.93388429753</v>
      </c>
    </row>
    <row r="42">
      <c r="A42" s="3" t="s">
        <v>45</v>
      </c>
      <c r="B42" s="4">
        <f>POR_NUMERO_CLIENTES(LAMBDA(col, $B$12+MICELDA(37, col)))</f>
        <v>4116.959002</v>
      </c>
      <c r="C42" s="4">
        <v>4376.30315870956</v>
      </c>
      <c r="D42" s="4">
        <v>4823.6953231792</v>
      </c>
      <c r="E42" s="4">
        <v>5325.903772055643</v>
      </c>
      <c r="F42" s="4">
        <v>6032.640093345173</v>
      </c>
      <c r="G42" s="1">
        <v>6943.904287047789</v>
      </c>
      <c r="H42" s="2">
        <v>8004.008768982082</v>
      </c>
      <c r="I42" s="1">
        <v>9212.953539148055</v>
      </c>
      <c r="J42" s="2">
        <v>10626.426181727113</v>
      </c>
      <c r="K42" s="2">
        <v>12244.426696719258</v>
      </c>
      <c r="L42" s="2">
        <v>14513.475948819527</v>
      </c>
      <c r="M42" s="2">
        <v>17191.580945745965</v>
      </c>
      <c r="N42" s="2">
        <v>19813.998358490997</v>
      </c>
      <c r="O42" s="2">
        <v>21580.839161714815</v>
      </c>
      <c r="P42" s="2">
        <v>25114.520768162467</v>
      </c>
      <c r="Q42" s="2">
        <v>30415.043177833937</v>
      </c>
      <c r="R42" s="2">
        <v>39249.24719395305</v>
      </c>
      <c r="S42" s="2">
        <v>56917.655226191295</v>
      </c>
    </row>
    <row r="43">
      <c r="A43" s="6" t="s">
        <v>46</v>
      </c>
      <c r="B43" s="4">
        <f>POR_NUMERO_CLIENTES(LAMBDA(col, EBITDA(MICELDA(41, col), MICELDA(42, col))))</f>
        <v>-3718.611894</v>
      </c>
      <c r="C43" s="4">
        <v>-3457.29489424675</v>
      </c>
      <c r="D43" s="4">
        <v>-3022.042430617217</v>
      </c>
      <c r="E43" s="4">
        <v>-2519.292201807709</v>
      </c>
      <c r="F43" s="4">
        <v>-1822.7227379732722</v>
      </c>
      <c r="G43" s="2">
        <v>-932.3340391139045</v>
      </c>
      <c r="H43" s="2">
        <v>112.52015663775273</v>
      </c>
      <c r="I43" s="2">
        <v>1311.8398492816978</v>
      </c>
      <c r="J43" s="2">
        <v>2704.978776950573</v>
      </c>
      <c r="K43" s="2">
        <v>4291.936939644378</v>
      </c>
      <c r="L43" s="2">
        <v>6536.1108280399785</v>
      </c>
      <c r="M43" s="2">
        <v>9167.923186485441</v>
      </c>
      <c r="N43" s="2">
        <v>11760.381806798261</v>
      </c>
      <c r="O43" s="2">
        <v>13501.805466384358</v>
      </c>
      <c r="P43" s="2">
        <v>16984.652785556544</v>
      </c>
      <c r="Q43" s="2">
        <v>22208.923764314826</v>
      </c>
      <c r="R43" s="2">
        <v>30916.042062245295</v>
      </c>
      <c r="S43" s="2">
        <v>48330.27865810623</v>
      </c>
    </row>
    <row r="44">
      <c r="A44" s="1" t="s">
        <v>47</v>
      </c>
      <c r="B44" s="2">
        <f>POR_NUMERO_CLIENTES(LAMBDA(col, COSTE_VARIABLE_COGS(MICELDA(26, col), Costes_Variables!B11, MICELDA(20, col), Costes_Variables!B20, MICELDA(31, col), Costes_Variables!B23)))</f>
        <v>227.5613702</v>
      </c>
      <c r="C44" s="2">
        <v>515.3347421487604</v>
      </c>
      <c r="D44" s="2">
        <v>1012.547029752066</v>
      </c>
      <c r="E44" s="2">
        <v>1569.9713190082643</v>
      </c>
      <c r="F44" s="2">
        <v>2354.9569785123967</v>
      </c>
      <c r="G44" s="2">
        <v>3367.5040082644628</v>
      </c>
      <c r="H44" s="2">
        <v>4544.982497520661</v>
      </c>
      <c r="I44" s="2">
        <v>5887.392446280992</v>
      </c>
      <c r="J44" s="2">
        <v>7457.363765289256</v>
      </c>
      <c r="K44" s="2">
        <v>9254.896454545455</v>
      </c>
      <c r="L44" s="2">
        <v>11774.784892561984</v>
      </c>
      <c r="M44" s="2">
        <v>14749.79607107438</v>
      </c>
      <c r="N44" s="2">
        <v>17662.177338842976</v>
      </c>
      <c r="O44" s="2">
        <v>19624.641487603305</v>
      </c>
      <c r="P44" s="2">
        <v>23549.569785123967</v>
      </c>
      <c r="Q44" s="2">
        <v>29436.962231404956</v>
      </c>
      <c r="R44" s="2">
        <v>39249.28297520661</v>
      </c>
      <c r="S44" s="2">
        <v>58873.92446280991</v>
      </c>
    </row>
    <row r="45">
      <c r="A45" s="1" t="s">
        <v>48</v>
      </c>
      <c r="B45" s="7">
        <f>POR_NUMERO_CLIENTES(LAMBDA(col, MARGEN_NETO_PORCENTAGE(MICELDA(43, col), MICELDA(41, col))))</f>
        <v>-9.335104548</v>
      </c>
      <c r="C45" s="7">
        <v>-3.7619845521929562</v>
      </c>
      <c r="D45" s="7">
        <v>-1.677372174792125</v>
      </c>
      <c r="E45" s="7">
        <v>-0.8976276690775405</v>
      </c>
      <c r="F45" s="7">
        <v>-0.43295926834465237</v>
      </c>
      <c r="G45" s="7">
        <v>-0.15508993501894755</v>
      </c>
      <c r="H45" s="7">
        <v>0.013863088232530374</v>
      </c>
      <c r="I45" s="7">
        <v>0.12464281253481384</v>
      </c>
      <c r="J45" s="7">
        <v>0.20290275371087926</v>
      </c>
      <c r="K45" s="7">
        <v>0.2595453894232444</v>
      </c>
      <c r="L45" s="7">
        <v>0.3105101728279691</v>
      </c>
      <c r="M45" s="7">
        <v>0.3478033251496279</v>
      </c>
      <c r="N45" s="7">
        <v>0.3724659595923543</v>
      </c>
      <c r="O45" s="7">
        <v>0.3848571169452314</v>
      </c>
      <c r="P45" s="7">
        <v>0.4034438529745469</v>
      </c>
      <c r="Q45" s="7">
        <v>0.4220305890038624</v>
      </c>
      <c r="R45" s="7">
        <v>0.44061732503317796</v>
      </c>
      <c r="S45" s="7">
        <v>0.4592040610624934</v>
      </c>
    </row>
    <row r="46">
      <c r="A46" s="1" t="s">
        <v>49</v>
      </c>
    </row>
    <row r="47">
      <c r="A47" s="1" t="s">
        <v>50</v>
      </c>
      <c r="B47" s="2">
        <f>POR_NUMERO_CLIENTES(LAMBDA(col, MICELDA(40, col) - MICELDA(41, col)))</f>
        <v>83.65289256</v>
      </c>
      <c r="C47" s="2">
        <v>192.99173553719004</v>
      </c>
      <c r="D47" s="2">
        <v>378.34710743801656</v>
      </c>
      <c r="E47" s="2">
        <v>589.3884297520663</v>
      </c>
      <c r="F47" s="2">
        <v>884.0826446280989</v>
      </c>
      <c r="G47" s="2">
        <v>1262.4297520661157</v>
      </c>
      <c r="H47" s="2">
        <v>1704.4710743801652</v>
      </c>
      <c r="I47" s="2">
        <v>2210.2066115702473</v>
      </c>
      <c r="J47" s="2">
        <v>2799.5950413223145</v>
      </c>
      <c r="K47" s="2">
        <v>3472.636363636364</v>
      </c>
      <c r="L47" s="2">
        <v>4420.413223140495</v>
      </c>
      <c r="M47" s="2">
        <v>5535.495867768594</v>
      </c>
      <c r="N47" s="2">
        <v>6630.619834710742</v>
      </c>
      <c r="O47" s="2">
        <v>7367.355371900827</v>
      </c>
      <c r="P47" s="2">
        <v>8840.82644628099</v>
      </c>
      <c r="Q47" s="2">
        <v>11051.033057851237</v>
      </c>
      <c r="R47" s="2">
        <v>14734.710743801654</v>
      </c>
      <c r="S47" s="2">
        <v>22102.066115702473</v>
      </c>
    </row>
    <row r="48">
      <c r="A48" s="1" t="s">
        <v>51</v>
      </c>
      <c r="B48" s="2">
        <f>POR_NUMERO_CLIENTES(LAMBDA(col, IVA(MICELDA(42, col))))</f>
        <v>714.5135458</v>
      </c>
      <c r="C48" s="2">
        <v>759.523688701659</v>
      </c>
      <c r="D48" s="2">
        <v>837.1702627005225</v>
      </c>
      <c r="E48" s="2">
        <v>924.3304067204008</v>
      </c>
      <c r="F48" s="2">
        <v>1046.9871236384188</v>
      </c>
      <c r="G48" s="2">
        <v>1205.1404134545746</v>
      </c>
      <c r="H48" s="2">
        <v>1389.1254888316007</v>
      </c>
      <c r="I48" s="2">
        <v>1598.942349769497</v>
      </c>
      <c r="J48" s="2">
        <v>1844.2557836055312</v>
      </c>
      <c r="K48" s="2">
        <v>2125.065790339706</v>
      </c>
      <c r="L48" s="2">
        <v>2518.8677266546274</v>
      </c>
      <c r="M48" s="2">
        <v>2983.6628087658282</v>
      </c>
      <c r="N48" s="2">
        <v>3438.7931035397596</v>
      </c>
      <c r="O48" s="2">
        <v>3745.434895834802</v>
      </c>
      <c r="P48" s="2">
        <v>4358.71848042489</v>
      </c>
      <c r="Q48" s="2">
        <v>5278.64385731002</v>
      </c>
      <c r="R48" s="2">
        <v>6811.852818785239</v>
      </c>
      <c r="S48" s="2">
        <v>9878.27074173568</v>
      </c>
    </row>
    <row r="49">
      <c r="A49" s="1" t="s">
        <v>52</v>
      </c>
      <c r="B49" s="2">
        <f>POR_NUMERO_CLIENTES(LAMBDA(col, IVA_A_PAGAR(MICELDA(47, col), MICELDA(48, col))))</f>
        <v>-630.8606532</v>
      </c>
      <c r="C49" s="2">
        <v>-566.531953164469</v>
      </c>
      <c r="D49" s="2">
        <v>-458.8231552625059</v>
      </c>
      <c r="E49" s="2">
        <v>-334.94197696833453</v>
      </c>
      <c r="F49" s="2">
        <v>-162.90447901031985</v>
      </c>
      <c r="G49" s="2">
        <v>57.2893386115411</v>
      </c>
      <c r="H49" s="2">
        <v>315.3455855485645</v>
      </c>
      <c r="I49" s="2">
        <v>611.2642618007503</v>
      </c>
      <c r="J49" s="2">
        <v>955.3392577167833</v>
      </c>
      <c r="K49" s="2">
        <v>1347.570573296658</v>
      </c>
      <c r="L49" s="2">
        <v>1901.5454964858673</v>
      </c>
      <c r="M49" s="2">
        <v>2551.8330590027654</v>
      </c>
      <c r="N49" s="2">
        <v>3191.8267311709824</v>
      </c>
      <c r="O49" s="2">
        <v>3621.920476066025</v>
      </c>
      <c r="P49" s="2">
        <v>4482.107965856099</v>
      </c>
      <c r="Q49" s="2">
        <v>5772.389200541216</v>
      </c>
      <c r="R49" s="2">
        <v>7922.857925016415</v>
      </c>
      <c r="S49" s="2">
        <v>12223.795373966794</v>
      </c>
    </row>
    <row r="50">
      <c r="A50" s="3" t="s">
        <v>53</v>
      </c>
      <c r="B50" s="4">
        <f>POR_NUMERO_CLIENTES(LAMBDA(col, IRPF(MICELDA(43, col), irpf_limites, irpf_tipos)))</f>
        <v>0</v>
      </c>
      <c r="C50" s="4">
        <v>0.0</v>
      </c>
      <c r="D50" s="4">
        <v>0.0</v>
      </c>
      <c r="E50" s="4">
        <v>0.0</v>
      </c>
      <c r="F50" s="4">
        <v>0.0</v>
      </c>
      <c r="G50" s="2">
        <v>0.0</v>
      </c>
      <c r="H50" s="2">
        <v>20.253628194795493</v>
      </c>
      <c r="I50" s="2">
        <v>236.1311728707056</v>
      </c>
      <c r="J50" s="2">
        <v>486.8961798511031</v>
      </c>
      <c r="K50" s="2">
        <v>772.5486491359881</v>
      </c>
      <c r="L50" s="2">
        <v>1176.4999490471962</v>
      </c>
      <c r="M50" s="2">
        <v>1650.2261735673794</v>
      </c>
      <c r="N50" s="2">
        <v>2116.868725223687</v>
      </c>
      <c r="O50" s="2">
        <v>2459.6958408692494</v>
      </c>
      <c r="P50" s="2">
        <v>3250.3021823213357</v>
      </c>
      <c r="Q50" s="2">
        <v>4563.782806479522</v>
      </c>
      <c r="R50" s="2">
        <v>6984.361693304192</v>
      </c>
      <c r="S50" s="2">
        <v>12878.722038260137</v>
      </c>
    </row>
    <row r="51">
      <c r="A51" s="1" t="s">
        <v>54</v>
      </c>
      <c r="B51" s="1">
        <f>POR_NUMERO_CLIENTES(LAMBDA(col, MICELDA(43, col)-MICELDA(50, col)))</f>
        <v>-3718.611894</v>
      </c>
      <c r="C51" s="2">
        <v>-3457.29489424675</v>
      </c>
      <c r="D51" s="2">
        <v>-3022.042430617217</v>
      </c>
      <c r="E51" s="2">
        <v>-2519.292201807709</v>
      </c>
      <c r="F51" s="2">
        <v>-1822.7227379732722</v>
      </c>
      <c r="G51" s="2">
        <v>-932.3340391139045</v>
      </c>
      <c r="H51" s="2">
        <v>92.26652844295724</v>
      </c>
      <c r="I51" s="2">
        <v>1075.7086764109922</v>
      </c>
      <c r="J51" s="2">
        <v>2218.0825970994697</v>
      </c>
      <c r="K51" s="2">
        <v>3519.38829050839</v>
      </c>
      <c r="L51" s="2">
        <v>5359.610878992782</v>
      </c>
      <c r="M51" s="2">
        <v>7517.697012918062</v>
      </c>
      <c r="N51" s="2">
        <v>9643.513081574574</v>
      </c>
      <c r="O51" s="2">
        <v>11042.109625515108</v>
      </c>
      <c r="P51" s="2">
        <v>13734.350603235209</v>
      </c>
      <c r="Q51" s="2">
        <v>17645.140957835305</v>
      </c>
      <c r="R51" s="2">
        <v>23931.680368941103</v>
      </c>
      <c r="S51" s="2">
        <v>35451.556619846095</v>
      </c>
    </row>
    <row r="52">
      <c r="B52" s="5"/>
      <c r="C52" s="7"/>
      <c r="D52" s="7"/>
      <c r="E52" s="7"/>
      <c r="F52" s="7"/>
      <c r="G52" s="7"/>
      <c r="H52" s="7"/>
      <c r="I52" s="7"/>
      <c r="J52" s="7"/>
      <c r="K52" s="7"/>
      <c r="L52" s="7"/>
      <c r="M52" s="7"/>
      <c r="N52" s="7"/>
      <c r="O52" s="7"/>
      <c r="P52" s="7"/>
      <c r="Q52" s="7"/>
      <c r="R52" s="7"/>
      <c r="S52" s="7"/>
    </row>
    <row r="53">
      <c r="A53" s="3" t="s">
        <v>55</v>
      </c>
      <c r="B53" s="8"/>
      <c r="C53" s="8"/>
      <c r="D53" s="8"/>
      <c r="E53" s="8"/>
      <c r="F53" s="8"/>
    </row>
    <row r="54">
      <c r="A54" s="6" t="s">
        <v>56</v>
      </c>
      <c r="B54" s="4">
        <f>POR_NUMERO_CLIENTES(LAMBDA(col, COSTE_VARIABLE_POR_CLIENTE(MICELDA(37, col),MICELDA(20, col))))</f>
        <v>18.59344295</v>
      </c>
      <c r="C54" s="4">
        <v>17.841231893575994</v>
      </c>
      <c r="D54" s="4">
        <v>17.867925366717962</v>
      </c>
      <c r="E54" s="4">
        <v>17.668408032238233</v>
      </c>
      <c r="F54" s="4">
        <v>17.668408032238236</v>
      </c>
      <c r="G54" s="2">
        <v>17.727913202170786</v>
      </c>
      <c r="H54" s="2">
        <v>17.712457313876612</v>
      </c>
      <c r="I54" s="2">
        <v>17.668408032238236</v>
      </c>
      <c r="J54" s="2">
        <v>17.668408032238233</v>
      </c>
      <c r="K54" s="2">
        <v>17.690011820048138</v>
      </c>
      <c r="L54" s="2">
        <v>17.668408032238236</v>
      </c>
      <c r="M54" s="2">
        <v>17.68195714549851</v>
      </c>
      <c r="N54" s="2">
        <v>17.668408032238236</v>
      </c>
      <c r="O54" s="2">
        <v>17.668408032238233</v>
      </c>
      <c r="P54" s="2">
        <v>17.668408032238236</v>
      </c>
      <c r="Q54" s="2">
        <v>17.668408032238236</v>
      </c>
      <c r="R54" s="2">
        <v>17.668408032238233</v>
      </c>
      <c r="S54" s="2">
        <v>17.668408032238236</v>
      </c>
    </row>
    <row r="55">
      <c r="A55" s="3" t="s">
        <v>57</v>
      </c>
      <c r="B55" s="4">
        <f>POR_NUMERO_CLIENTES(LAMBDA(col, ARPU(MICELDA(41, col), MICELDA(20, col))))</f>
        <v>36.2133734</v>
      </c>
      <c r="C55" s="4">
        <v>35.34647171010808</v>
      </c>
      <c r="D55" s="4">
        <v>35.32652730513693</v>
      </c>
      <c r="E55" s="4">
        <v>35.082644628099175</v>
      </c>
      <c r="F55" s="4">
        <v>35.082644628099175</v>
      </c>
      <c r="G55" s="2">
        <v>35.15538156686482</v>
      </c>
      <c r="H55" s="2">
        <v>35.13648885549712</v>
      </c>
      <c r="I55" s="2">
        <v>35.082644628099175</v>
      </c>
      <c r="J55" s="2">
        <v>35.082644628099175</v>
      </c>
      <c r="K55" s="2">
        <v>35.10905230650454</v>
      </c>
      <c r="L55" s="2">
        <v>35.082644628099175</v>
      </c>
      <c r="M55" s="2">
        <v>35.0992065675518</v>
      </c>
      <c r="N55" s="2">
        <v>35.082644628099175</v>
      </c>
      <c r="O55" s="2">
        <v>35.082644628099175</v>
      </c>
      <c r="P55" s="2">
        <v>35.082644628099175</v>
      </c>
      <c r="Q55" s="2">
        <v>35.082644628099175</v>
      </c>
      <c r="R55" s="2">
        <v>35.082644628099175</v>
      </c>
      <c r="S55" s="2">
        <v>35.082644628099175</v>
      </c>
    </row>
    <row r="56">
      <c r="A56" s="6" t="s">
        <v>58</v>
      </c>
      <c r="B56" s="4">
        <f>POR_NUMERO_CLIENTES(LAMBDA(col, MARGEN_CONTRIBUCION(MICELDA(54, col), MICELDA(55, col))))</f>
        <v>17.61993046</v>
      </c>
      <c r="C56" s="4">
        <v>17.505239816532082</v>
      </c>
      <c r="D56" s="4">
        <v>17.458601938418965</v>
      </c>
      <c r="E56" s="4">
        <v>17.41423659586094</v>
      </c>
      <c r="F56" s="4">
        <v>17.414236595860938</v>
      </c>
      <c r="G56" s="2">
        <v>17.427468364694032</v>
      </c>
      <c r="H56" s="2">
        <v>17.424031541620508</v>
      </c>
      <c r="I56" s="2">
        <v>17.414236595860938</v>
      </c>
      <c r="J56" s="2">
        <v>17.41423659586094</v>
      </c>
      <c r="K56" s="2">
        <v>17.4190404864564</v>
      </c>
      <c r="L56" s="2">
        <v>17.414236595860938</v>
      </c>
      <c r="M56" s="2">
        <v>17.417249422053292</v>
      </c>
      <c r="N56" s="2">
        <v>17.414236595860938</v>
      </c>
      <c r="O56" s="2">
        <v>17.41423659586094</v>
      </c>
      <c r="P56" s="2">
        <v>17.414236595860938</v>
      </c>
      <c r="Q56" s="2">
        <v>17.414236595860938</v>
      </c>
      <c r="R56" s="2">
        <v>17.41423659586094</v>
      </c>
      <c r="S56" s="2">
        <v>17.414236595860938</v>
      </c>
    </row>
    <row r="57">
      <c r="A57" s="1" t="s">
        <v>59</v>
      </c>
      <c r="B57" s="7">
        <f>POR_NUMERO_CLIENTES(LAMBDA(col, MARGEN_CONTRIBUCION_PORCENTAJE(MICELDA(56, col),MICELDA(55, col))))</f>
        <v>0.4865586605</v>
      </c>
      <c r="C57" s="7">
        <v>0.49524716243534106</v>
      </c>
      <c r="D57" s="7">
        <v>0.49420657138524515</v>
      </c>
      <c r="E57" s="7">
        <v>0.4963775331211246</v>
      </c>
      <c r="F57" s="7">
        <v>0.4963775331211245</v>
      </c>
      <c r="G57" s="7">
        <v>0.4957269012013806</v>
      </c>
      <c r="H57" s="7">
        <v>0.4958956375316514</v>
      </c>
      <c r="I57" s="7">
        <v>0.4963775331211245</v>
      </c>
      <c r="J57" s="7">
        <v>0.4963775331211246</v>
      </c>
      <c r="K57" s="7">
        <v>0.49614100472968997</v>
      </c>
      <c r="L57" s="7">
        <v>0.4963775331211245</v>
      </c>
      <c r="M57" s="7">
        <v>0.49622914946900915</v>
      </c>
      <c r="N57" s="7">
        <v>0.4963775331211245</v>
      </c>
      <c r="O57" s="7">
        <v>0.4963775331211246</v>
      </c>
      <c r="P57" s="7">
        <v>0.4963775331211245</v>
      </c>
      <c r="Q57" s="7">
        <v>0.4963775331211245</v>
      </c>
      <c r="R57" s="7">
        <v>0.4963775331211246</v>
      </c>
      <c r="S57" s="7">
        <v>0.4963775331211245</v>
      </c>
    </row>
    <row r="58">
      <c r="A58" s="1" t="s">
        <v>60</v>
      </c>
      <c r="B58" s="2">
        <f>POR_NUMERO_CLIENTES(LAMBDA(col, MRR(MICELDA(41, col), $E$13)))</f>
        <v>398.1479339</v>
      </c>
      <c r="C58" s="2">
        <v>918.5487603305786</v>
      </c>
      <c r="D58" s="2">
        <v>1800.7520661157025</v>
      </c>
      <c r="E58" s="2">
        <v>2805.20826446281</v>
      </c>
      <c r="F58" s="2">
        <v>4207.812396694215</v>
      </c>
      <c r="G58" s="2">
        <v>6008.564462809917</v>
      </c>
      <c r="H58" s="2">
        <v>8112.470661157025</v>
      </c>
      <c r="I58" s="2">
        <v>10519.530991735537</v>
      </c>
      <c r="J58" s="2">
        <v>13324.739256198347</v>
      </c>
      <c r="K58" s="2">
        <v>16528.095454545455</v>
      </c>
      <c r="L58" s="2">
        <v>21039.061983471074</v>
      </c>
      <c r="M58" s="2">
        <v>26346.32438016529</v>
      </c>
      <c r="N58" s="2">
        <v>31558.592975206615</v>
      </c>
      <c r="O58" s="2">
        <v>35065.103305785124</v>
      </c>
      <c r="P58" s="2">
        <v>42078.12396694215</v>
      </c>
      <c r="Q58" s="2">
        <v>52597.65495867769</v>
      </c>
      <c r="R58" s="2">
        <v>70130.20661157025</v>
      </c>
      <c r="S58" s="2">
        <v>105195.30991735538</v>
      </c>
    </row>
    <row r="59">
      <c r="A59" s="1" t="s">
        <v>61</v>
      </c>
      <c r="B59" s="2">
        <f>POR_NUMERO_CLIENTES(LAMBDA(col, MICELDA(58, col)*12))</f>
        <v>4777.775207</v>
      </c>
      <c r="C59" s="2">
        <v>11022.585123966943</v>
      </c>
      <c r="D59" s="2">
        <v>21609.02479338843</v>
      </c>
      <c r="E59" s="2">
        <v>33662.49917355372</v>
      </c>
      <c r="F59" s="2">
        <v>50493.74876033058</v>
      </c>
      <c r="G59" s="2">
        <v>72102.773553719</v>
      </c>
      <c r="H59" s="2">
        <v>97349.64793388429</v>
      </c>
      <c r="I59" s="2">
        <v>126234.37190082645</v>
      </c>
      <c r="J59" s="2">
        <v>159896.87107438018</v>
      </c>
      <c r="K59" s="2">
        <v>198337.14545454545</v>
      </c>
      <c r="L59" s="2">
        <v>252468.7438016529</v>
      </c>
      <c r="M59" s="2">
        <v>316155.8925619835</v>
      </c>
      <c r="N59" s="2">
        <v>378703.1157024794</v>
      </c>
      <c r="O59" s="2">
        <v>420781.23966942145</v>
      </c>
      <c r="P59" s="2">
        <v>504937.4876033058</v>
      </c>
      <c r="Q59" s="2">
        <v>631171.8595041323</v>
      </c>
      <c r="R59" s="2">
        <v>841562.4793388429</v>
      </c>
      <c r="S59" s="2">
        <v>1262343.7190082646</v>
      </c>
    </row>
    <row r="60">
      <c r="A60" s="1" t="s">
        <v>62</v>
      </c>
      <c r="B60" s="2">
        <f>POR_NUMERO_CLIENTES(LAMBDA(col, COSTE_VARIABLE_PARA_CUSTOMER_ADQUISITION(MICELDA(25, col), Costes_Variables!B9)))</f>
        <v>24.1</v>
      </c>
      <c r="C60" s="2">
        <v>55.6</v>
      </c>
      <c r="D60" s="2">
        <v>109.0</v>
      </c>
      <c r="E60" s="2">
        <v>169.8</v>
      </c>
      <c r="F60" s="2">
        <v>254.70000000000002</v>
      </c>
      <c r="G60" s="2">
        <v>363.70000000000005</v>
      </c>
      <c r="H60" s="2">
        <v>491.05</v>
      </c>
      <c r="I60" s="2">
        <v>636.75</v>
      </c>
      <c r="J60" s="2">
        <v>806.5500000000001</v>
      </c>
      <c r="K60" s="2">
        <v>1000.45</v>
      </c>
      <c r="L60" s="2">
        <v>1273.5</v>
      </c>
      <c r="M60" s="2">
        <v>1594.75</v>
      </c>
      <c r="N60" s="2">
        <v>1910.25</v>
      </c>
      <c r="O60" s="2">
        <v>2122.5</v>
      </c>
      <c r="P60" s="2">
        <v>2547.0</v>
      </c>
      <c r="Q60" s="2">
        <v>3183.75</v>
      </c>
      <c r="R60" s="2">
        <v>4245.0</v>
      </c>
      <c r="S60" s="2">
        <v>6367.5</v>
      </c>
    </row>
    <row r="61">
      <c r="A61" s="1" t="s">
        <v>63</v>
      </c>
      <c r="B61" s="2">
        <f>POR_NUMERO_CLIENTES(LAMBDA(col, CAC(MICELDA(60, col),MICELDA(20, col))))</f>
        <v>2.190909091</v>
      </c>
      <c r="C61" s="2">
        <v>2.1384615384615384</v>
      </c>
      <c r="D61" s="2">
        <v>2.1372549019607843</v>
      </c>
      <c r="E61" s="2">
        <v>2.1225</v>
      </c>
      <c r="F61" s="2">
        <v>2.1225</v>
      </c>
      <c r="G61" s="2">
        <v>2.126900584795322</v>
      </c>
      <c r="H61" s="2">
        <v>2.125757575757576</v>
      </c>
      <c r="I61" s="2">
        <v>2.1225</v>
      </c>
      <c r="J61" s="2">
        <v>2.1225</v>
      </c>
      <c r="K61" s="2">
        <v>2.1240976645435246</v>
      </c>
      <c r="L61" s="2">
        <v>2.1225</v>
      </c>
      <c r="M61" s="2">
        <v>2.1235019973368843</v>
      </c>
      <c r="N61" s="2">
        <v>2.1225</v>
      </c>
      <c r="O61" s="2">
        <v>2.1225</v>
      </c>
      <c r="P61" s="2">
        <v>2.1225</v>
      </c>
      <c r="Q61" s="2">
        <v>2.1225</v>
      </c>
      <c r="R61" s="2">
        <v>2.1225</v>
      </c>
      <c r="S61" s="2">
        <v>2.1225</v>
      </c>
    </row>
    <row r="62">
      <c r="A62" s="1" t="s">
        <v>64</v>
      </c>
      <c r="B62" s="2">
        <f>POR_NUMERO_CLIENTES(LAMBDA(col, PAYBACK(MICELDA(61, col),MICELDA(56, col), $E$13)))</f>
        <v>0.1181255307</v>
      </c>
      <c r="C62" s="2">
        <v>0.11605316367159169</v>
      </c>
      <c r="D62" s="2">
        <v>0.11629752279274519</v>
      </c>
      <c r="E62" s="2">
        <v>0.11578888278566613</v>
      </c>
      <c r="F62" s="2">
        <v>0.11578888278566614</v>
      </c>
      <c r="G62" s="2">
        <v>0.1159408534431174</v>
      </c>
      <c r="H62" s="2">
        <v>0.11590140273482757</v>
      </c>
      <c r="I62" s="2">
        <v>0.11578888278566614</v>
      </c>
      <c r="J62" s="2">
        <v>0.11578888278566613</v>
      </c>
      <c r="K62" s="2">
        <v>0.1158440835409559</v>
      </c>
      <c r="L62" s="2">
        <v>0.11578888278566614</v>
      </c>
      <c r="M62" s="2">
        <v>0.11582350626016473</v>
      </c>
      <c r="N62" s="2">
        <v>0.11578888278566614</v>
      </c>
      <c r="O62" s="2">
        <v>0.11578888278566613</v>
      </c>
      <c r="P62" s="2">
        <v>0.11578888278566614</v>
      </c>
      <c r="Q62" s="2">
        <v>0.11578888278566614</v>
      </c>
      <c r="R62" s="2">
        <v>0.11578888278566613</v>
      </c>
      <c r="S62" s="2">
        <v>0.11578888278566614</v>
      </c>
    </row>
    <row r="63">
      <c r="A63" s="1" t="s">
        <v>65</v>
      </c>
      <c r="B63" s="2">
        <f>POR_NUMERO_CLIENTES(LAMBDA(col, LTV(MICELDA(56, col), $B$13)))</f>
        <v>211.4391655</v>
      </c>
      <c r="C63" s="2">
        <v>210.062877798385</v>
      </c>
      <c r="D63" s="2">
        <v>209.50322326102759</v>
      </c>
      <c r="E63" s="2">
        <v>208.9708391503313</v>
      </c>
      <c r="F63" s="2">
        <v>208.97083915033124</v>
      </c>
      <c r="G63" s="2">
        <v>209.12962037632838</v>
      </c>
      <c r="H63" s="2">
        <v>209.0883784994461</v>
      </c>
      <c r="I63" s="2">
        <v>208.97083915033124</v>
      </c>
      <c r="J63" s="2">
        <v>208.9708391503313</v>
      </c>
      <c r="K63" s="2">
        <v>209.0284858374768</v>
      </c>
      <c r="L63" s="2">
        <v>208.97083915033124</v>
      </c>
      <c r="M63" s="2">
        <v>209.00699306463952</v>
      </c>
      <c r="N63" s="2">
        <v>208.97083915033124</v>
      </c>
      <c r="O63" s="2">
        <v>208.9708391503313</v>
      </c>
      <c r="P63" s="2">
        <v>208.97083915033124</v>
      </c>
      <c r="Q63" s="2">
        <v>208.97083915033124</v>
      </c>
      <c r="R63" s="2">
        <v>208.9708391503313</v>
      </c>
      <c r="S63" s="2">
        <v>208.97083915033124</v>
      </c>
    </row>
    <row r="64">
      <c r="A64" s="1" t="s">
        <v>66</v>
      </c>
      <c r="B64" s="2">
        <f>POR_NUMERO_CLIENTES(LAMBDA(col, LTV_POR_CAC(MICELDA(63, col),MICELDA(61, col))))</f>
        <v>96.50750292</v>
      </c>
      <c r="C64" s="2">
        <v>98.23084213593543</v>
      </c>
      <c r="D64" s="2">
        <v>98.024443911123</v>
      </c>
      <c r="E64" s="2">
        <v>98.45504789179331</v>
      </c>
      <c r="F64" s="2">
        <v>98.45504789179328</v>
      </c>
      <c r="G64" s="2">
        <v>98.32599693250522</v>
      </c>
      <c r="H64" s="2">
        <v>98.35946529553415</v>
      </c>
      <c r="I64" s="2">
        <v>98.45504789179328</v>
      </c>
      <c r="J64" s="2">
        <v>98.45504789179331</v>
      </c>
      <c r="K64" s="2">
        <v>98.40813316952529</v>
      </c>
      <c r="L64" s="2">
        <v>98.45504789179328</v>
      </c>
      <c r="M64" s="2">
        <v>98.42561642360512</v>
      </c>
      <c r="N64" s="2">
        <v>98.45504789179328</v>
      </c>
      <c r="O64" s="2">
        <v>98.45504789179331</v>
      </c>
      <c r="P64" s="2">
        <v>98.45504789179328</v>
      </c>
      <c r="Q64" s="2">
        <v>98.45504789179328</v>
      </c>
      <c r="R64" s="2">
        <v>98.45504789179331</v>
      </c>
      <c r="S64" s="2">
        <v>98.45504789179328</v>
      </c>
    </row>
    <row r="65">
      <c r="A65" s="6" t="s">
        <v>67</v>
      </c>
      <c r="B65" s="4">
        <f>POR_NUMERO_CLIENTES(LAMBDA(col, CLIENTES_BREAK_EVEN($B$12,MICELDA(56, col))))</f>
        <v>222.0457759</v>
      </c>
      <c r="C65" s="4">
        <v>223.5005729988146</v>
      </c>
      <c r="D65" s="4">
        <v>224.09761922957793</v>
      </c>
      <c r="E65" s="4">
        <v>224.66854104913796</v>
      </c>
      <c r="F65" s="4">
        <v>224.66854104913799</v>
      </c>
      <c r="G65" s="2">
        <v>224.497961930185</v>
      </c>
      <c r="H65" s="2">
        <v>224.54224328801416</v>
      </c>
      <c r="I65" s="2">
        <v>224.66854104913799</v>
      </c>
      <c r="J65" s="2">
        <v>224.66854104913796</v>
      </c>
      <c r="K65" s="2">
        <v>224.606581086861</v>
      </c>
      <c r="L65" s="2">
        <v>224.66854104913799</v>
      </c>
      <c r="M65" s="2">
        <v>224.62967800890308</v>
      </c>
      <c r="N65" s="2">
        <v>224.66854104913799</v>
      </c>
      <c r="O65" s="2">
        <v>224.66854104913796</v>
      </c>
      <c r="P65" s="2">
        <v>224.66854104913799</v>
      </c>
      <c r="Q65" s="2">
        <v>224.66854104913799</v>
      </c>
      <c r="R65" s="2">
        <v>224.66854104913796</v>
      </c>
      <c r="S65" s="2">
        <v>224.66854104913799</v>
      </c>
    </row>
    <row r="66">
      <c r="A66" s="6" t="s">
        <v>68</v>
      </c>
      <c r="B66" s="4">
        <f>POR_NUMERO_CLIENTES(LAMBDA(col, FALTAN_PARA_BREAK_EVEN(MICELDA(65, col), MICELDA(20, col))))</f>
        <v>211.0457759</v>
      </c>
      <c r="C66" s="4">
        <v>197.5005729988146</v>
      </c>
      <c r="D66" s="4">
        <v>173.09761922957793</v>
      </c>
      <c r="E66" s="4">
        <v>144.66854104913796</v>
      </c>
      <c r="F66" s="4">
        <v>104.66854104913799</v>
      </c>
      <c r="G66" s="2">
        <v>53.497961930185</v>
      </c>
      <c r="H66" s="2">
        <v>0.0</v>
      </c>
      <c r="I66" s="2">
        <v>0.0</v>
      </c>
      <c r="J66" s="2">
        <v>0.0</v>
      </c>
      <c r="K66" s="2">
        <v>0.0</v>
      </c>
      <c r="L66" s="2">
        <v>0.0</v>
      </c>
      <c r="M66" s="2">
        <v>0.0</v>
      </c>
      <c r="N66" s="2">
        <v>0.0</v>
      </c>
      <c r="O66" s="2">
        <v>0.0</v>
      </c>
      <c r="P66" s="2">
        <v>0.0</v>
      </c>
      <c r="Q66" s="2">
        <v>0.0</v>
      </c>
      <c r="R66" s="2">
        <v>0.0</v>
      </c>
      <c r="S66" s="2">
        <v>0.0</v>
      </c>
    </row>
    <row r="67">
      <c r="A67" s="3" t="s">
        <v>69</v>
      </c>
      <c r="B67" s="6"/>
      <c r="C67" s="6"/>
      <c r="D67" s="6"/>
      <c r="E67" s="6"/>
      <c r="F67" s="6"/>
    </row>
    <row r="68">
      <c r="A68" s="6" t="s">
        <v>70</v>
      </c>
      <c r="B68" s="6" t="str">
        <f>POR_NUMERO_CLIENTES(LAMBDA(col, IF(OR(ISERROR(MICELDA(43, col)), ISERROR(MICELDA(41, col))), "❌ ERROR", IF(MICELDA(43, col) &lt; 0, "🔴 PERDIDAS", IF(MICELDA(43, col) &lt; MICELDA(44, col) * $B$14%, "🟡 MARGEN BAJO", "🟢 RENTABLE")))))</f>
        <v>🔴 PERDIDAS</v>
      </c>
      <c r="C68" s="6" t="s">
        <v>71</v>
      </c>
      <c r="D68" s="6" t="s">
        <v>71</v>
      </c>
      <c r="E68" s="6" t="s">
        <v>71</v>
      </c>
      <c r="F68" s="6" t="s">
        <v>71</v>
      </c>
      <c r="G68" s="2" t="s">
        <v>71</v>
      </c>
      <c r="H68" s="2" t="s">
        <v>72</v>
      </c>
      <c r="I68" s="2" t="s">
        <v>72</v>
      </c>
      <c r="J68" s="2" t="s">
        <v>72</v>
      </c>
      <c r="K68" s="2" t="s">
        <v>72</v>
      </c>
      <c r="L68" s="2" t="s">
        <v>72</v>
      </c>
      <c r="M68" s="2" t="s">
        <v>72</v>
      </c>
      <c r="N68" s="2" t="s">
        <v>72</v>
      </c>
      <c r="O68" s="2" t="s">
        <v>72</v>
      </c>
      <c r="P68" s="2" t="s">
        <v>72</v>
      </c>
      <c r="Q68" s="2" t="s">
        <v>72</v>
      </c>
      <c r="R68" s="2" t="s">
        <v>72</v>
      </c>
      <c r="S68" s="2" t="s">
        <v>72</v>
      </c>
    </row>
    <row r="69">
      <c r="A69" s="6" t="s">
        <v>73</v>
      </c>
      <c r="B69" s="6" t="str">
        <f>POR_NUMERO_CLIENTES(LAMBDA(col, IF(MICELDA(66, col) &gt; 0, "📈 Necesitas " &amp; MICELDA(66, col) &amp; " clientes mas", "🎯 Break-even alcanzado")
))</f>
        <v>📈 Necesitas 211,045775893744 clientes mas</v>
      </c>
      <c r="C69" s="6" t="s">
        <v>74</v>
      </c>
      <c r="D69" s="6" t="s">
        <v>75</v>
      </c>
      <c r="E69" s="6" t="s">
        <v>76</v>
      </c>
      <c r="F69" s="6" t="s">
        <v>77</v>
      </c>
      <c r="G69" s="2" t="s">
        <v>78</v>
      </c>
      <c r="H69" s="2" t="s">
        <v>79</v>
      </c>
      <c r="I69" s="2" t="s">
        <v>79</v>
      </c>
      <c r="J69" s="2" t="s">
        <v>79</v>
      </c>
      <c r="K69" s="2" t="s">
        <v>79</v>
      </c>
      <c r="L69" s="2" t="s">
        <v>79</v>
      </c>
      <c r="M69" s="2" t="s">
        <v>79</v>
      </c>
      <c r="N69" s="2" t="s">
        <v>79</v>
      </c>
      <c r="O69" s="2" t="s">
        <v>79</v>
      </c>
      <c r="P69" s="2" t="s">
        <v>79</v>
      </c>
      <c r="Q69" s="2" t="s">
        <v>79</v>
      </c>
      <c r="R69" s="2" t="s">
        <v>79</v>
      </c>
      <c r="S69" s="2" t="s">
        <v>79</v>
      </c>
    </row>
    <row r="70">
      <c r="A70" s="1" t="s">
        <v>80</v>
      </c>
      <c r="B70" s="2" t="str">
        <f>POR_NUMERO_CLIENTES(LAMBDA(col, IF(OR(ISERROR(MICELDA(64, col)), ISERROR(MICELDA(64, col))), "❌ ERROR", IF(MICELDA(64, col) &lt; 1, "🔴 NO RENTABLE", IF(MICELDA(64, col) &lt; 3, "🟡 MEJORABLE", "🟢 RENTABLE")))))
</f>
        <v>🟢 RENTABLE</v>
      </c>
      <c r="C70" s="2" t="s">
        <v>72</v>
      </c>
      <c r="D70" s="2" t="s">
        <v>72</v>
      </c>
      <c r="E70" s="2" t="s">
        <v>72</v>
      </c>
      <c r="F70" s="2" t="s">
        <v>72</v>
      </c>
      <c r="G70" s="2" t="s">
        <v>72</v>
      </c>
      <c r="H70" s="2" t="s">
        <v>72</v>
      </c>
      <c r="I70" s="2" t="s">
        <v>72</v>
      </c>
      <c r="J70" s="2" t="s">
        <v>72</v>
      </c>
      <c r="K70" s="2" t="s">
        <v>72</v>
      </c>
      <c r="L70" s="2" t="s">
        <v>72</v>
      </c>
      <c r="M70" s="2" t="s">
        <v>72</v>
      </c>
      <c r="N70" s="2" t="s">
        <v>72</v>
      </c>
      <c r="O70" s="2" t="s">
        <v>72</v>
      </c>
      <c r="P70" s="2" t="s">
        <v>72</v>
      </c>
      <c r="Q70" s="2" t="s">
        <v>72</v>
      </c>
      <c r="R70" s="2" t="s">
        <v>72</v>
      </c>
      <c r="S70" s="2" t="s">
        <v>72</v>
      </c>
    </row>
    <row r="72">
      <c r="A72" s="1" t="s">
        <v>81</v>
      </c>
    </row>
    <row r="73">
      <c r="A73" s="1" t="s">
        <v>82</v>
      </c>
      <c r="B73" s="2">
        <f>POR_NUMERO_CLIENTES(LAMBDA(col, MICELDA(22, col)))</f>
        <v>64</v>
      </c>
      <c r="C73" s="2">
        <v>144.0</v>
      </c>
      <c r="D73" s="2">
        <v>288.0</v>
      </c>
      <c r="E73" s="2">
        <v>448.0</v>
      </c>
      <c r="F73" s="2">
        <v>672.0</v>
      </c>
      <c r="G73" s="2">
        <v>960.0</v>
      </c>
      <c r="H73" s="2">
        <v>1296.0</v>
      </c>
      <c r="I73" s="2">
        <v>1680.0</v>
      </c>
      <c r="J73" s="2">
        <v>2128.0</v>
      </c>
      <c r="K73" s="2">
        <v>2640.0</v>
      </c>
      <c r="L73" s="2">
        <v>3360.0</v>
      </c>
      <c r="M73" s="2">
        <v>4208.0</v>
      </c>
      <c r="N73" s="2">
        <v>5040.0</v>
      </c>
      <c r="O73" s="2">
        <v>5600.0</v>
      </c>
      <c r="P73" s="2">
        <v>6720.0</v>
      </c>
      <c r="Q73" s="2">
        <v>8400.0</v>
      </c>
      <c r="R73" s="2">
        <v>11200.0</v>
      </c>
      <c r="S73" s="2">
        <v>16800.0</v>
      </c>
    </row>
    <row r="74">
      <c r="A74" s="1" t="s">
        <v>83</v>
      </c>
      <c r="B74" s="2">
        <f>POR_NUMERO_CLIENTES(LAMBDA(col, $B$12 * (MICELDA(28, col)*100/MICELDA(31, col))%))</f>
        <v>296.677242</v>
      </c>
      <c r="C74" s="2">
        <v>299.03932199821026</v>
      </c>
      <c r="D74" s="2">
        <v>303.8781459787639</v>
      </c>
      <c r="E74" s="2">
        <v>306.00020007079434</v>
      </c>
      <c r="F74" s="2">
        <v>306.00020007079434</v>
      </c>
      <c r="G74" s="2">
        <v>305.36047839817246</v>
      </c>
      <c r="H74" s="2">
        <v>305.5260751868916</v>
      </c>
      <c r="I74" s="2">
        <v>306.00020007079434</v>
      </c>
      <c r="J74" s="2">
        <v>306.00020007079434</v>
      </c>
      <c r="K74" s="2">
        <v>305.76726411539914</v>
      </c>
      <c r="L74" s="2">
        <v>306.00020007079434</v>
      </c>
      <c r="M74" s="2">
        <v>305.85402007946544</v>
      </c>
      <c r="N74" s="2">
        <v>306.00020007079434</v>
      </c>
      <c r="O74" s="2">
        <v>306.00020007079434</v>
      </c>
      <c r="P74" s="2">
        <v>306.00020007079434</v>
      </c>
      <c r="Q74" s="2">
        <v>306.00020007079434</v>
      </c>
      <c r="R74" s="2">
        <v>306.00020007079434</v>
      </c>
      <c r="S74" s="2">
        <v>306.00020007079434</v>
      </c>
    </row>
    <row r="75">
      <c r="A75" s="1" t="s">
        <v>84</v>
      </c>
      <c r="B75" s="2">
        <f>POR_NUMERO_CLIENTES(LAMBDA(col, MICELDA(37, col) * (MICELDA(28, col)*100/MICELDA(31, col))%))</f>
        <v>15.50922255</v>
      </c>
      <c r="C75" s="2">
        <v>35.45518694774338</v>
      </c>
      <c r="D75" s="2">
        <v>70.77780145263037</v>
      </c>
      <c r="E75" s="2">
        <v>110.55093293914425</v>
      </c>
      <c r="F75" s="2">
        <v>165.8263994087164</v>
      </c>
      <c r="G75" s="2">
        <v>236.60278302994766</v>
      </c>
      <c r="H75" s="2">
        <v>319.51582434316254</v>
      </c>
      <c r="I75" s="2">
        <v>414.565998521791</v>
      </c>
      <c r="J75" s="2">
        <v>525.1169314609352</v>
      </c>
      <c r="K75" s="2">
        <v>651.1683924665678</v>
      </c>
      <c r="L75" s="2">
        <v>829.131997043582</v>
      </c>
      <c r="M75" s="2">
        <v>1038.096574772638</v>
      </c>
      <c r="N75" s="2">
        <v>1243.697995565373</v>
      </c>
      <c r="O75" s="2">
        <v>1381.886661739303</v>
      </c>
      <c r="P75" s="2">
        <v>1658.263994087164</v>
      </c>
      <c r="Q75" s="2">
        <v>2072.8299926089553</v>
      </c>
      <c r="R75" s="2">
        <v>2763.773323478606</v>
      </c>
      <c r="S75" s="2">
        <v>4145.659985217911</v>
      </c>
    </row>
    <row r="76">
      <c r="A76" s="1" t="s">
        <v>85</v>
      </c>
      <c r="B76" s="2">
        <f>POR_NUMERO_CLIENTES(LAMBDA(col, EBITDA(MICELDA(73, col), MICELDA(74, col) + MICELDA(75, col))))</f>
        <v>-248.1864646</v>
      </c>
      <c r="C76" s="2">
        <v>-190.4945089459536</v>
      </c>
      <c r="D76" s="2">
        <v>-86.65594743139422</v>
      </c>
      <c r="E76" s="2">
        <v>31.448866990061447</v>
      </c>
      <c r="F76" s="2">
        <v>200.17340052048928</v>
      </c>
      <c r="G76" s="2">
        <v>418.0367385718798</v>
      </c>
      <c r="H76" s="2">
        <v>670.9581004699459</v>
      </c>
      <c r="I76" s="2">
        <v>959.4338014074146</v>
      </c>
      <c r="J76" s="2">
        <v>1296.8828684682703</v>
      </c>
      <c r="K76" s="2">
        <v>1683.064343418033</v>
      </c>
      <c r="L76" s="2">
        <v>2224.867802885624</v>
      </c>
      <c r="M76" s="2">
        <v>2864.0494051478963</v>
      </c>
      <c r="N76" s="2">
        <v>3490.3018043638326</v>
      </c>
      <c r="O76" s="2">
        <v>3912.1131381899027</v>
      </c>
      <c r="P76" s="2">
        <v>4755.735805842041</v>
      </c>
      <c r="Q76" s="2">
        <v>6021.169807320251</v>
      </c>
      <c r="R76" s="2">
        <v>8130.2264764506</v>
      </c>
      <c r="S76" s="2">
        <v>12348.339814711295</v>
      </c>
    </row>
    <row r="77">
      <c r="A77" s="1" t="s">
        <v>86</v>
      </c>
      <c r="B77" s="7">
        <f>POR_NUMERO_CLIENTES(LAMBDA(col, MARGEN_NETO_PORCENTAGE(MICELDA(76, col), MICELDA(73, col))))</f>
        <v>-3.877913509</v>
      </c>
      <c r="C77" s="7">
        <v>-1.3228785343469</v>
      </c>
      <c r="D77" s="7">
        <v>-0.3008887063590077</v>
      </c>
      <c r="E77" s="7">
        <v>0.07019836381710144</v>
      </c>
      <c r="F77" s="7">
        <v>0.29787708410787095</v>
      </c>
      <c r="G77" s="7">
        <v>0.43545493601237484</v>
      </c>
      <c r="H77" s="7">
        <v>0.5177145836959459</v>
      </c>
      <c r="I77" s="7">
        <v>0.5710915484567944</v>
      </c>
      <c r="J77" s="7">
        <v>0.6094374381899766</v>
      </c>
      <c r="K77" s="7">
        <v>0.6375243725068307</v>
      </c>
      <c r="L77" s="7">
        <v>0.6621630365731024</v>
      </c>
      <c r="M77" s="7">
        <v>0.680620105786097</v>
      </c>
      <c r="N77" s="7">
        <v>0.6925201992785383</v>
      </c>
      <c r="O77" s="7">
        <v>0.6985916318196255</v>
      </c>
      <c r="P77" s="7">
        <v>0.7076987806312561</v>
      </c>
      <c r="Q77" s="7">
        <v>0.716805929442887</v>
      </c>
      <c r="R77" s="7">
        <v>0.7259130782545179</v>
      </c>
      <c r="S77" s="7">
        <v>0.7350202270661484</v>
      </c>
    </row>
    <row r="78">
      <c r="A78" s="1" t="s">
        <v>87</v>
      </c>
      <c r="B78" s="2">
        <f>POR_NUMERO_CLIENTES(LAMBDA(col, MICELDA(23, col)))</f>
        <v>220</v>
      </c>
      <c r="C78" s="2">
        <v>572.0</v>
      </c>
      <c r="D78" s="2">
        <v>1100.0</v>
      </c>
      <c r="E78" s="2">
        <v>1760.0</v>
      </c>
      <c r="F78" s="2">
        <v>2640.0</v>
      </c>
      <c r="G78" s="2">
        <v>3740.0</v>
      </c>
      <c r="H78" s="2">
        <v>5060.0</v>
      </c>
      <c r="I78" s="2">
        <v>6600.0</v>
      </c>
      <c r="J78" s="2">
        <v>8360.0</v>
      </c>
      <c r="K78" s="2">
        <v>10340.0</v>
      </c>
      <c r="L78" s="2">
        <v>13200.0</v>
      </c>
      <c r="M78" s="2">
        <v>16500.0</v>
      </c>
      <c r="N78" s="2">
        <v>19800.0</v>
      </c>
      <c r="O78" s="2">
        <v>22000.0</v>
      </c>
      <c r="P78" s="2">
        <v>26400.0</v>
      </c>
      <c r="Q78" s="2">
        <v>33000.0</v>
      </c>
      <c r="R78" s="2">
        <v>44000.0</v>
      </c>
      <c r="S78" s="2">
        <v>66000.0</v>
      </c>
    </row>
    <row r="79">
      <c r="A79" s="1" t="s">
        <v>88</v>
      </c>
      <c r="B79" s="2">
        <f>POR_NUMERO_CLIENTES(LAMBDA(col, $B$12 * (MICELDA(29, col)*100/MICELDA(31, col))%))</f>
        <v>1390.674572</v>
      </c>
      <c r="C79" s="2">
        <v>1619.7963274903057</v>
      </c>
      <c r="D79" s="2">
        <v>1582.6986769727284</v>
      </c>
      <c r="E79" s="2">
        <v>1639.286786093541</v>
      </c>
      <c r="F79" s="2">
        <v>1639.286786093541</v>
      </c>
      <c r="G79" s="2">
        <v>1622.227541490291</v>
      </c>
      <c r="H79" s="2">
        <v>1626.6434558561357</v>
      </c>
      <c r="I79" s="2">
        <v>1639.286786093541</v>
      </c>
      <c r="J79" s="2">
        <v>1639.286786093541</v>
      </c>
      <c r="K79" s="2">
        <v>1633.0751606163362</v>
      </c>
      <c r="L79" s="2">
        <v>1639.286786093541</v>
      </c>
      <c r="M79" s="2">
        <v>1635.3886529914384</v>
      </c>
      <c r="N79" s="2">
        <v>1639.286786093541</v>
      </c>
      <c r="O79" s="2">
        <v>1639.286786093541</v>
      </c>
      <c r="P79" s="2">
        <v>1639.286786093541</v>
      </c>
      <c r="Q79" s="2">
        <v>1639.286786093541</v>
      </c>
      <c r="R79" s="2">
        <v>1639.286786093541</v>
      </c>
      <c r="S79" s="2">
        <v>1639.286786093541</v>
      </c>
    </row>
    <row r="80">
      <c r="A80" s="1" t="s">
        <v>89</v>
      </c>
      <c r="B80" s="2">
        <f>POR_NUMERO_CLIENTES(LAMBDA(col, MICELDA(37, col) * (MICELDA(29, col)*100/MICELDA(31, col))%))</f>
        <v>72.69948072</v>
      </c>
      <c r="C80" s="2">
        <v>192.04892930027665</v>
      </c>
      <c r="D80" s="2">
        <v>368.6343825657832</v>
      </c>
      <c r="E80" s="2">
        <v>592.2371407454157</v>
      </c>
      <c r="F80" s="2">
        <v>888.3557111181236</v>
      </c>
      <c r="G80" s="2">
        <v>1256.952284846597</v>
      </c>
      <c r="H80" s="2">
        <v>1701.1259166418372</v>
      </c>
      <c r="I80" s="2">
        <v>2220.889277795309</v>
      </c>
      <c r="J80" s="2">
        <v>2813.1264185407244</v>
      </c>
      <c r="K80" s="2">
        <v>3477.83118703735</v>
      </c>
      <c r="L80" s="2">
        <v>4441.778555590618</v>
      </c>
      <c r="M80" s="2">
        <v>5550.658966821377</v>
      </c>
      <c r="N80" s="2">
        <v>6662.667833385927</v>
      </c>
      <c r="O80" s="2">
        <v>7402.964259317695</v>
      </c>
      <c r="P80" s="2">
        <v>8883.557111181237</v>
      </c>
      <c r="Q80" s="2">
        <v>11104.446388976545</v>
      </c>
      <c r="R80" s="2">
        <v>14805.92851863539</v>
      </c>
      <c r="S80" s="2">
        <v>22208.89277795309</v>
      </c>
    </row>
    <row r="81">
      <c r="A81" s="1" t="s">
        <v>90</v>
      </c>
      <c r="B81" s="2">
        <f>POR_NUMERO_CLIENTES(LAMBDA(col, EBITDA(MICELDA(78, col), MICELDA(79, col) + MICELDA(80, col))))</f>
        <v>-1243.374053</v>
      </c>
      <c r="C81" s="2">
        <v>-1239.8452567905824</v>
      </c>
      <c r="D81" s="2">
        <v>-851.3330595385116</v>
      </c>
      <c r="E81" s="2">
        <v>-471.52392683895687</v>
      </c>
      <c r="F81" s="2">
        <v>112.3575027883353</v>
      </c>
      <c r="G81" s="2">
        <v>860.8201736631117</v>
      </c>
      <c r="H81" s="2">
        <v>1732.2306275020273</v>
      </c>
      <c r="I81" s="2">
        <v>2739.82393611115</v>
      </c>
      <c r="J81" s="2">
        <v>3907.5867953657344</v>
      </c>
      <c r="K81" s="2">
        <v>5229.093652346313</v>
      </c>
      <c r="L81" s="2">
        <v>7118.93465831584</v>
      </c>
      <c r="M81" s="2">
        <v>9313.952380187184</v>
      </c>
      <c r="N81" s="2">
        <v>11498.045380520532</v>
      </c>
      <c r="O81" s="2">
        <v>12957.748954588764</v>
      </c>
      <c r="P81" s="2">
        <v>15877.156102725223</v>
      </c>
      <c r="Q81" s="2">
        <v>20256.266824929917</v>
      </c>
      <c r="R81" s="2">
        <v>27554.784695271068</v>
      </c>
      <c r="S81" s="2">
        <v>42151.82043595337</v>
      </c>
    </row>
    <row r="82">
      <c r="A82" s="1" t="s">
        <v>91</v>
      </c>
      <c r="B82" s="7">
        <f>POR_NUMERO_CLIENTES(LAMBDA(col, MARGEN_NETO_PORCENTAGE(MICELDA(81, col), MICELDA(78, col))))</f>
        <v>-5.65170024</v>
      </c>
      <c r="C82" s="7">
        <v>-2.1675616377457736</v>
      </c>
      <c r="D82" s="7">
        <v>-0.7739391450350106</v>
      </c>
      <c r="E82" s="7">
        <v>-0.2679113220675891</v>
      </c>
      <c r="F82" s="7">
        <v>0.0425596601470967</v>
      </c>
      <c r="G82" s="7">
        <v>0.23016582183505663</v>
      </c>
      <c r="H82" s="7">
        <v>0.34233806867628996</v>
      </c>
      <c r="I82" s="7">
        <v>0.4151248388047197</v>
      </c>
      <c r="J82" s="7">
        <v>0.4674146884408773</v>
      </c>
      <c r="K82" s="7">
        <v>0.5057150534184055</v>
      </c>
      <c r="L82" s="7">
        <v>0.539313231690594</v>
      </c>
      <c r="M82" s="7">
        <v>0.5644819624355869</v>
      </c>
      <c r="N82" s="7">
        <v>0.5807093626525521</v>
      </c>
      <c r="O82" s="7">
        <v>0.5889885888449438</v>
      </c>
      <c r="P82" s="7">
        <v>0.6014074281335312</v>
      </c>
      <c r="Q82" s="7">
        <v>0.6138262674221187</v>
      </c>
      <c r="R82" s="7">
        <v>0.6262451067107061</v>
      </c>
      <c r="S82" s="7">
        <v>0.6386639459992934</v>
      </c>
    </row>
    <row r="83">
      <c r="A83" s="1" t="s">
        <v>92</v>
      </c>
      <c r="B83" s="2">
        <f>POR_NUMERO_CLIENTES(LAMBDA(col, MICELDA(24, col)))</f>
        <v>198</v>
      </c>
      <c r="C83" s="2">
        <v>396.0</v>
      </c>
      <c r="D83" s="2">
        <v>792.0</v>
      </c>
      <c r="E83" s="2">
        <v>1188.0</v>
      </c>
      <c r="F83" s="2">
        <v>1782.0</v>
      </c>
      <c r="G83" s="2">
        <v>2574.0</v>
      </c>
      <c r="H83" s="2">
        <v>3465.0</v>
      </c>
      <c r="I83" s="2">
        <v>4455.0</v>
      </c>
      <c r="J83" s="2">
        <v>5643.0</v>
      </c>
      <c r="K83" s="2">
        <v>7029.0</v>
      </c>
      <c r="L83" s="2">
        <v>8910.0</v>
      </c>
      <c r="M83" s="2">
        <v>11187.0</v>
      </c>
      <c r="N83" s="2">
        <v>13365.0</v>
      </c>
      <c r="O83" s="2">
        <v>14850.0</v>
      </c>
      <c r="P83" s="2">
        <v>17820.0</v>
      </c>
      <c r="Q83" s="2">
        <v>22275.0</v>
      </c>
      <c r="R83" s="2">
        <v>29700.0</v>
      </c>
      <c r="S83" s="2">
        <v>44550.0</v>
      </c>
    </row>
    <row r="84">
      <c r="A84" s="1" t="s">
        <v>93</v>
      </c>
      <c r="B84" s="2">
        <f>POR_NUMERO_CLIENTES(LAMBDA(col, $B$12 * (MICELDA(30, col)*100/MICELDA(31, col))%))</f>
        <v>2225.079315</v>
      </c>
      <c r="C84" s="2">
        <v>1993.5954799880685</v>
      </c>
      <c r="D84" s="2">
        <v>2025.8543065250924</v>
      </c>
      <c r="E84" s="2">
        <v>1967.1441433122493</v>
      </c>
      <c r="F84" s="2">
        <v>1967.1441433122493</v>
      </c>
      <c r="G84" s="2">
        <v>1984.8431095881208</v>
      </c>
      <c r="H84" s="2">
        <v>1980.2615984335569</v>
      </c>
      <c r="I84" s="2">
        <v>1967.1441433122493</v>
      </c>
      <c r="J84" s="2">
        <v>1967.1441433122493</v>
      </c>
      <c r="K84" s="2">
        <v>1973.588704744849</v>
      </c>
      <c r="L84" s="2">
        <v>1967.1441433122493</v>
      </c>
      <c r="M84" s="2">
        <v>1971.1884564056804</v>
      </c>
      <c r="N84" s="2">
        <v>1967.1441433122493</v>
      </c>
      <c r="O84" s="2">
        <v>1967.1441433122493</v>
      </c>
      <c r="P84" s="2">
        <v>1967.1441433122493</v>
      </c>
      <c r="Q84" s="2">
        <v>1967.1441433122493</v>
      </c>
      <c r="R84" s="2">
        <v>1967.1441433122493</v>
      </c>
      <c r="S84" s="2">
        <v>1967.1441433122493</v>
      </c>
    </row>
    <row r="85">
      <c r="A85" s="1" t="s">
        <v>94</v>
      </c>
      <c r="B85" s="2">
        <f>POR_NUMERO_CLIENTES(LAMBDA(col, MICELDA(37, col) * (MICELDA(30, col)*100/MICELDA(31, col))% ))</f>
        <v>116.3191691</v>
      </c>
      <c r="C85" s="2">
        <v>236.36791298495586</v>
      </c>
      <c r="D85" s="2">
        <v>471.8520096842025</v>
      </c>
      <c r="E85" s="2">
        <v>710.6845688944987</v>
      </c>
      <c r="F85" s="2">
        <v>1066.0268533417484</v>
      </c>
      <c r="G85" s="2">
        <v>1537.9180896946598</v>
      </c>
      <c r="H85" s="2">
        <v>2070.935898520498</v>
      </c>
      <c r="I85" s="2">
        <v>2665.067133354371</v>
      </c>
      <c r="J85" s="2">
        <v>3375.751702248869</v>
      </c>
      <c r="K85" s="2">
        <v>4202.9959877387555</v>
      </c>
      <c r="L85" s="2">
        <v>5330.134266708742</v>
      </c>
      <c r="M85" s="2">
        <v>6690.394274675366</v>
      </c>
      <c r="N85" s="2">
        <v>7995.2014000631125</v>
      </c>
      <c r="O85" s="2">
        <v>8883.557111181235</v>
      </c>
      <c r="P85" s="2">
        <v>10660.268533417484</v>
      </c>
      <c r="Q85" s="2">
        <v>13325.335666771854</v>
      </c>
      <c r="R85" s="2">
        <v>17767.11422236247</v>
      </c>
      <c r="S85" s="2">
        <v>26650.67133354371</v>
      </c>
    </row>
    <row r="86">
      <c r="A86" s="1" t="s">
        <v>95</v>
      </c>
      <c r="B86" s="2">
        <f>POR_NUMERO_CLIENTES(LAMBDA(col, EBITDA(MICELDA(83, col), MICELDA(84, col) + MICELDA(85, col))))</f>
        <v>-2143.398484</v>
      </c>
      <c r="C86" s="2">
        <v>-1833.9633929730244</v>
      </c>
      <c r="D86" s="2">
        <v>-1705.706316209295</v>
      </c>
      <c r="E86" s="2">
        <v>-1489.8287122067482</v>
      </c>
      <c r="F86" s="2">
        <v>-1251.1709966539975</v>
      </c>
      <c r="G86" s="2">
        <v>-948.7611992827806</v>
      </c>
      <c r="H86" s="2">
        <v>-586.1974969540552</v>
      </c>
      <c r="I86" s="2">
        <v>-177.2112766666205</v>
      </c>
      <c r="J86" s="2">
        <v>300.1041544388818</v>
      </c>
      <c r="K86" s="2">
        <v>852.4153075163958</v>
      </c>
      <c r="L86" s="2">
        <v>1612.721589979009</v>
      </c>
      <c r="M86" s="2">
        <v>2525.4172689189527</v>
      </c>
      <c r="N86" s="2">
        <v>3402.6544566246375</v>
      </c>
      <c r="O86" s="2">
        <v>3999.298745506516</v>
      </c>
      <c r="P86" s="2">
        <v>5192.587323270267</v>
      </c>
      <c r="Q86" s="2">
        <v>6982.5201899158965</v>
      </c>
      <c r="R86" s="2">
        <v>9965.74163432528</v>
      </c>
      <c r="S86" s="2">
        <v>15932.184523144042</v>
      </c>
    </row>
    <row r="87">
      <c r="A87" s="1" t="s">
        <v>96</v>
      </c>
      <c r="B87" s="7">
        <f>POR_NUMERO_CLIENTES(LAMBDA(col, MARGEN_NETO_PORCENTAGE(MICELDA(86, col), MICELDA(83, col))))</f>
        <v>-10.82524487</v>
      </c>
      <c r="C87" s="7">
        <v>-4.631220689325819</v>
      </c>
      <c r="D87" s="7">
        <v>-2.1536695911733523</v>
      </c>
      <c r="E87" s="7">
        <v>-1.254064572564603</v>
      </c>
      <c r="F87" s="7">
        <v>-0.7021161597384946</v>
      </c>
      <c r="G87" s="7">
        <v>-0.3685940945154548</v>
      </c>
      <c r="H87" s="7">
        <v>-0.16917676679770713</v>
      </c>
      <c r="I87" s="7">
        <v>-0.0397780643471651</v>
      </c>
      <c r="J87" s="7">
        <v>0.053181668339337546</v>
      </c>
      <c r="K87" s="7">
        <v>0.12127120607716543</v>
      </c>
      <c r="L87" s="7">
        <v>0.18100130078327822</v>
      </c>
      <c r="M87" s="7">
        <v>0.22574571099659896</v>
      </c>
      <c r="N87" s="7">
        <v>0.25459442249342595</v>
      </c>
      <c r="O87" s="7">
        <v>0.2693130468354556</v>
      </c>
      <c r="P87" s="7">
        <v>0.29139098334849983</v>
      </c>
      <c r="Q87" s="7">
        <v>0.3134689198615442</v>
      </c>
      <c r="R87" s="7">
        <v>0.3355468563745886</v>
      </c>
      <c r="S87" s="7">
        <v>0.3576247928876328</v>
      </c>
    </row>
    <row r="93">
      <c r="B93" s="7"/>
      <c r="C93" s="7"/>
      <c r="D93" s="7"/>
      <c r="E93" s="7"/>
      <c r="F93" s="7"/>
      <c r="G93" s="7"/>
      <c r="H93" s="7"/>
      <c r="I93" s="7"/>
      <c r="J93" s="7"/>
      <c r="K93" s="7"/>
      <c r="L93" s="7"/>
      <c r="M93" s="7"/>
      <c r="N93" s="7"/>
      <c r="O93" s="7"/>
      <c r="P93" s="7"/>
      <c r="Q93" s="7"/>
      <c r="R93" s="7"/>
      <c r="S93" s="7"/>
    </row>
    <row r="98">
      <c r="B98" s="7"/>
      <c r="C98" s="7"/>
      <c r="D98" s="7"/>
      <c r="E98" s="7"/>
      <c r="F98" s="7"/>
      <c r="G98" s="7"/>
      <c r="H98" s="7"/>
      <c r="I98" s="7"/>
      <c r="J98" s="7"/>
      <c r="K98" s="7"/>
      <c r="L98" s="7"/>
      <c r="M98" s="7"/>
      <c r="N98" s="7"/>
      <c r="O98" s="7"/>
      <c r="P98" s="7"/>
      <c r="Q98" s="7"/>
      <c r="R98" s="7"/>
      <c r="S98" s="7"/>
    </row>
    <row r="103">
      <c r="B103" s="7"/>
      <c r="C103" s="7"/>
      <c r="D103" s="7"/>
      <c r="E103" s="7"/>
      <c r="F103" s="7"/>
      <c r="G103" s="7"/>
      <c r="H103" s="7"/>
      <c r="I103" s="7"/>
      <c r="J103" s="7"/>
      <c r="K103" s="7"/>
      <c r="L103" s="7"/>
      <c r="M103" s="7"/>
      <c r="N103" s="7"/>
      <c r="O103" s="7"/>
      <c r="P103" s="7"/>
      <c r="Q103" s="7"/>
      <c r="R103" s="7"/>
      <c r="S103" s="7"/>
    </row>
    <row r="109">
      <c r="A109" s="1"/>
    </row>
    <row r="110">
      <c r="A110" s="1"/>
    </row>
    <row r="116">
      <c r="A116" s="1"/>
    </row>
    <row r="117">
      <c r="A117" s="1"/>
    </row>
    <row r="119">
      <c r="A119" s="1"/>
    </row>
    <row r="121">
      <c r="A121" s="1"/>
    </row>
    <row r="123">
      <c r="A123" s="1"/>
    </row>
    <row r="125">
      <c r="A125" s="1"/>
    </row>
    <row r="127">
      <c r="A127" s="1"/>
    </row>
    <row r="129">
      <c r="A129" s="1"/>
    </row>
    <row r="131">
      <c r="A131" s="1"/>
    </row>
    <row r="133">
      <c r="A133" s="1"/>
    </row>
    <row r="135">
      <c r="A135" s="1"/>
    </row>
    <row r="137">
      <c r="A137" s="1"/>
    </row>
    <row r="139">
      <c r="A139" s="1"/>
    </row>
    <row r="141">
      <c r="A141" s="1"/>
    </row>
    <row r="143">
      <c r="A143" s="1"/>
    </row>
    <row r="145">
      <c r="A145" s="1"/>
    </row>
    <row r="147">
      <c r="A147" s="1"/>
    </row>
    <row r="149">
      <c r="A149" s="1"/>
    </row>
    <row r="151">
      <c r="A151" s="1"/>
    </row>
    <row r="153">
      <c r="A153" s="1"/>
    </row>
    <row r="155">
      <c r="A155" s="1"/>
    </row>
    <row r="157">
      <c r="A157" s="1"/>
    </row>
    <row r="159">
      <c r="A159" s="1"/>
    </row>
    <row r="161">
      <c r="A161" s="1"/>
    </row>
    <row r="163">
      <c r="A163" s="1"/>
    </row>
    <row r="165">
      <c r="A165" s="1"/>
    </row>
    <row r="167">
      <c r="A167" s="1"/>
    </row>
    <row r="169">
      <c r="A169" s="1"/>
    </row>
    <row r="171">
      <c r="A171" s="1"/>
    </row>
    <row r="173">
      <c r="A173" s="1"/>
    </row>
    <row r="175">
      <c r="A175" s="1"/>
    </row>
    <row r="177">
      <c r="A177" s="1"/>
    </row>
    <row r="183">
      <c r="A183" s="1"/>
    </row>
    <row r="184">
      <c r="A184" s="1"/>
    </row>
    <row r="189">
      <c r="A189" s="1"/>
    </row>
    <row r="194">
      <c r="A194" s="1"/>
    </row>
    <row r="200">
      <c r="A200" s="1"/>
    </row>
    <row r="201">
      <c r="A201" s="1"/>
    </row>
  </sheetData>
  <printOptions gridLines="1" horizontalCentered="1"/>
  <pageMargins bottom="0.75" footer="0.0" header="0.0" left="0.7" right="0.7" top="0.75"/>
  <pageSetup fitToHeight="0"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0"/>
    <col customWidth="1" min="2" max="2" width="16.75"/>
    <col customWidth="1" min="3" max="3" width="16.88"/>
    <col customWidth="1" min="4" max="4" width="10.5"/>
    <col customWidth="1" min="5" max="5" width="10.13"/>
    <col customWidth="1" min="6" max="6" width="12.63"/>
    <col customWidth="1" min="7" max="7" width="11.0"/>
    <col customWidth="1" min="8" max="8" width="9.75"/>
    <col customWidth="1" min="9" max="9" width="11.13"/>
    <col customWidth="1" min="10" max="10" width="10.0"/>
    <col customWidth="1" min="11" max="11" width="9.25"/>
    <col customWidth="1" min="12" max="12" width="9.75"/>
    <col customWidth="1" min="13" max="13" width="8.38"/>
    <col customWidth="1" min="14" max="14" width="8.0"/>
    <col customWidth="1" min="15" max="15" width="7.88"/>
    <col customWidth="1" min="16" max="16" width="9.38"/>
    <col customWidth="1" min="17" max="17" width="12.5"/>
    <col customWidth="1" min="18" max="18" width="9.5"/>
    <col customWidth="1" min="19" max="19" width="8.5"/>
  </cols>
  <sheetData>
    <row r="1">
      <c r="A1" s="1" t="s">
        <v>0</v>
      </c>
      <c r="F1" s="1"/>
    </row>
    <row r="2">
      <c r="A2" s="1" t="s">
        <v>1</v>
      </c>
      <c r="B2" s="1">
        <f t="array" ref="B2:S2">Numero_Clientes</f>
        <v>10</v>
      </c>
      <c r="C2" s="2">
        <v>25.0</v>
      </c>
      <c r="D2" s="2">
        <v>50.0</v>
      </c>
      <c r="E2" s="2">
        <v>80.0</v>
      </c>
      <c r="F2" s="2">
        <v>120.0</v>
      </c>
      <c r="G2" s="2">
        <v>170.0</v>
      </c>
      <c r="H2" s="2">
        <v>230.0</v>
      </c>
      <c r="I2" s="2">
        <v>300.0</v>
      </c>
      <c r="J2" s="2">
        <v>380.0</v>
      </c>
      <c r="K2" s="2">
        <v>470.0</v>
      </c>
      <c r="L2" s="2">
        <v>600.0</v>
      </c>
      <c r="M2" s="2">
        <v>750.0</v>
      </c>
      <c r="N2" s="2">
        <v>900.0</v>
      </c>
      <c r="O2" s="2">
        <v>1000.0</v>
      </c>
      <c r="P2" s="2">
        <v>1200.0</v>
      </c>
      <c r="Q2" s="2">
        <v>1500.0</v>
      </c>
      <c r="R2" s="2">
        <v>2000.0</v>
      </c>
      <c r="S2" s="2">
        <v>3000.0</v>
      </c>
    </row>
    <row r="3">
      <c r="A3" s="1" t="s">
        <v>2</v>
      </c>
      <c r="B3" s="1">
        <v>16.0</v>
      </c>
    </row>
    <row r="4">
      <c r="A4" s="1" t="s">
        <v>3</v>
      </c>
      <c r="B4" s="1">
        <v>44.0</v>
      </c>
    </row>
    <row r="5">
      <c r="A5" s="1" t="s">
        <v>4</v>
      </c>
      <c r="B5" s="1">
        <v>99.0</v>
      </c>
    </row>
    <row r="6">
      <c r="A6" s="1" t="s">
        <v>97</v>
      </c>
      <c r="B6" s="1">
        <v>35.0</v>
      </c>
    </row>
    <row r="7">
      <c r="A7" s="1" t="s">
        <v>98</v>
      </c>
      <c r="B7" s="1">
        <v>50.0</v>
      </c>
    </row>
    <row r="8">
      <c r="A8" s="1" t="s">
        <v>99</v>
      </c>
      <c r="B8" s="1">
        <v>15.0</v>
      </c>
    </row>
    <row r="9">
      <c r="A9" s="1" t="s">
        <v>100</v>
      </c>
      <c r="B9" s="1">
        <f>1</f>
        <v>1</v>
      </c>
    </row>
    <row r="10">
      <c r="A10" s="1" t="s">
        <v>101</v>
      </c>
      <c r="B10" s="1">
        <f>3.5</f>
        <v>3.5</v>
      </c>
    </row>
    <row r="11">
      <c r="A11" s="1" t="s">
        <v>102</v>
      </c>
      <c r="B11" s="1">
        <f>10</f>
        <v>10</v>
      </c>
    </row>
    <row r="12">
      <c r="A12" s="1" t="s">
        <v>103</v>
      </c>
      <c r="B12" s="2">
        <f>(B6*B9)+(B7*B10)+(B8*B11)</f>
        <v>360</v>
      </c>
    </row>
    <row r="13">
      <c r="A13" s="3" t="s">
        <v>104</v>
      </c>
      <c r="B13" s="4">
        <f>NETO(Costes_Fijos!B20, 21)</f>
        <v>3912.431129</v>
      </c>
    </row>
    <row r="14">
      <c r="A14" s="1" t="s">
        <v>105</v>
      </c>
      <c r="B14" s="1">
        <v>20.0</v>
      </c>
    </row>
    <row r="15">
      <c r="A15" s="1" t="s">
        <v>17</v>
      </c>
    </row>
    <row r="16">
      <c r="A16" s="1" t="s">
        <v>18</v>
      </c>
      <c r="B16" s="1"/>
    </row>
    <row r="17">
      <c r="A17" s="1" t="s">
        <v>19</v>
      </c>
      <c r="B17" s="1">
        <f t="array" ref="B17:S17">ROUND(Numero_Clientes*$B6%,0)</f>
        <v>4</v>
      </c>
      <c r="C17" s="2">
        <v>9.0</v>
      </c>
      <c r="D17" s="2">
        <v>18.0</v>
      </c>
      <c r="E17" s="2">
        <v>28.0</v>
      </c>
      <c r="F17" s="2">
        <v>42.0</v>
      </c>
      <c r="G17" s="2">
        <v>60.0</v>
      </c>
      <c r="H17" s="2">
        <v>81.0</v>
      </c>
      <c r="I17" s="2">
        <v>105.0</v>
      </c>
      <c r="J17" s="2">
        <v>133.0</v>
      </c>
      <c r="K17" s="2">
        <v>165.0</v>
      </c>
      <c r="L17" s="2">
        <v>210.0</v>
      </c>
      <c r="M17" s="2">
        <v>263.0</v>
      </c>
      <c r="N17" s="2">
        <v>315.0</v>
      </c>
      <c r="O17" s="2">
        <v>350.0</v>
      </c>
      <c r="P17" s="2">
        <v>420.0</v>
      </c>
      <c r="Q17" s="2">
        <v>525.0</v>
      </c>
      <c r="R17" s="2">
        <v>700.0</v>
      </c>
      <c r="S17" s="2">
        <v>1050.0</v>
      </c>
    </row>
    <row r="18">
      <c r="A18" s="1" t="s">
        <v>20</v>
      </c>
      <c r="B18" s="1">
        <f t="array" ref="B18:S18">ROUND(Numero_Clientes*$B7%,0)</f>
        <v>5</v>
      </c>
      <c r="C18" s="2">
        <v>13.0</v>
      </c>
      <c r="D18" s="2">
        <v>25.0</v>
      </c>
      <c r="E18" s="2">
        <v>40.0</v>
      </c>
      <c r="F18" s="2">
        <v>60.0</v>
      </c>
      <c r="G18" s="2">
        <v>85.0</v>
      </c>
      <c r="H18" s="2">
        <v>115.0</v>
      </c>
      <c r="I18" s="2">
        <v>150.0</v>
      </c>
      <c r="J18" s="2">
        <v>190.0</v>
      </c>
      <c r="K18" s="2">
        <v>235.0</v>
      </c>
      <c r="L18" s="2">
        <v>300.0</v>
      </c>
      <c r="M18" s="2">
        <v>375.0</v>
      </c>
      <c r="N18" s="2">
        <v>450.0</v>
      </c>
      <c r="O18" s="2">
        <v>500.0</v>
      </c>
      <c r="P18" s="2">
        <v>600.0</v>
      </c>
      <c r="Q18" s="2">
        <v>750.0</v>
      </c>
      <c r="R18" s="2">
        <v>1000.0</v>
      </c>
      <c r="S18" s="2">
        <v>1500.0</v>
      </c>
    </row>
    <row r="19">
      <c r="A19" s="1" t="s">
        <v>21</v>
      </c>
      <c r="B19" s="1">
        <f t="array" ref="B19:S19">ROUND(Numero_Clientes*$B8%,0)</f>
        <v>2</v>
      </c>
      <c r="C19" s="2">
        <v>4.0</v>
      </c>
      <c r="D19" s="2">
        <v>8.0</v>
      </c>
      <c r="E19" s="2">
        <v>12.0</v>
      </c>
      <c r="F19" s="2">
        <v>18.0</v>
      </c>
      <c r="G19" s="2">
        <v>26.0</v>
      </c>
      <c r="H19" s="2">
        <v>35.0</v>
      </c>
      <c r="I19" s="2">
        <v>45.0</v>
      </c>
      <c r="J19" s="2">
        <v>57.0</v>
      </c>
      <c r="K19" s="2">
        <v>71.0</v>
      </c>
      <c r="L19" s="2">
        <v>90.0</v>
      </c>
      <c r="M19" s="2">
        <v>113.0</v>
      </c>
      <c r="N19" s="2">
        <v>135.0</v>
      </c>
      <c r="O19" s="2">
        <v>150.0</v>
      </c>
      <c r="P19" s="2">
        <v>180.0</v>
      </c>
      <c r="Q19" s="2">
        <v>225.0</v>
      </c>
      <c r="R19" s="2">
        <v>300.0</v>
      </c>
      <c r="S19" s="2">
        <v>450.0</v>
      </c>
    </row>
    <row r="20">
      <c r="A20" s="1" t="s">
        <v>22</v>
      </c>
      <c r="B20" s="1">
        <f t="array" ref="B20:S20">POR_NUMERO_CLIENTES(LAMBDA(col, SUM(INDEX($17:$19,,col))))</f>
        <v>11</v>
      </c>
      <c r="C20" s="2">
        <v>26.0</v>
      </c>
      <c r="D20" s="2">
        <v>51.0</v>
      </c>
      <c r="E20" s="2">
        <v>80.0</v>
      </c>
      <c r="F20" s="2">
        <v>120.0</v>
      </c>
      <c r="G20" s="2">
        <v>171.0</v>
      </c>
      <c r="H20" s="2">
        <v>231.0</v>
      </c>
      <c r="I20" s="2">
        <v>300.0</v>
      </c>
      <c r="J20" s="2">
        <v>380.0</v>
      </c>
      <c r="K20" s="2">
        <v>471.0</v>
      </c>
      <c r="L20" s="2">
        <v>600.0</v>
      </c>
      <c r="M20" s="2">
        <v>751.0</v>
      </c>
      <c r="N20" s="2">
        <v>900.0</v>
      </c>
      <c r="O20" s="2">
        <v>1000.0</v>
      </c>
      <c r="P20" s="2">
        <v>1200.0</v>
      </c>
      <c r="Q20" s="2">
        <v>1500.0</v>
      </c>
      <c r="R20" s="2">
        <v>2000.0</v>
      </c>
      <c r="S20" s="2">
        <v>3000.0</v>
      </c>
    </row>
    <row r="21">
      <c r="A21" s="1" t="s">
        <v>23</v>
      </c>
    </row>
    <row r="22">
      <c r="A22" s="1" t="s">
        <v>24</v>
      </c>
      <c r="B22" s="1">
        <f>POR_NUMERO_CLIENTES(LAMBDA(col, MICELDA(17,col)* $B$3))</f>
        <v>64</v>
      </c>
      <c r="C22" s="2">
        <v>144.0</v>
      </c>
      <c r="D22" s="2">
        <v>288.0</v>
      </c>
      <c r="E22" s="2">
        <v>448.0</v>
      </c>
      <c r="F22" s="2">
        <v>672.0</v>
      </c>
      <c r="G22" s="2">
        <v>960.0</v>
      </c>
      <c r="H22" s="2">
        <v>1296.0</v>
      </c>
      <c r="I22" s="2">
        <v>1680.0</v>
      </c>
      <c r="J22" s="2">
        <v>2128.0</v>
      </c>
      <c r="K22" s="2">
        <v>2640.0</v>
      </c>
      <c r="L22" s="2">
        <v>3360.0</v>
      </c>
      <c r="M22" s="2">
        <v>4208.0</v>
      </c>
      <c r="N22" s="2">
        <v>5040.0</v>
      </c>
      <c r="O22" s="2">
        <v>5600.0</v>
      </c>
      <c r="P22" s="2">
        <v>6720.0</v>
      </c>
      <c r="Q22" s="2">
        <v>8400.0</v>
      </c>
      <c r="R22" s="2">
        <v>11200.0</v>
      </c>
      <c r="S22" s="2">
        <v>16800.0</v>
      </c>
    </row>
    <row r="23">
      <c r="A23" s="1" t="s">
        <v>25</v>
      </c>
      <c r="B23" s="1">
        <f>POR_NUMERO_CLIENTES(LAMBDA(col, MICELDA(18,col)* $B$4))</f>
        <v>220</v>
      </c>
      <c r="C23" s="2">
        <v>572.0</v>
      </c>
      <c r="D23" s="2">
        <v>1100.0</v>
      </c>
      <c r="E23" s="2">
        <v>1760.0</v>
      </c>
      <c r="F23" s="2">
        <v>2640.0</v>
      </c>
      <c r="G23" s="2">
        <v>3740.0</v>
      </c>
      <c r="H23" s="2">
        <v>5060.0</v>
      </c>
      <c r="I23" s="2">
        <v>6600.0</v>
      </c>
      <c r="J23" s="2">
        <v>8360.0</v>
      </c>
      <c r="K23" s="2">
        <v>10340.0</v>
      </c>
      <c r="L23" s="2">
        <v>13200.0</v>
      </c>
      <c r="M23" s="2">
        <v>16500.0</v>
      </c>
      <c r="N23" s="2">
        <v>19800.0</v>
      </c>
      <c r="O23" s="2">
        <v>22000.0</v>
      </c>
      <c r="P23" s="2">
        <v>26400.0</v>
      </c>
      <c r="Q23" s="2">
        <v>33000.0</v>
      </c>
      <c r="R23" s="2">
        <v>44000.0</v>
      </c>
      <c r="S23" s="2">
        <v>66000.0</v>
      </c>
    </row>
    <row r="24">
      <c r="A24" s="1" t="s">
        <v>26</v>
      </c>
      <c r="B24" s="1">
        <f>POR_NUMERO_CLIENTES(LAMBDA(col, MICELDA(19,col)* $B$5))</f>
        <v>198</v>
      </c>
      <c r="C24" s="2">
        <v>396.0</v>
      </c>
      <c r="D24" s="10">
        <v>792.0</v>
      </c>
      <c r="E24" s="2">
        <v>1188.0</v>
      </c>
      <c r="F24" s="2">
        <v>1782.0</v>
      </c>
      <c r="G24" s="2">
        <v>2574.0</v>
      </c>
      <c r="H24" s="2">
        <v>3465.0</v>
      </c>
      <c r="I24" s="2">
        <v>4455.0</v>
      </c>
      <c r="J24" s="2">
        <v>5643.0</v>
      </c>
      <c r="K24" s="2">
        <v>7029.0</v>
      </c>
      <c r="L24" s="2">
        <v>8910.0</v>
      </c>
      <c r="M24" s="2">
        <v>11187.0</v>
      </c>
      <c r="N24" s="2">
        <v>13365.0</v>
      </c>
      <c r="O24" s="2">
        <v>14850.0</v>
      </c>
      <c r="P24" s="2">
        <v>17820.0</v>
      </c>
      <c r="Q24" s="2">
        <v>22275.0</v>
      </c>
      <c r="R24" s="2">
        <v>29700.0</v>
      </c>
      <c r="S24" s="2">
        <v>44550.0</v>
      </c>
    </row>
    <row r="25">
      <c r="A25" s="1" t="s">
        <v>106</v>
      </c>
      <c r="B25" s="2">
        <f t="array" ref="B25:S25">POR_NUMERO_CLIENTES(LAMBDA(col, SUM(INDEX($22:$24,,col))))</f>
        <v>482</v>
      </c>
      <c r="C25" s="2">
        <v>1112.0</v>
      </c>
      <c r="D25" s="2">
        <v>2180.0</v>
      </c>
      <c r="E25" s="2">
        <v>3396.0</v>
      </c>
      <c r="F25" s="2">
        <v>5094.0</v>
      </c>
      <c r="G25" s="2">
        <v>7274.0</v>
      </c>
      <c r="H25" s="2">
        <v>9821.0</v>
      </c>
      <c r="I25" s="2">
        <v>12735.0</v>
      </c>
      <c r="J25" s="2">
        <v>16131.0</v>
      </c>
      <c r="K25" s="2">
        <v>20009.0</v>
      </c>
      <c r="L25" s="2">
        <v>25470.0</v>
      </c>
      <c r="M25" s="2">
        <v>31895.0</v>
      </c>
      <c r="N25" s="2">
        <v>38205.0</v>
      </c>
      <c r="O25" s="2">
        <v>42450.0</v>
      </c>
      <c r="P25" s="2">
        <v>50940.0</v>
      </c>
      <c r="Q25" s="2">
        <v>63675.0</v>
      </c>
      <c r="R25" s="2">
        <v>84900.0</v>
      </c>
      <c r="S25" s="2">
        <v>127350.0</v>
      </c>
    </row>
    <row r="26">
      <c r="A26" s="1" t="s">
        <v>107</v>
      </c>
      <c r="B26" s="2">
        <f>POR_NUMERO_CLIENTES( LAMBDA(col, NETO(MICELDA(25, col) , 21)))</f>
        <v>398.3471074</v>
      </c>
      <c r="C26" s="2">
        <v>919.00826446281</v>
      </c>
      <c r="D26" s="2">
        <v>1801.6528925619834</v>
      </c>
      <c r="E26" s="2">
        <v>2806.6115702479337</v>
      </c>
      <c r="F26" s="2">
        <v>4209.917355371901</v>
      </c>
      <c r="G26" s="2">
        <v>6011.570247933884</v>
      </c>
      <c r="H26" s="2">
        <v>8116.528925619835</v>
      </c>
      <c r="I26" s="2">
        <v>10524.793388429753</v>
      </c>
      <c r="J26" s="2">
        <v>13331.404958677685</v>
      </c>
      <c r="K26" s="2">
        <v>16536.363636363636</v>
      </c>
      <c r="L26" s="2">
        <v>21049.586776859505</v>
      </c>
      <c r="M26" s="2">
        <v>26359.504132231406</v>
      </c>
      <c r="N26" s="2">
        <v>31574.380165289258</v>
      </c>
      <c r="O26" s="2">
        <v>35082.64462809917</v>
      </c>
      <c r="P26" s="2">
        <v>42099.17355371901</v>
      </c>
      <c r="Q26" s="2">
        <v>52623.96694214876</v>
      </c>
      <c r="R26" s="2">
        <v>70165.28925619835</v>
      </c>
      <c r="S26" s="2">
        <v>105247.93388429753</v>
      </c>
    </row>
    <row r="27">
      <c r="A27" s="1" t="s">
        <v>34</v>
      </c>
    </row>
    <row r="28">
      <c r="A28" s="1" t="s">
        <v>108</v>
      </c>
      <c r="B28" s="2">
        <f>POR_NUMERO_CLIENTES(LAMBDA(col, COSTO_VARIABLE_DE_INGRESO(MICELDA(26, col), Costes_Variables!$B10)))</f>
        <v>113.5289256</v>
      </c>
      <c r="C28" s="2">
        <v>261.91735537190084</v>
      </c>
      <c r="D28" s="2">
        <v>513.4710743801653</v>
      </c>
      <c r="E28" s="2">
        <v>799.8842975206611</v>
      </c>
      <c r="F28" s="2">
        <v>1199.8264462809918</v>
      </c>
      <c r="G28" s="2">
        <v>1713.297520661157</v>
      </c>
      <c r="H28" s="2">
        <v>2313.210743801653</v>
      </c>
      <c r="I28" s="2">
        <v>2999.5661157024797</v>
      </c>
      <c r="J28" s="2">
        <v>3799.4504132231405</v>
      </c>
      <c r="K28" s="2">
        <v>4712.863636363636</v>
      </c>
      <c r="L28" s="2">
        <v>5999.132231404959</v>
      </c>
      <c r="M28" s="2">
        <v>7512.458677685951</v>
      </c>
      <c r="N28" s="2">
        <v>8998.698347107438</v>
      </c>
      <c r="O28" s="2">
        <v>9998.553719008265</v>
      </c>
      <c r="P28" s="2">
        <v>11998.264462809919</v>
      </c>
      <c r="Q28" s="2">
        <v>14997.830578512398</v>
      </c>
      <c r="R28" s="2">
        <v>19997.10743801653</v>
      </c>
      <c r="S28" s="2">
        <v>29995.661157024795</v>
      </c>
    </row>
    <row r="29">
      <c r="A29" s="1" t="s">
        <v>109</v>
      </c>
      <c r="B29" s="2">
        <f t="array" ref="B29:S29">POR_NUMERO_CLIENTES(LAMBDA(col, COSTE_VARIABLE_POR_TRANSACCION(INDEX($20:$20,, col), Costes_Variables!$B$13)))</f>
        <v>2.75</v>
      </c>
      <c r="C29" s="2">
        <v>6.5</v>
      </c>
      <c r="D29" s="2">
        <v>12.75</v>
      </c>
      <c r="E29" s="2">
        <v>20.0</v>
      </c>
      <c r="F29" s="2">
        <v>30.0</v>
      </c>
      <c r="G29" s="2">
        <v>42.75</v>
      </c>
      <c r="H29" s="2">
        <v>57.75</v>
      </c>
      <c r="I29" s="2">
        <v>75.0</v>
      </c>
      <c r="J29" s="2">
        <v>95.0</v>
      </c>
      <c r="K29" s="2">
        <v>117.75</v>
      </c>
      <c r="L29" s="2">
        <v>150.0</v>
      </c>
      <c r="M29" s="2">
        <v>187.75</v>
      </c>
      <c r="N29" s="2">
        <v>225.0</v>
      </c>
      <c r="O29" s="2">
        <v>250.0</v>
      </c>
      <c r="P29" s="2">
        <v>300.0</v>
      </c>
      <c r="Q29" s="2">
        <v>375.0</v>
      </c>
      <c r="R29" s="2">
        <v>500.0</v>
      </c>
      <c r="S29" s="2">
        <v>750.0</v>
      </c>
    </row>
    <row r="30">
      <c r="A30" s="1" t="s">
        <v>110</v>
      </c>
      <c r="B30" s="1">
        <f t="array" ref="B30:S30">POR_NUMERO_CLIENTES(LAMBDA(col, SUM(INDEX($28:$29,,col))))</f>
        <v>116.2789256</v>
      </c>
      <c r="C30" s="2">
        <v>268.41735537190084</v>
      </c>
      <c r="D30" s="2">
        <v>526.2210743801653</v>
      </c>
      <c r="E30" s="2">
        <v>819.8842975206611</v>
      </c>
      <c r="F30" s="2">
        <v>1229.8264462809918</v>
      </c>
      <c r="G30" s="2">
        <v>1756.047520661157</v>
      </c>
      <c r="H30" s="2">
        <v>2370.960743801653</v>
      </c>
      <c r="I30" s="2">
        <v>3074.5661157024797</v>
      </c>
      <c r="J30" s="2">
        <v>3894.4504132231405</v>
      </c>
      <c r="K30" s="2">
        <v>4830.613636363636</v>
      </c>
      <c r="L30" s="2">
        <v>6149.132231404959</v>
      </c>
      <c r="M30" s="2">
        <v>7700.208677685951</v>
      </c>
      <c r="N30" s="2">
        <v>9223.698347107438</v>
      </c>
      <c r="O30" s="2">
        <v>10248.553719008265</v>
      </c>
      <c r="P30" s="2">
        <v>12298.264462809919</v>
      </c>
      <c r="Q30" s="2">
        <v>15372.830578512398</v>
      </c>
      <c r="R30" s="2">
        <v>20497.10743801653</v>
      </c>
      <c r="S30" s="2">
        <v>30745.661157024795</v>
      </c>
    </row>
    <row r="31">
      <c r="A31" s="1" t="s">
        <v>111</v>
      </c>
    </row>
    <row r="32">
      <c r="A32" s="1" t="s">
        <v>112</v>
      </c>
      <c r="B32" s="2">
        <f>POR_NUMERO_CLIENTES(LAMBDA(col,  (MICELDA(26, col) * (1 - $B$14/100) - $B$13 - MICELDA(30, col))/Costes_Variables!$B23))</f>
        <v>-119332.0157</v>
      </c>
      <c r="C32" s="2">
        <v>-110827.97919839941</v>
      </c>
      <c r="D32" s="2">
        <v>-96408.16628520947</v>
      </c>
      <c r="E32" s="2">
        <v>-79994.40883881951</v>
      </c>
      <c r="F32" s="2">
        <v>-57070.55939080267</v>
      </c>
      <c r="G32" s="2">
        <v>-27636.61794115901</v>
      </c>
      <c r="H32" s="2">
        <v>6749.156230866233</v>
      </c>
      <c r="I32" s="2">
        <v>46086.763125273</v>
      </c>
      <c r="J32" s="2">
        <v>91934.46202130664</v>
      </c>
      <c r="K32" s="2">
        <v>144292.25291896716</v>
      </c>
      <c r="L32" s="2">
        <v>218015.63398539918</v>
      </c>
      <c r="M32" s="2">
        <v>304759.199055085</v>
      </c>
      <c r="N32" s="2">
        <v>389944.50484552543</v>
      </c>
      <c r="O32" s="2">
        <v>447254.1284655674</v>
      </c>
      <c r="P32" s="2">
        <v>561873.3757056516</v>
      </c>
      <c r="Q32" s="11">
        <v>733802.2465657777</v>
      </c>
      <c r="R32" s="2">
        <v>1020350.3646659879</v>
      </c>
      <c r="S32" s="2">
        <v>1593446.6008664088</v>
      </c>
    </row>
    <row r="33">
      <c r="A33" s="1" t="s">
        <v>113</v>
      </c>
      <c r="B33" s="2" t="str">
        <f>POR_NUMERO_CLIENTES(LAMBDA(col,  IF(MICELDA(32, col) &gt; 0, "🟢 Puedes enviar " &amp; ROUND(MICELDA(32, col), 2) &amp; " mensajes en total entre todos los clientes de todos los planes", "🔴 Te faltan " &amp; (MICELDA(32, col) * Costes_Variables!$B23) &amp; " Euros antes de poder enviar el primer recordatorio. Imposible, matematicamente no se puede.")))</f>
        <v>🔴 Te faltan -3710,03236914601 Euros antes de poder enviar el primer recordatorio. Imposible, matematicamente no se puede.</v>
      </c>
      <c r="C33" s="2" t="s">
        <v>114</v>
      </c>
      <c r="D33" s="2" t="s">
        <v>115</v>
      </c>
      <c r="E33" s="2" t="s">
        <v>116</v>
      </c>
      <c r="F33" s="2" t="s">
        <v>117</v>
      </c>
      <c r="G33" s="2" t="s">
        <v>118</v>
      </c>
      <c r="H33" s="2" t="s">
        <v>119</v>
      </c>
      <c r="I33" s="2" t="s">
        <v>120</v>
      </c>
      <c r="J33" s="2" t="s">
        <v>121</v>
      </c>
      <c r="K33" s="2" t="s">
        <v>122</v>
      </c>
      <c r="L33" s="2" t="s">
        <v>123</v>
      </c>
      <c r="M33" s="2" t="s">
        <v>124</v>
      </c>
      <c r="N33" s="2" t="s">
        <v>125</v>
      </c>
      <c r="O33" s="2" t="s">
        <v>126</v>
      </c>
      <c r="P33" s="2" t="s">
        <v>127</v>
      </c>
      <c r="Q33" s="2" t="s">
        <v>128</v>
      </c>
      <c r="R33" s="2" t="s">
        <v>129</v>
      </c>
      <c r="S33" s="2" t="s">
        <v>130</v>
      </c>
    </row>
    <row r="34">
      <c r="A34" s="1" t="s">
        <v>131</v>
      </c>
      <c r="B34" s="2">
        <f>POR_NUMERO_CLIENTES(LAMBDA(col, MICELDA(32, col)/$B$12))</f>
        <v>-331.4778215</v>
      </c>
      <c r="C34" s="2">
        <v>-307.8554977733317</v>
      </c>
      <c r="D34" s="2">
        <v>-267.80046190335963</v>
      </c>
      <c r="E34" s="2">
        <v>-222.2066912189431</v>
      </c>
      <c r="F34" s="2">
        <v>-158.52933164111852</v>
      </c>
      <c r="G34" s="2">
        <v>-76.76838316988614</v>
      </c>
      <c r="H34" s="2">
        <v>18.74765619685065</v>
      </c>
      <c r="I34" s="2">
        <v>128.01878645909167</v>
      </c>
      <c r="J34" s="2">
        <v>255.37350561474065</v>
      </c>
      <c r="K34" s="2">
        <v>400.8118136637977</v>
      </c>
      <c r="L34" s="2">
        <v>605.5989832927755</v>
      </c>
      <c r="M34" s="2">
        <v>846.5533307085695</v>
      </c>
      <c r="N34" s="2">
        <v>1083.1791801264594</v>
      </c>
      <c r="O34" s="2">
        <v>1242.3725790710207</v>
      </c>
      <c r="P34" s="2">
        <v>1560.7593769601433</v>
      </c>
      <c r="Q34" s="2">
        <v>2038.339573793827</v>
      </c>
      <c r="R34" s="2">
        <v>2834.306568516633</v>
      </c>
      <c r="S34" s="2">
        <v>4426.240557962246</v>
      </c>
    </row>
    <row r="35">
      <c r="A35" s="1" t="s">
        <v>132</v>
      </c>
      <c r="B35" s="2" t="str">
        <f>POR_NUMERO_CLIENTES(LAMBDA(col, IF(MICELDA(34, col) &gt; 0, MICELDA(34, col) * ($B$6*$B$9), "Que no se puede hostias")))</f>
        <v>Que no se puede hostias</v>
      </c>
      <c r="C35" s="2" t="s">
        <v>133</v>
      </c>
      <c r="D35" s="2" t="s">
        <v>133</v>
      </c>
      <c r="E35" s="2" t="s">
        <v>133</v>
      </c>
      <c r="F35" s="2" t="s">
        <v>133</v>
      </c>
      <c r="G35" s="2" t="s">
        <v>133</v>
      </c>
      <c r="H35" s="2">
        <v>656.1679668897727</v>
      </c>
      <c r="I35" s="2">
        <v>4480.657526068208</v>
      </c>
      <c r="J35" s="2">
        <v>8938.072696515923</v>
      </c>
      <c r="K35" s="2">
        <v>14028.41347823292</v>
      </c>
      <c r="L35" s="2">
        <v>21195.964415247145</v>
      </c>
      <c r="M35" s="2">
        <v>29629.366574799933</v>
      </c>
      <c r="N35" s="2">
        <v>37911.27130442608</v>
      </c>
      <c r="O35" s="2">
        <v>43483.040267485725</v>
      </c>
      <c r="P35" s="2">
        <v>54626.57819360502</v>
      </c>
      <c r="Q35" s="2">
        <v>71341.88508278395</v>
      </c>
      <c r="R35" s="2">
        <v>99200.72989808215</v>
      </c>
      <c r="S35" s="2">
        <v>154918.4195286786</v>
      </c>
    </row>
    <row r="36">
      <c r="A36" s="1" t="s">
        <v>134</v>
      </c>
      <c r="B36" s="2" t="str">
        <f>POR_NUMERO_CLIENTES(LAMBDA(col, IF(MICELDA(34, col) &gt; 0, MICELDA(34, col) * ($B$7*$B$10), "Que no se puede hostias")))</f>
        <v>Que no se puede hostias</v>
      </c>
      <c r="C36" s="2" t="s">
        <v>133</v>
      </c>
      <c r="D36" s="2" t="s">
        <v>133</v>
      </c>
      <c r="E36" s="2" t="s">
        <v>133</v>
      </c>
      <c r="F36" s="2" t="s">
        <v>133</v>
      </c>
      <c r="G36" s="2" t="s">
        <v>133</v>
      </c>
      <c r="H36" s="2">
        <v>3280.8398344488637</v>
      </c>
      <c r="I36" s="2">
        <v>22403.28763034104</v>
      </c>
      <c r="J36" s="2">
        <v>44690.36348257961</v>
      </c>
      <c r="K36" s="2">
        <v>70142.0673911646</v>
      </c>
      <c r="L36" s="2">
        <v>105979.82207623572</v>
      </c>
      <c r="M36" s="2">
        <v>148146.83287399967</v>
      </c>
      <c r="N36" s="2">
        <v>189556.3565221304</v>
      </c>
      <c r="O36" s="2">
        <v>217415.20133742862</v>
      </c>
      <c r="P36" s="2">
        <v>273132.8909680251</v>
      </c>
      <c r="Q36" s="2">
        <v>356709.42541391973</v>
      </c>
      <c r="R36" s="2">
        <v>496003.64949041075</v>
      </c>
      <c r="S36" s="2">
        <v>774592.0976433931</v>
      </c>
    </row>
    <row r="37">
      <c r="A37" s="1" t="s">
        <v>135</v>
      </c>
      <c r="B37" s="2" t="str">
        <f>POR_NUMERO_CLIENTES(LAMBDA(col, IF(MICELDA(34, col) &gt; 0, MICELDA(34, col) * ($B$8*$B$11), "Que no se puede hostias")))</f>
        <v>Que no se puede hostias</v>
      </c>
      <c r="C37" s="2" t="s">
        <v>133</v>
      </c>
      <c r="D37" s="2" t="s">
        <v>133</v>
      </c>
      <c r="E37" s="2" t="s">
        <v>133</v>
      </c>
      <c r="F37" s="2" t="s">
        <v>133</v>
      </c>
      <c r="G37" s="2" t="s">
        <v>133</v>
      </c>
      <c r="H37" s="2">
        <v>2812.1484295275973</v>
      </c>
      <c r="I37" s="2">
        <v>19202.81796886375</v>
      </c>
      <c r="J37" s="2">
        <v>38306.0258422111</v>
      </c>
      <c r="K37" s="2">
        <v>60121.772049569656</v>
      </c>
      <c r="L37" s="2">
        <v>90839.84749391633</v>
      </c>
      <c r="M37" s="2">
        <v>126982.99960628543</v>
      </c>
      <c r="N37" s="2">
        <v>162476.87701896892</v>
      </c>
      <c r="O37" s="2">
        <v>186355.88686065312</v>
      </c>
      <c r="P37" s="2">
        <v>234113.9065440215</v>
      </c>
      <c r="Q37" s="2">
        <v>305750.936069074</v>
      </c>
      <c r="R37" s="2">
        <v>425145.98527749494</v>
      </c>
      <c r="S37" s="2">
        <v>663936.0836943369</v>
      </c>
    </row>
    <row r="38">
      <c r="A38" s="1" t="s">
        <v>5</v>
      </c>
      <c r="B38" s="2" t="str">
        <f>POR_NUMERO_CLIENTES(LAMBDA(col, IFERROR(MICELDA(35, col)/MICELDA(17, col),"")))</f>
        <v/>
      </c>
      <c r="C38" s="2"/>
      <c r="D38" s="2"/>
      <c r="E38" s="2"/>
      <c r="F38" s="2"/>
      <c r="G38" s="2"/>
      <c r="H38" s="2">
        <v>8.100839097404602</v>
      </c>
      <c r="I38" s="2">
        <v>42.672928819697226</v>
      </c>
      <c r="J38" s="2">
        <v>67.20355410914227</v>
      </c>
      <c r="K38" s="2">
        <v>85.02068774686619</v>
      </c>
      <c r="L38" s="2">
        <v>100.93316388212926</v>
      </c>
      <c r="M38" s="2">
        <v>112.65918849733815</v>
      </c>
      <c r="N38" s="2">
        <v>120.35324223627327</v>
      </c>
      <c r="O38" s="2">
        <v>124.23725790710208</v>
      </c>
      <c r="P38" s="2">
        <v>130.0632814133453</v>
      </c>
      <c r="Q38" s="2">
        <v>135.88930491958848</v>
      </c>
      <c r="R38" s="2">
        <v>141.71532842583164</v>
      </c>
      <c r="S38" s="2">
        <v>147.54135193207486</v>
      </c>
    </row>
    <row r="39">
      <c r="A39" s="1" t="s">
        <v>6</v>
      </c>
      <c r="B39" s="2" t="str">
        <f>POR_NUMERO_CLIENTES(LAMBDA(col, IFERROR(MICELDA(36, col)/MICELDA(18, col),"")))</f>
        <v/>
      </c>
      <c r="C39" s="2"/>
      <c r="D39" s="2"/>
      <c r="E39" s="2"/>
      <c r="F39" s="2"/>
      <c r="G39" s="2"/>
      <c r="H39" s="2">
        <v>28.52904203868577</v>
      </c>
      <c r="I39" s="2">
        <v>149.3552508689403</v>
      </c>
      <c r="J39" s="2">
        <v>235.21243938199794</v>
      </c>
      <c r="K39" s="2">
        <v>298.47688251559407</v>
      </c>
      <c r="L39" s="2">
        <v>353.2660735874524</v>
      </c>
      <c r="M39" s="2">
        <v>395.05822099733246</v>
      </c>
      <c r="N39" s="2">
        <v>421.23634782695643</v>
      </c>
      <c r="O39" s="2">
        <v>434.8304026748572</v>
      </c>
      <c r="P39" s="2">
        <v>455.2214849467085</v>
      </c>
      <c r="Q39" s="2">
        <v>475.61256721855966</v>
      </c>
      <c r="R39" s="2">
        <v>496.00364949041074</v>
      </c>
      <c r="S39" s="2">
        <v>516.394731762262</v>
      </c>
    </row>
    <row r="40">
      <c r="A40" s="1" t="s">
        <v>8</v>
      </c>
      <c r="B40" s="2" t="str">
        <f>POR_NUMERO_CLIENTES(LAMBDA(col, IFERROR(MICELDA(37, col)/MICELDA(19, col),"")))</f>
        <v/>
      </c>
      <c r="C40" s="2"/>
      <c r="D40" s="2"/>
      <c r="E40" s="2"/>
      <c r="F40" s="2"/>
      <c r="G40" s="2"/>
      <c r="H40" s="2">
        <v>80.34709798650277</v>
      </c>
      <c r="I40" s="2">
        <v>426.7292881969722</v>
      </c>
      <c r="J40" s="2">
        <v>672.0355410914228</v>
      </c>
      <c r="K40" s="2">
        <v>846.7855218249248</v>
      </c>
      <c r="L40" s="2">
        <v>1009.3316388212926</v>
      </c>
      <c r="M40" s="2">
        <v>1123.7433593476587</v>
      </c>
      <c r="N40" s="2">
        <v>1203.5324223627329</v>
      </c>
      <c r="O40" s="2">
        <v>1242.3725790710207</v>
      </c>
      <c r="P40" s="2">
        <v>1300.6328141334527</v>
      </c>
      <c r="Q40" s="2">
        <v>1358.8930491958845</v>
      </c>
      <c r="R40" s="2">
        <v>1417.1532842583165</v>
      </c>
      <c r="S40" s="2">
        <v>1475.4135193207487</v>
      </c>
    </row>
    <row r="41">
      <c r="A41" s="1" t="s">
        <v>136</v>
      </c>
      <c r="B41" s="2" t="str">
        <f>POR_NUMERO_CLIENTES(LAMBDA(col, IFERROR($B$3/MICELDA(38, col),"")))</f>
        <v/>
      </c>
      <c r="C41" s="2"/>
      <c r="D41" s="2"/>
      <c r="E41" s="2"/>
      <c r="F41" s="2"/>
      <c r="G41" s="2"/>
      <c r="H41" s="2">
        <v>1.9751040364603933</v>
      </c>
      <c r="I41" s="2">
        <v>0.374944969622395</v>
      </c>
      <c r="J41" s="2">
        <v>0.2380826462543204</v>
      </c>
      <c r="K41" s="2">
        <v>0.18818949156982973</v>
      </c>
      <c r="L41" s="2">
        <v>0.158520741692839</v>
      </c>
      <c r="M41" s="2">
        <v>0.14202126087902753</v>
      </c>
      <c r="N41" s="2">
        <v>0.13294199393971756</v>
      </c>
      <c r="O41" s="2">
        <v>0.12878584306781737</v>
      </c>
      <c r="P41" s="2">
        <v>0.1230170408291598</v>
      </c>
      <c r="Q41" s="2">
        <v>0.11774289381690402</v>
      </c>
      <c r="R41" s="2">
        <v>0.11290239508828986</v>
      </c>
      <c r="S41" s="2">
        <v>0.1084441737213177</v>
      </c>
    </row>
    <row r="42">
      <c r="A42" s="1" t="s">
        <v>137</v>
      </c>
      <c r="B42" s="2" t="str">
        <f>POR_NUMERO_CLIENTES(LAMBDA(col, IFERROR($B$4/MICELDA(39, col),"")))</f>
        <v/>
      </c>
      <c r="C42" s="2"/>
      <c r="D42" s="2"/>
      <c r="E42" s="2"/>
      <c r="F42" s="2"/>
      <c r="G42" s="2"/>
      <c r="H42" s="2">
        <v>1.542288028470616</v>
      </c>
      <c r="I42" s="2">
        <v>0.29459961898902465</v>
      </c>
      <c r="J42" s="2">
        <v>0.18706493634268032</v>
      </c>
      <c r="K42" s="2">
        <v>0.14741510172969996</v>
      </c>
      <c r="L42" s="2">
        <v>0.1245520113300878</v>
      </c>
      <c r="M42" s="2">
        <v>0.11137598880722216</v>
      </c>
      <c r="N42" s="2">
        <v>0.10445442380977808</v>
      </c>
      <c r="O42" s="2">
        <v>0.10118887669614222</v>
      </c>
      <c r="P42" s="2">
        <v>0.09665624636576843</v>
      </c>
      <c r="Q42" s="2">
        <v>0.09251227371328173</v>
      </c>
      <c r="R42" s="2">
        <v>0.08870902471222776</v>
      </c>
      <c r="S42" s="2">
        <v>0.08520613649532105</v>
      </c>
    </row>
    <row r="43">
      <c r="A43" s="1" t="s">
        <v>138</v>
      </c>
      <c r="B43" s="2" t="str">
        <f>POR_NUMERO_CLIENTES(LAMBDA(col, IFERROR($B$5/MICELDA(40, col),"")))</f>
        <v/>
      </c>
      <c r="C43" s="2"/>
      <c r="D43" s="2"/>
      <c r="E43" s="2"/>
      <c r="F43" s="2"/>
      <c r="G43" s="2"/>
      <c r="H43" s="2">
        <v>1.2321540227455465</v>
      </c>
      <c r="I43" s="2">
        <v>0.23199719995385693</v>
      </c>
      <c r="J43" s="2">
        <v>0.14731363736986072</v>
      </c>
      <c r="K43" s="2">
        <v>0.11691272163775672</v>
      </c>
      <c r="L43" s="2">
        <v>0.09808470892244414</v>
      </c>
      <c r="M43" s="2">
        <v>0.08809840714651274</v>
      </c>
      <c r="N43" s="2">
        <v>0.08225785875020022</v>
      </c>
      <c r="O43" s="2">
        <v>0.079686240398212</v>
      </c>
      <c r="P43" s="2">
        <v>0.07611679401304264</v>
      </c>
      <c r="Q43" s="2">
        <v>0.07285341554920938</v>
      </c>
      <c r="R43" s="2">
        <v>0.06985835696087936</v>
      </c>
      <c r="S43" s="2">
        <v>0.06709983249006532</v>
      </c>
    </row>
    <row r="44">
      <c r="A44" s="1" t="s">
        <v>139</v>
      </c>
      <c r="B44" s="2">
        <f>POR_NUMERO_CLIENTES(LAMBDA(col, (MICELDA(38, col)*MICELDA(17, col))+(MICELDA(39, col)*MICELDA(18, col))+(MICELDA(40, col)*MICELDA(19, col))))</f>
        <v>0</v>
      </c>
      <c r="C44" s="2">
        <v>0.0</v>
      </c>
      <c r="D44" s="2">
        <v>0.0</v>
      </c>
      <c r="E44" s="2">
        <v>0.0</v>
      </c>
      <c r="F44" s="2">
        <v>0.0</v>
      </c>
      <c r="G44" s="2">
        <v>0.0</v>
      </c>
      <c r="H44" s="2">
        <v>6749.156230866234</v>
      </c>
      <c r="I44" s="2">
        <v>46086.763125273006</v>
      </c>
      <c r="J44" s="2">
        <v>91934.46202130662</v>
      </c>
      <c r="K44" s="2">
        <v>144292.2529189672</v>
      </c>
      <c r="L44" s="2">
        <v>218015.6339853992</v>
      </c>
      <c r="M44" s="2">
        <v>304759.199055085</v>
      </c>
      <c r="N44" s="2">
        <v>389944.5048455254</v>
      </c>
      <c r="O44" s="2">
        <v>447254.1284655675</v>
      </c>
      <c r="P44" s="2">
        <v>561873.3757056516</v>
      </c>
      <c r="Q44" s="11">
        <v>733802.2465657777</v>
      </c>
      <c r="R44" s="2">
        <v>1020350.3646659879</v>
      </c>
      <c r="S44" s="2">
        <v>1593446.6008664086</v>
      </c>
    </row>
    <row r="45">
      <c r="B45" s="12" t="str">
        <f>POR_NUMERO_CLIENTES(LAMBDA(col, IF(MICELDA(32, col) &lt; 0, "No se puede hostias", IF(ROUND(MICELDA(32, col), 4)=ROUND(MICELDA(44, col), 4), "🟢", "🔴"))))</f>
        <v>No se puede hostias</v>
      </c>
      <c r="C45" s="12" t="s">
        <v>140</v>
      </c>
      <c r="D45" s="12" t="s">
        <v>140</v>
      </c>
      <c r="E45" s="12" t="s">
        <v>140</v>
      </c>
      <c r="F45" s="12" t="s">
        <v>140</v>
      </c>
      <c r="G45" s="12" t="s">
        <v>140</v>
      </c>
      <c r="H45" s="12" t="s">
        <v>141</v>
      </c>
      <c r="I45" s="12" t="s">
        <v>141</v>
      </c>
      <c r="J45" s="12" t="s">
        <v>141</v>
      </c>
      <c r="K45" s="12" t="s">
        <v>141</v>
      </c>
      <c r="L45" s="12" t="s">
        <v>141</v>
      </c>
      <c r="M45" s="12" t="s">
        <v>141</v>
      </c>
      <c r="N45" s="12" t="s">
        <v>141</v>
      </c>
      <c r="O45" s="12" t="s">
        <v>141</v>
      </c>
      <c r="P45" s="12" t="s">
        <v>141</v>
      </c>
      <c r="Q45" s="12" t="s">
        <v>141</v>
      </c>
      <c r="R45" s="12" t="s">
        <v>141</v>
      </c>
      <c r="S45" s="12" t="s">
        <v>141</v>
      </c>
    </row>
    <row r="47">
      <c r="A47" s="1" t="s">
        <v>142</v>
      </c>
    </row>
    <row r="48">
      <c r="A48" s="1" t="s">
        <v>143</v>
      </c>
    </row>
    <row r="49">
      <c r="A49" s="1" t="s">
        <v>144</v>
      </c>
    </row>
    <row r="50">
      <c r="A50" s="1" t="s">
        <v>145</v>
      </c>
    </row>
    <row r="52">
      <c r="A52" s="1" t="s">
        <v>146</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8.5"/>
  </cols>
  <sheetData>
    <row r="1">
      <c r="A1" s="1" t="s">
        <v>34</v>
      </c>
      <c r="C1" s="1" t="s">
        <v>147</v>
      </c>
    </row>
    <row r="2">
      <c r="A2" s="1" t="s">
        <v>148</v>
      </c>
    </row>
    <row r="3">
      <c r="A3" s="1" t="s">
        <v>149</v>
      </c>
      <c r="B3" s="1">
        <v>1.5</v>
      </c>
      <c r="C3" s="1" t="s">
        <v>150</v>
      </c>
    </row>
    <row r="4">
      <c r="A4" s="1" t="s">
        <v>151</v>
      </c>
      <c r="B4" s="1">
        <v>10.0</v>
      </c>
    </row>
    <row r="5">
      <c r="A5" s="1" t="s">
        <v>152</v>
      </c>
      <c r="B5" s="1">
        <v>5.0</v>
      </c>
    </row>
    <row r="6">
      <c r="A6" s="1" t="s">
        <v>153</v>
      </c>
      <c r="B6" s="1">
        <v>7.0</v>
      </c>
    </row>
    <row r="9">
      <c r="A9" s="1" t="s">
        <v>154</v>
      </c>
      <c r="B9" s="2">
        <f>B5</f>
        <v>5</v>
      </c>
    </row>
    <row r="10">
      <c r="A10" s="1" t="s">
        <v>155</v>
      </c>
      <c r="B10" s="2">
        <f>SUM(B3:B9)</f>
        <v>28.5</v>
      </c>
    </row>
    <row r="11">
      <c r="A11" s="1" t="s">
        <v>156</v>
      </c>
      <c r="B11" s="2">
        <f>B10-B5</f>
        <v>23.5</v>
      </c>
    </row>
    <row r="12">
      <c r="A12" s="1" t="s">
        <v>157</v>
      </c>
    </row>
    <row r="13">
      <c r="A13" s="1" t="s">
        <v>158</v>
      </c>
      <c r="B13" s="1">
        <v>0.25</v>
      </c>
      <c r="C13" s="1" t="s">
        <v>150</v>
      </c>
    </row>
    <row r="20">
      <c r="A20" s="1" t="s">
        <v>155</v>
      </c>
      <c r="B20" s="2">
        <f>SUM(B13:B19)</f>
        <v>0.25</v>
      </c>
    </row>
    <row r="22">
      <c r="A22" s="1" t="s">
        <v>159</v>
      </c>
    </row>
    <row r="23">
      <c r="A23" s="1" t="s">
        <v>160</v>
      </c>
      <c r="B23" s="1">
        <v>0.03109</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1</v>
      </c>
      <c r="B1" s="1">
        <v>10.0</v>
      </c>
      <c r="C1" s="1">
        <v>25.0</v>
      </c>
      <c r="D1" s="1">
        <v>50.0</v>
      </c>
      <c r="E1" s="1">
        <v>80.0</v>
      </c>
      <c r="F1" s="1">
        <v>120.0</v>
      </c>
      <c r="G1" s="1">
        <v>170.0</v>
      </c>
      <c r="H1" s="1">
        <v>230.0</v>
      </c>
      <c r="I1" s="1">
        <v>300.0</v>
      </c>
      <c r="J1" s="1">
        <v>380.0</v>
      </c>
      <c r="K1" s="1">
        <v>470.0</v>
      </c>
      <c r="L1" s="1">
        <v>600.0</v>
      </c>
      <c r="M1" s="1">
        <v>750.0</v>
      </c>
      <c r="N1" s="1">
        <v>900.0</v>
      </c>
      <c r="O1" s="1">
        <v>1000.0</v>
      </c>
      <c r="P1" s="1">
        <v>1200.0</v>
      </c>
      <c r="Q1" s="1">
        <v>1500.0</v>
      </c>
      <c r="R1" s="1">
        <v>2000.0</v>
      </c>
      <c r="S1" s="1">
        <v>3000.0</v>
      </c>
    </row>
    <row r="3">
      <c r="A3" s="1" t="s">
        <v>161</v>
      </c>
    </row>
    <row r="4">
      <c r="A4" s="1" t="s">
        <v>162</v>
      </c>
      <c r="B4" s="1">
        <v>12450.0</v>
      </c>
      <c r="C4" s="1">
        <v>13362.0</v>
      </c>
      <c r="D4" s="1">
        <v>19004.0</v>
      </c>
      <c r="E4" s="1">
        <v>20200.0</v>
      </c>
      <c r="F4" s="1">
        <v>35200.0</v>
      </c>
      <c r="G4" s="1">
        <v>35425.0</v>
      </c>
      <c r="H4" s="1">
        <v>57320.0</v>
      </c>
      <c r="I4" s="1">
        <v>60000.0</v>
      </c>
      <c r="J4" s="1">
        <v>300000.0</v>
      </c>
      <c r="K4" s="1">
        <v>1.0E7</v>
      </c>
    </row>
    <row r="5">
      <c r="A5" s="1" t="s">
        <v>163</v>
      </c>
      <c r="B5" s="1">
        <v>0.18</v>
      </c>
      <c r="C5" s="1">
        <v>0.205</v>
      </c>
      <c r="D5" s="1">
        <v>0.227</v>
      </c>
      <c r="E5" s="1">
        <v>0.248</v>
      </c>
      <c r="F5" s="1">
        <v>0.278</v>
      </c>
      <c r="G5" s="1">
        <v>0.313</v>
      </c>
      <c r="H5" s="1">
        <v>0.359</v>
      </c>
      <c r="I5" s="1">
        <v>0.39</v>
      </c>
      <c r="J5" s="1">
        <v>0.43</v>
      </c>
      <c r="K5" s="1">
        <v>0.45</v>
      </c>
    </row>
    <row r="6">
      <c r="A6" s="13" t="s">
        <v>164</v>
      </c>
    </row>
    <row r="12">
      <c r="A12" s="1">
        <v>50.0</v>
      </c>
      <c r="B12" s="1">
        <v>100.0</v>
      </c>
    </row>
    <row r="13">
      <c r="A13" s="2">
        <f t="shared" ref="A13:L13" si="1">A12*2</f>
        <v>100</v>
      </c>
      <c r="B13" s="2">
        <f t="shared" si="1"/>
        <v>200</v>
      </c>
      <c r="C13" s="2">
        <f t="shared" si="1"/>
        <v>0</v>
      </c>
      <c r="D13" s="2">
        <f t="shared" si="1"/>
        <v>0</v>
      </c>
      <c r="E13" s="2">
        <f t="shared" si="1"/>
        <v>0</v>
      </c>
      <c r="F13" s="2">
        <f t="shared" si="1"/>
        <v>0</v>
      </c>
      <c r="G13" s="2">
        <f t="shared" si="1"/>
        <v>0</v>
      </c>
      <c r="H13" s="2">
        <f t="shared" si="1"/>
        <v>0</v>
      </c>
      <c r="I13" s="2">
        <f t="shared" si="1"/>
        <v>0</v>
      </c>
      <c r="J13" s="2">
        <f t="shared" si="1"/>
        <v>0</v>
      </c>
      <c r="K13" s="2">
        <f t="shared" si="1"/>
        <v>0</v>
      </c>
      <c r="L13" s="2">
        <f t="shared" si="1"/>
        <v>0</v>
      </c>
    </row>
  </sheetData>
  <hyperlinks>
    <hyperlink r:id="rId1" ref="A6"/>
  </hyperlinks>
  <drawing r:id="rId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38"/>
    <col customWidth="1" min="2" max="2" width="33.13"/>
  </cols>
  <sheetData>
    <row r="1">
      <c r="A1" s="3" t="s">
        <v>165</v>
      </c>
      <c r="B1" s="1" t="s">
        <v>166</v>
      </c>
      <c r="C1" s="3" t="s">
        <v>167</v>
      </c>
      <c r="D1" s="1" t="s">
        <v>168</v>
      </c>
      <c r="E1" s="1" t="s">
        <v>169</v>
      </c>
      <c r="F1" s="1" t="s">
        <v>147</v>
      </c>
    </row>
    <row r="2">
      <c r="A2" s="6" t="s">
        <v>170</v>
      </c>
      <c r="B2" s="2">
        <f t="shared" ref="B2:B10" si="1">C2/D2</f>
        <v>500</v>
      </c>
      <c r="C2" s="4">
        <f>500</f>
        <v>500</v>
      </c>
      <c r="D2" s="1">
        <v>1.0</v>
      </c>
      <c r="E2" s="1" t="s">
        <v>171</v>
      </c>
      <c r="F2" s="1" t="s">
        <v>172</v>
      </c>
    </row>
    <row r="3">
      <c r="A3" s="6" t="s">
        <v>173</v>
      </c>
      <c r="B3" s="2">
        <f t="shared" si="1"/>
        <v>100</v>
      </c>
      <c r="C3" s="4">
        <f>100</f>
        <v>100</v>
      </c>
      <c r="D3" s="1">
        <v>1.0</v>
      </c>
      <c r="E3" s="1" t="s">
        <v>171</v>
      </c>
      <c r="F3" s="1" t="s">
        <v>174</v>
      </c>
    </row>
    <row r="4">
      <c r="A4" s="6" t="s">
        <v>175</v>
      </c>
      <c r="B4" s="2">
        <f t="shared" si="1"/>
        <v>50</v>
      </c>
      <c r="C4" s="4">
        <f t="shared" ref="C4:C5" si="2">50</f>
        <v>50</v>
      </c>
      <c r="D4" s="1">
        <v>1.0</v>
      </c>
      <c r="E4" s="1" t="s">
        <v>171</v>
      </c>
      <c r="F4" s="1" t="s">
        <v>176</v>
      </c>
    </row>
    <row r="5">
      <c r="A5" s="3" t="s">
        <v>177</v>
      </c>
      <c r="B5" s="2">
        <f t="shared" si="1"/>
        <v>50</v>
      </c>
      <c r="C5" s="4">
        <f t="shared" si="2"/>
        <v>50</v>
      </c>
      <c r="D5" s="1">
        <v>1.0</v>
      </c>
      <c r="E5" s="1" t="s">
        <v>171</v>
      </c>
      <c r="F5" s="1" t="s">
        <v>178</v>
      </c>
    </row>
    <row r="6">
      <c r="A6" s="6" t="s">
        <v>179</v>
      </c>
      <c r="B6" s="2">
        <f t="shared" si="1"/>
        <v>3.333333333</v>
      </c>
      <c r="C6" s="4">
        <f>40</f>
        <v>40</v>
      </c>
      <c r="D6" s="1">
        <v>12.0</v>
      </c>
      <c r="E6" s="1" t="s">
        <v>180</v>
      </c>
      <c r="F6" s="1" t="s">
        <v>181</v>
      </c>
    </row>
    <row r="7">
      <c r="A7" s="3" t="s">
        <v>182</v>
      </c>
      <c r="B7" s="2">
        <f t="shared" si="1"/>
        <v>2.708333333</v>
      </c>
      <c r="C7" s="4">
        <f>65</f>
        <v>65</v>
      </c>
      <c r="D7" s="1">
        <v>24.0</v>
      </c>
      <c r="E7" s="1" t="s">
        <v>183</v>
      </c>
      <c r="F7" s="13" t="s">
        <v>184</v>
      </c>
    </row>
    <row r="8">
      <c r="A8" s="1" t="s">
        <v>185</v>
      </c>
      <c r="B8" s="1">
        <f t="shared" si="1"/>
        <v>10</v>
      </c>
      <c r="C8" s="14">
        <v>10.0</v>
      </c>
      <c r="D8" s="1">
        <v>1.0</v>
      </c>
      <c r="E8" s="1" t="s">
        <v>171</v>
      </c>
      <c r="F8" s="1" t="s">
        <v>186</v>
      </c>
    </row>
    <row r="9">
      <c r="A9" s="1" t="s">
        <v>187</v>
      </c>
      <c r="B9" s="2">
        <f t="shared" si="1"/>
        <v>8</v>
      </c>
      <c r="C9" s="1">
        <v>8.0</v>
      </c>
      <c r="D9" s="1">
        <v>1.0</v>
      </c>
      <c r="E9" s="1" t="s">
        <v>171</v>
      </c>
    </row>
    <row r="10">
      <c r="A10" s="1" t="s">
        <v>188</v>
      </c>
      <c r="B10" s="2">
        <f t="shared" si="1"/>
        <v>10</v>
      </c>
      <c r="C10" s="1">
        <v>10.0</v>
      </c>
      <c r="D10" s="1">
        <v>1.0</v>
      </c>
      <c r="E10" s="1" t="s">
        <v>171</v>
      </c>
    </row>
    <row r="11">
      <c r="A11" s="1" t="s">
        <v>189</v>
      </c>
      <c r="B11" s="2">
        <f t="shared" ref="B11:B12" si="3">2000</f>
        <v>2000</v>
      </c>
    </row>
    <row r="12">
      <c r="A12" s="1" t="s">
        <v>190</v>
      </c>
      <c r="B12" s="2">
        <f t="shared" si="3"/>
        <v>2000</v>
      </c>
    </row>
    <row r="20">
      <c r="A20" s="3" t="s">
        <v>191</v>
      </c>
      <c r="B20" s="2">
        <f>SUM(B2:B19)</f>
        <v>4734.041667</v>
      </c>
    </row>
  </sheetData>
  <hyperlinks>
    <hyperlink r:id="rId1" ref="F7"/>
  </hyperlinks>
  <drawing r:id="rId2"/>
</worksheet>
</file>