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ejledning" sheetId="1" state="visible" r:id="rId3"/>
    <sheet name="Forudsætninger" sheetId="2" state="visible" r:id="rId4"/>
    <sheet name="Kapacitet" sheetId="3" state="visible" r:id="rId5"/>
    <sheet name="Kvotefordeling" sheetId="4" state="visible" r:id="rId6"/>
    <sheet name="OTE og provision" sheetId="5" state="visible" r:id="rId7"/>
    <sheet name="Overblik" sheetId="6" state="visible" r:id="rId8"/>
  </sheets>
  <definedNames>
    <definedName function="false" hidden="false" localSheetId="1" name="_xlnm.Print_Area" vbProcedure="false">Forudsætninger!$A$1:$E$41</definedName>
    <definedName function="false" hidden="false" localSheetId="2" name="_xlnm.Print_Area" vbProcedure="false">Kapacitet!$A$1:$E$27</definedName>
    <definedName function="false" hidden="false" localSheetId="3" name="_xlnm.Print_Area" vbProcedure="false">Kvotefordeling!$A$1:$S$31</definedName>
    <definedName function="false" hidden="false" localSheetId="4" name="_xlnm.Print_Area" vbProcedure="false">'OTE og provision'!$A$1:$I$44</definedName>
    <definedName function="false" hidden="false" localSheetId="5" name="_xlnm.Print_Area" vbProcedure="false">Overblik!$A$1:$F$48</definedName>
    <definedName function="false" hidden="false" localSheetId="0" name="_xlnm.Print_Area" vbProcedure="false">Vejledning!$A$1:$D$37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<sst xmlns="http://schemas.openxmlformats.org/spreadsheetml/2006/main" count="271" uniqueCount="228">
  <si>
    <t xml:space="preserve">Gratis skabelon fra Prowi</t>
  </si>
  <si>
    <t xml:space="preserve">Salgsbudget</t>
  </si>
  <si>
    <t xml:space="preserve">Fra omsætningsmål til sælgere, kvoter og provisionsomkostning</t>
  </si>
  <si>
    <t xml:space="preserve">Regnearket regner baglæns fra jeres omsætningsmål: hvor meget pipeline og hvor mange handler der skal til, hvor mange sælgere I skal have, hvordan kvoterne fordeles pr. sælger og måned, og hvad salgslønnen koster ved 80, 100 og 120 % målopfyldelse. Det indeholder eksempeldata for 10 sælgere, så du kan se, hvordan det virker.</t>
  </si>
  <si>
    <t xml:space="preserve">Trin for trin</t>
  </si>
  <si>
    <t xml:space="preserve">1. Forudsætninger</t>
  </si>
  <si>
    <t xml:space="preserve">Skriv omsætningsmål, ordrestørrelse, win rate, salgscyklus, kvote, opstartsperiode, sælgerafgang, løn og sæsonfordeling. Det er de eneste tal, regnearket bygger på, ud over sælgerlisten.</t>
  </si>
  <si>
    <t xml:space="preserve">2. Kapacitet</t>
  </si>
  <si>
    <t xml:space="preserve">Viser nødvendig pipeline, antal handler og salgsmuligheder, og hvor mange sælgere I skal have, når opstart og afgang er regnet med. Her skal du ikke skrive noget.</t>
  </si>
  <si>
    <t xml:space="preserve">3. Kvotefordeling</t>
  </si>
  <si>
    <t xml:space="preserve">Skriv sælgerne ind (op til 20) med startmåned, og om de er nye. Arket fordeler årskvoten på måneder efter sæsonfordelingen og nedsætter kvoten i opstartsperioden.</t>
  </si>
  <si>
    <t xml:space="preserve">4. OTE og provision</t>
  </si>
  <si>
    <t xml:space="preserve">Viser OTE, pay mix og provisionssats (variabel løn ÷ kvote) og provisionen pr. sælger ved 80, 100 og 120 % målopfyldelse. Målopfyldelserne kan ændres.</t>
  </si>
  <si>
    <t xml:space="preserve">5. Overblik</t>
  </si>
  <si>
    <t xml:space="preserve">Samler budgettet: sælgere, kvote, pipeline, salgslønomkostninger og omkostning i % af omsætningen (cost of sales) for de tre scenarier og pr. måned.</t>
  </si>
  <si>
    <t xml:space="preserve">Farver</t>
  </si>
  <si>
    <t xml:space="preserve">Lavendel felt, lilla tekst</t>
  </si>
  <si>
    <t xml:space="preserve">Her skriver du. Alt andet er formler.</t>
  </si>
  <si>
    <t xml:space="preserve">Gråt felt</t>
  </si>
  <si>
    <t xml:space="preserve">Beregnet automatisk. Ret ikke i formlerne, medmindre du ved, hvad du gør.</t>
  </si>
  <si>
    <t xml:space="preserve">Lyseblåt felt</t>
  </si>
  <si>
    <t xml:space="preserve">Resultater og totaler.</t>
  </si>
  <si>
    <t xml:space="preserve">Sådan regner arket</t>
  </si>
  <si>
    <t xml:space="preserve">Handler og pipeline</t>
  </si>
  <si>
    <t xml:space="preserve">Handler = omsætningsmål ÷ ordrestørrelse. Salgsmuligheder = handler ÷ win rate. Nødvendig pipeline = omsætningsmål ÷ win rate, og pipeline coverage = pipeline ÷ mål.</t>
  </si>
  <si>
    <t xml:space="preserve">Kapacitet pr. sælger</t>
  </si>
  <si>
    <t xml:space="preserve">Årskvote × planlagt målopfyldelse. Fuldt produktive sælgere (FTE) = omsætningsmål ÷ kapacitet pr. sælger.</t>
  </si>
  <si>
    <t xml:space="preserve">Opstart og afgang</t>
  </si>
  <si>
    <t xml:space="preserve">En ny sælger mister opstartsmåneder × (1 − produktivitet i opstart) ÷ 12 af et års kapacitet. En sælger, der stopper, koster rekrutteringstid plus en ny opstart. Antal sælgere = (FTE − sælgere ved start × tab pr. ny) ÷ (1 − afgang × tab pr. afgang − tab pr. ny). Nye sælgere antages at starte ved årets begyndelse.</t>
  </si>
  <si>
    <t xml:space="preserve">Kvote pr. måned</t>
  </si>
  <si>
    <t xml:space="preserve">Årskvote × månedens andel af sæsonfordelingen. Før startmåneden er kvoten 0, og i opstartsperioden ganges den med produktiviteten i opstart. Afgang er ikke med i kvoteplanen, fordi I ikke ved, hvem der stopper.</t>
  </si>
  <si>
    <t xml:space="preserve">Provisionssats</t>
  </si>
  <si>
    <t xml:space="preserve">Variabel løn ved 100 % ÷ sælgerens årskvote. Over 100 % ganges satsen med acceleratorfaktoren. Sæt faktoren til 1, hvis I ikke bruger accelerator.</t>
  </si>
  <si>
    <t xml:space="preserve">Cost of sales</t>
  </si>
  <si>
    <t xml:space="preserve">Grundløn + provision + øvrige lønomkostninger ÷ omsætning i scenariet. Omsætning = kvote i alt × målopfyldelse.</t>
  </si>
  <si>
    <t xml:space="preserve">Pipeline pr. måned</t>
  </si>
  <si>
    <t xml:space="preserve">Pipeline, der skal skabes i en måned = kvoten i måneden salgscyklussen senere ÷ win rate. For de sidste måneder bruges årets sæsonfordeling for næste år.</t>
  </si>
  <si>
    <t xml:space="preserve">Godt at vide</t>
  </si>
  <si>
    <t xml:space="preserve">•</t>
  </si>
  <si>
    <t xml:space="preserve">Alle tal i arket er eksempler. Brug jeres egne tal fra CRM og regnskab, fx win rate og ordrestørrelse for de seneste 12 måneder.</t>
  </si>
  <si>
    <t xml:space="preserve">Budgettet er en model, ikke en garanti. Brug det til at teste, hvad der sker, hvis win rate falder, eller en ansættelse bliver forsinket.</t>
  </si>
  <si>
    <t xml:space="preserve">Løn er uden feriepenge, pension og andre tillæg, medmindre I lægger dem i 'Øvrige lønomkostninger'.</t>
  </si>
  <si>
    <t xml:space="preserve">Ingen makroer. Alle beregninger er almindelige formler, som virker i Excel, Google Sheets, Numbers og LibreOffice.</t>
  </si>
  <si>
    <t xml:space="preserve">prowi.io · Gratis skabelon fra Prowi</t>
  </si>
  <si>
    <t xml:space="preserve">Forudsætninger</t>
  </si>
  <si>
    <t xml:space="preserve">Skriv kun i de lavendel felter. Alle andre ark regner ud fra tallene her og sælgerlisten i Kvotefordeling.</t>
  </si>
  <si>
    <t xml:space="preserve">Mål og salgsproces</t>
  </si>
  <si>
    <t xml:space="preserve">År</t>
  </si>
  <si>
    <t xml:space="preserve">Budgetåret.</t>
  </si>
  <si>
    <t xml:space="preserve">Omsætningsmål, nysalg (kr.)</t>
  </si>
  <si>
    <t xml:space="preserve">Den omsætning, sælgerne skal lukke i året.</t>
  </si>
  <si>
    <t xml:space="preserve">Gennemsnitlig ordrestørrelse (kr.)</t>
  </si>
  <si>
    <t xml:space="preserve">Gennemsnitlig værdi af en vundet handel. Brug jeres egne tal fra CRM.</t>
  </si>
  <si>
    <t xml:space="preserve">Win rate</t>
  </si>
  <si>
    <t xml:space="preserve">Andel af kvalificerede salgsmuligheder, der bliver vundet.</t>
  </si>
  <si>
    <t xml:space="preserve">Salgscyklus (måneder)</t>
  </si>
  <si>
    <t xml:space="preserve">Tid fra kvalificeret salgsmulighed til underskrift.</t>
  </si>
  <si>
    <t xml:space="preserve">Sælgere</t>
  </si>
  <si>
    <t xml:space="preserve">Sælgere ved årets start</t>
  </si>
  <si>
    <t xml:space="preserve">Fuldt oplærte sælgere, der er ansat 1. januar.</t>
  </si>
  <si>
    <t xml:space="preserve">Årskvote pr. fuldt produktiv sælger (kr.)</t>
  </si>
  <si>
    <t xml:space="preserve">Standardkvote. Kan ændres pr. sælger i Kvotefordeling.</t>
  </si>
  <si>
    <t xml:space="preserve">Planlagt gennemsnitlig målopfyldelse</t>
  </si>
  <si>
    <t xml:space="preserve">Den målopfyldelse, I budgetterer med. Sjældent 100 % for hele teamet.</t>
  </si>
  <si>
    <t xml:space="preserve">Opstartsperiode, ramp (måneder)</t>
  </si>
  <si>
    <t xml:space="preserve">Måneder, før en ny sælger er fuldt produktiv.</t>
  </si>
  <si>
    <t xml:space="preserve">Produktivitet i opstartsperioden</t>
  </si>
  <si>
    <t xml:space="preserve">Gennemsnitlig andel af fuld kvote i opstartsperioden.</t>
  </si>
  <si>
    <t xml:space="preserve">Årlig sælgerafgang</t>
  </si>
  <si>
    <t xml:space="preserve">Andel af sælgerne, der forventes at stoppe i løbet af året.</t>
  </si>
  <si>
    <t xml:space="preserve">Rekrutteringstid ved afgang (måneder)</t>
  </si>
  <si>
    <t xml:space="preserve">Måneder, en stilling står tom, før en ny sælger starter.</t>
  </si>
  <si>
    <t xml:space="preserve">Løn og provision (standardplan)</t>
  </si>
  <si>
    <t xml:space="preserve">Grundløn pr. måned (kr.)</t>
  </si>
  <si>
    <t xml:space="preserve">Fast løn pr. sælger.</t>
  </si>
  <si>
    <t xml:space="preserve">Variabel løn ved 100 %, pr. år (kr.)</t>
  </si>
  <si>
    <t xml:space="preserve">Provision ved præcis 100 % af årskvoten.</t>
  </si>
  <si>
    <t xml:space="preserve">Accelerator over 100 % (faktor)</t>
  </si>
  <si>
    <t xml:space="preserve">Satsen over kvoten = provisionssats × faktor. Skriv 1, hvis I ikke bruger accelerator.</t>
  </si>
  <si>
    <t xml:space="preserve">Øvrige lønomkostninger (% af løn)</t>
  </si>
  <si>
    <t xml:space="preserve">Eksempel. Fx pension, ATP, forsikring og feriepenge. Brug jeres egne tal.</t>
  </si>
  <si>
    <t xml:space="preserve">Sæsonfordeling</t>
  </si>
  <si>
    <t xml:space="preserve">Vægt pr. måned. Vægtene behøver ikke summe til 100; arket regner andelene ud.</t>
  </si>
  <si>
    <t xml:space="preserve">Måned</t>
  </si>
  <si>
    <t xml:space="preserve">Vægt</t>
  </si>
  <si>
    <t xml:space="preserve">Andel</t>
  </si>
  <si>
    <t xml:space="preserve">Januar</t>
  </si>
  <si>
    <t xml:space="preserve">Februar</t>
  </si>
  <si>
    <t xml:space="preserve">Marts</t>
  </si>
  <si>
    <t xml:space="preserve">April</t>
  </si>
  <si>
    <t xml:space="preserve">Maj</t>
  </si>
  <si>
    <t xml:space="preserve">Eksempel: lavere i juli (ferie) og højere i årets sidste måneder.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</si>
  <si>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</si>
  <si>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</si>
  <si>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</si>
  <si>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</si>
  <si>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</si>
  <si>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</si>
  <si>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December</t>
  </si>
  <si>
    <t xml:space="preserve">I alt</t>
  </si>
  <si>
    <t xml:space="preserve">Kapacitet: pipeline og antal sælgere</t>
  </si>
  <si>
    <t xml:space="preserve">Alt på dette ark er formler. Ret forudsætningerne i Forudsætninger.</t>
  </si>
  <si>
    <t xml:space="preserve">Pipeline og aktivitet</t>
  </si>
  <si>
    <t xml:space="preserve">Omsætningsmål (kr.)</t>
  </si>
  <si>
    <t xml:space="preserve">Fra Forudsætninger.</t>
  </si>
  <si>
    <t xml:space="preserve">Handler, der skal vindes</t>
  </si>
  <si>
    <t xml:space="preserve">Omsætningsmål ÷ gennemsnitlig ordrestørrelse.</t>
  </si>
  <si>
    <t xml:space="preserve">Kvalificerede salgsmuligheder i året</t>
  </si>
  <si>
    <t xml:space="preserve">Handler ÷ win rate.</t>
  </si>
  <si>
    <t xml:space="preserve">Nødvendig pipeline (kr.)</t>
  </si>
  <si>
    <t xml:space="preserve">Omsætningsmål ÷ win rate.</t>
  </si>
  <si>
    <t xml:space="preserve">Pipeline coverage</t>
  </si>
  <si>
    <t xml:space="preserve">Pipeline ÷ omsætningsmål. Svarer til 1 ÷ win rate.</t>
  </si>
  <si>
    <t xml:space="preserve">Salgsmuligheder pr. måned (gennemsnit)</t>
  </si>
  <si>
    <t xml:space="preserve">Se fordelingen pr. måned i Overblik.</t>
  </si>
  <si>
    <t xml:space="preserve">Pipeline skabes ca. så mange måneder før lukning</t>
  </si>
  <si>
    <t xml:space="preserve">Salgscyklussen fra Forudsætninger.</t>
  </si>
  <si>
    <t xml:space="preserve">Sælgerkapacitet</t>
  </si>
  <si>
    <t xml:space="preserve">Kapacitet pr. fuldt produktiv sælger (kr.)</t>
  </si>
  <si>
    <t xml:space="preserve">Årskvote × planlagt målopfyldelse.</t>
  </si>
  <si>
    <t xml:space="preserve">Fuldt produktive sælgere (FTE), der skal til</t>
  </si>
  <si>
    <t xml:space="preserve">Omsætningsmål ÷ kapacitet pr. sælger.</t>
  </si>
  <si>
    <t xml:space="preserve">Tab pr. ny sælger (andel af et års kapacitet)</t>
  </si>
  <si>
    <t xml:space="preserve">Opstartsmåneder × (1 − produktivitet i opstart) ÷ 12.</t>
  </si>
  <si>
    <t xml:space="preserve">Tab pr. sælger, der stopper (andel af et år)</t>
  </si>
  <si>
    <t xml:space="preserve">(Rekrutteringstid + opstartstab i måneder) ÷ 12.</t>
  </si>
  <si>
    <t xml:space="preserve">Antal sælgere, I skal have (beregnet)</t>
  </si>
  <si>
    <t xml:space="preserve">Inklusive tab ved opstart og afgang. Nye sælgere antages at starte ved årets begyndelse.</t>
  </si>
  <si>
    <t xml:space="preserve">Antal sælgere, I skal have (rundet op)</t>
  </si>
  <si>
    <t xml:space="preserve">Det antal stillinger, budgettet kræver i gennemsnit over året.</t>
  </si>
  <si>
    <t xml:space="preserve">Nye sælgere til vækst</t>
  </si>
  <si>
    <t xml:space="preserve">Skal helst starte tidligt på året.</t>
  </si>
  <si>
    <t xml:space="preserve">Forventede afgange i året</t>
  </si>
  <si>
    <t xml:space="preserve">Antal sælgere × årlig afgang. Hver afgang kræver en genansættelse.</t>
  </si>
  <si>
    <t xml:space="preserve">Rekrutteringer i alt i året</t>
  </si>
  <si>
    <t xml:space="preserve">Nye sælgere + genansættelser.</t>
  </si>
  <si>
    <t xml:space="preserve">Sammenligning med kvoteplanen</t>
  </si>
  <si>
    <t xml:space="preserve">Sælgere i Kvotefordeling</t>
  </si>
  <si>
    <t xml:space="preserve">Antal navne på sælgerlisten.</t>
  </si>
  <si>
    <t xml:space="preserve">Forskel: sælgere i planen − sælgere, I skal have</t>
  </si>
  <si>
    <t xml:space="preserve">Negativt tal: planen har for få sælgere.</t>
  </si>
  <si>
    <t xml:space="preserve">Kvotefordeling pr. sælger og måned</t>
  </si>
  <si>
    <t xml:space="preserve">Skriv sælgerne i de lavendel kolonner B-E. Kvoten fordeles efter sæsonfordelingen og nedsættes i opstartsperioden for nye sælgere.</t>
  </si>
  <si>
    <t xml:space="preserve">Individuel årskvote er valgfri. Tom = standardkvoten fra Forudsætninger. Startmåned 1 = januar.</t>
  </si>
  <si>
    <t xml:space="preserve">Sælger</t>
  </si>
  <si>
    <t xml:space="preserve">Startmåned (1-12)</t>
  </si>
  <si>
    <t xml:space="preserve">Ny sælger med opstart?</t>
  </si>
  <si>
    <t xml:space="preserve">Individuel årskvote (valgfri)</t>
  </si>
  <si>
    <t xml:space="preserve">Årskvote, anvendt</t>
  </si>
  <si>
    <t xml:space="preserve">Jan</t>
  </si>
  <si>
    <t xml:space="preserve">Feb</t>
  </si>
  <si>
    <t xml:space="preserve">Mar</t>
  </si>
  <si>
    <t xml:space="preserve">Apr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</si>
  <si>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</si>
  <si>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</si>
  <si>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</si>
  <si>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</si>
  <si>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</si>
  <si>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</si>
  <si>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Dec</t>
  </si>
  <si>
    <t xml:space="preserve">Kvote i året</t>
  </si>
  <si>
    <t xml:space="preserve">Anna Holm</t>
  </si>
  <si>
    <t xml:space="preserve">Nej</t>
  </si>
  <si>
    <t xml:space="preserve">Bo Jensen</t>
  </si>
  <si>
    <t xml:space="preserve">Camilla Nørgaard</t>
  </si>
  <si>
    <t xml:space="preserve">Dennis Lund</t>
  </si>
  <si>
    <t xml:space="preserve">Emma Krogh</t>
  </si>
  <si>
    <t xml:space="preserve">Frederik Sand</t>
  </si>
  <si>
    <t xml:space="preserve">Gitte Mølgaard</t>
  </si>
  <si>
    <t xml:space="preserve">Ny sælger 1</t>
  </si>
  <si>
    <t xml:space="preserve">Ja</t>
  </si>
  <si>
    <t xml:space="preserve">Ny sælger 2</t>
  </si>
  <si>
    <t xml:space="preserve">Ny sælger 3</t>
  </si>
  <si>
    <t xml:space="preserve">Kvote i alt</t>
  </si>
  <si>
    <t xml:space="preserve">Omsætningsmål fordelt efter sæson</t>
  </si>
  <si>
    <t xml:space="preserve">Kvote i % af omsætningsmål</t>
  </si>
  <si>
    <t xml:space="preserve">Kvote over 100 % af omsætningsmålet er en buffer mod afgang, forsinkede ansættelser og sælgere, der ikke når målet.</t>
  </si>
  <si>
    <t xml:space="preserve">OTE og provision</t>
  </si>
  <si>
    <t xml:space="preserve">Standardplanen fra Forudsætninger. Målopfyldelserne i række 15 kan ændres.</t>
  </si>
  <si>
    <t xml:space="preserve">Standardplan pr. fuldt produktiv sælger</t>
  </si>
  <si>
    <t xml:space="preserve">Grundløn pr. år (kr.)</t>
  </si>
  <si>
    <t xml:space="preserve">Variabel løn ved 100 % (kr.)</t>
  </si>
  <si>
    <t xml:space="preserve">OTE, on-target earnings (kr.)</t>
  </si>
  <si>
    <t xml:space="preserve">OTE = grundløn + variabel løn ved 100 %.</t>
  </si>
  <si>
    <t xml:space="preserve">Pay mix, fast andel</t>
  </si>
  <si>
    <t xml:space="preserve">Pay mix, variabel andel</t>
  </si>
  <si>
    <t xml:space="preserve">Provisionssats (variabel ÷ kvote)</t>
  </si>
  <si>
    <t xml:space="preserve">Sats = variabel løn ved 100 % ÷ årskvote.</t>
  </si>
  <si>
    <t xml:space="preserve">Sats over 100 % (med accelerator)</t>
  </si>
  <si>
    <t xml:space="preserve">Provision for en fuldt produktiv sælger</t>
  </si>
  <si>
    <t xml:space="preserve">Scenarie 1</t>
  </si>
  <si>
    <t xml:space="preserve">Scenarie 2</t>
  </si>
  <si>
    <t xml:space="preserve">Scenarie 3</t>
  </si>
  <si>
    <t xml:space="preserve">Målopfyldelse</t>
  </si>
  <si>
    <t xml:space="preserve">Salg (kr.)</t>
  </si>
  <si>
    <t xml:space="preserve">Provision (kr.)</t>
  </si>
  <si>
    <t xml:space="preserve">Samlet løn (kr.)</t>
  </si>
  <si>
    <t xml:space="preserve">Provision i % af salg</t>
  </si>
  <si>
    <t xml:space="preserve">Provision pr. sælger i budgetåret</t>
  </si>
  <si>
    <t xml:space="preserve">Kvote fra Kvotefordeling. Sælgere i opstart har lavere kvote og dermed lavere provision ved samme målopfyldelse.</t>
  </si>
  <si>
    <t xml:space="preserve">Måneder ansat</t>
  </si>
  <si>
    <t xml:space="preserve">Kvote i året (kr.)</t>
  </si>
  <si>
    <t xml:space="preserve">Grundløn i året (kr.)</t>
  </si>
  <si>
    <t xml:space="preserve">Provision ved scenarie 1 (kr.)</t>
  </si>
  <si>
    <t xml:space="preserve">Provision ved scenarie 2 (kr.)</t>
  </si>
  <si>
    <t xml:space="preserve">Provision ved scenarie 3 (kr.)</t>
  </si>
  <si>
    <t xml:space="preserve">prowi.io</t>
  </si>
  <si>
    <t xml:space="preserve">Nøgletal</t>
  </si>
  <si>
    <t xml:space="preserve">Kvalificerede salgsmuligheder</t>
  </si>
  <si>
    <t xml:space="preserve">Sælgere, I skal have</t>
  </si>
  <si>
    <t xml:space="preserve">Sælgere i kvoteplanen</t>
  </si>
  <si>
    <t xml:space="preserve">Rekrutteringer i året (vækst + afgang)</t>
  </si>
  <si>
    <t xml:space="preserve">Kvote i alt (kr.)</t>
  </si>
  <si>
    <t xml:space="preserve">Forventet omsætning ved planlagt målopfyldelse (kr.)</t>
  </si>
  <si>
    <t xml:space="preserve">Forskel til omsætningsmål (kr.)</t>
  </si>
  <si>
    <t xml:space="preserve">Salgslønomkostninger og cost of sales</t>
  </si>
  <si>
    <t xml:space="preserve">Omsætning (kr.)</t>
  </si>
  <si>
    <t xml:space="preserve">Grundløn i alt (kr.)</t>
  </si>
  <si>
    <t xml:space="preserve">Provision i alt (kr.)</t>
  </si>
  <si>
    <t xml:space="preserve">Øvrige lønomkostninger (kr.)</t>
  </si>
  <si>
    <t xml:space="preserve">Salgslønomkostninger i alt (kr.)</t>
  </si>
  <si>
    <t xml:space="preserve">Cost of sales (salgsløn i % af omsætning)</t>
  </si>
  <si>
    <t xml:space="preserve">Provision i % af omsætning</t>
  </si>
  <si>
    <t xml:space="preserve">Omsætning = kvote i alt × målopfyldelse. Grundløn er den samme i alle scenarier.</t>
  </si>
  <si>
    <t xml:space="preserve">Pr. måned</t>
  </si>
  <si>
    <t xml:space="preserve">Ny pipeline, der skal skabes (kr.)</t>
  </si>
  <si>
    <t xml:space="preserve">Nye salgsmuligheder</t>
  </si>
  <si>
    <t xml:space="preserve">Ny pipeline i en måned = kvoten salgscyklussen senere ÷ win rate. De sidste måneder bruger årets kvoter som skøn for næste år.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</si>
</sst>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"/>
    <numFmt numFmtId="166" formatCode="#,##0&quot; kr.&quot;;\-#,##0&quot; kr.&quot;;\–"/>
    <numFmt numFmtId="167" formatCode="0.0%"/>
    <numFmt numFmtId="168" formatCode="0.0"/>
    <numFmt numFmtId="169" formatCode="0.0%;\-0.0%;\–"/>
    <numFmt numFmtId="170" formatCode="#,##0.0"/>
    <numFmt numFmtId="171" formatCode="0.0\x"/>
    <numFmt numFmtId="172" formatCode="0.00"/>
    <numFmt numFmtId="173" formatCode="\+0;\-0;0"/>
    <numFmt numFmtId="174" formatCode="0.00%;\-0.00%;\–"/>
    <numFmt numFmtId="175" formatCode="\+#,##0&quot; kr.&quot;;\-#,##0&quot; kr.&quot;;&quot;0 kr.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A1A0BD"/>
      <name val="Arial"/>
      <family val="0"/>
      <charset val="1"/>
    </font>
    <font>
      <sz val="24"/>
      <color rgb="FF110663"/>
      <name val="Arial"/>
      <family val="0"/>
      <charset val="1"/>
    </font>
    <font>
      <sz val="12"/>
      <color rgb="FF4C39CA"/>
      <name val="Arial"/>
      <family val="0"/>
      <charset val="1"/>
    </font>
    <font>
      <sz val="10"/>
      <color rgb="FF110663"/>
      <name val="Arial"/>
      <family val="0"/>
      <charset val="1"/>
    </font>
    <font>
      <b val="true"/>
      <sz val="12"/>
      <color rgb="FF110663"/>
      <name val="Arial"/>
      <family val="0"/>
      <charset val="1"/>
    </font>
    <font>
      <b val="true"/>
      <sz val="10"/>
      <color rgb="FF110663"/>
      <name val="Arial"/>
      <family val="0"/>
      <charset val="1"/>
    </font>
    <font>
      <sz val="10"/>
      <color rgb="FF4C39CA"/>
      <name val="Arial"/>
      <family val="0"/>
      <charset val="1"/>
    </font>
    <font>
      <sz val="20"/>
      <color rgb="FF110663"/>
      <name val="Arial"/>
      <family val="0"/>
      <charset val="1"/>
    </font>
    <font>
      <i val="true"/>
      <sz val="9"/>
      <color rgb="FF6B689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3"/>
      <color rgb="FF4C39CA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4F1FE"/>
        <bgColor rgb="FFF6F4F3"/>
      </patternFill>
    </fill>
    <fill>
      <patternFill patternType="solid">
        <fgColor rgb="FFF6F4F3"/>
        <bgColor rgb="FFF4F1FE"/>
      </patternFill>
    </fill>
    <fill>
      <patternFill patternType="solid">
        <fgColor rgb="FFE8F8FD"/>
        <bgColor rgb="FFF4F1FE"/>
      </patternFill>
    </fill>
    <fill>
      <patternFill patternType="solid">
        <fgColor rgb="FF110663"/>
        <bgColor rgb="FF000080"/>
      </patternFill>
    </fill>
    <fill>
      <patternFill patternType="solid">
        <fgColor rgb="FF4C39CA"/>
        <bgColor rgb="FF3366FF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46D3F7"/>
      </bottom>
      <diagonal/>
    </border>
    <border diagonalUp="false" diagonalDown="false">
      <left style="thin">
        <color rgb="FF4C39CA"/>
      </left>
      <right style="thin">
        <color rgb="FF4C39CA"/>
      </right>
      <top style="thin">
        <color rgb="FF4C39CA"/>
      </top>
      <bottom style="thin">
        <color rgb="FF4C39CA"/>
      </bottom>
      <diagonal/>
    </border>
    <border diagonalUp="false" diagonalDown="false">
      <left style="thin">
        <color rgb="FFDCD8EC"/>
      </left>
      <right style="thin">
        <color rgb="FFDCD8EC"/>
      </right>
      <top style="thin">
        <color rgb="FFDCD8EC"/>
      </top>
      <bottom style="thin">
        <color rgb="FFDCD8EC"/>
      </bottom>
      <diagonal/>
    </border>
    <border diagonalUp="false" diagonalDown="false">
      <left/>
      <right/>
      <top/>
      <bottom style="thin">
        <color rgb="FFDCD8EC"/>
      </bottom>
      <diagonal/>
    </border>
    <border diagonalUp="false" diagonalDown="false">
      <left style="thin">
        <color rgb="FFDCD8EC"/>
      </left>
      <right style="thin">
        <color rgb="FFDCD8EC"/>
      </right>
      <top style="thin">
        <color rgb="FF110663"/>
      </top>
      <bottom style="thin">
        <color rgb="FF11066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false" indent="1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4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5" fontId="7" fillId="3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110663"/>
      <rgbColor rgb="FF808000"/>
      <rgbColor rgb="FF800080"/>
      <rgbColor rgb="FF008080"/>
      <rgbColor rgb="FFC0C0C0"/>
      <rgbColor rgb="FF808080"/>
      <rgbColor rgb="FF9999FF"/>
      <rgbColor rgb="FF993366"/>
      <rgbColor rgb="FFF6F4F3"/>
      <rgbColor rgb="FFE8F8FD"/>
      <rgbColor rgb="FF660066"/>
      <rgbColor rgb="FFFF8080"/>
      <rgbColor rgb="FF0066CC"/>
      <rgbColor rgb="FFDCD8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1FE"/>
      <rgbColor rgb="FFCCFFCC"/>
      <rgbColor rgb="FFFFFF99"/>
      <rgbColor rgb="FF99CCFF"/>
      <rgbColor rgb="FFFF99CC"/>
      <rgbColor rgb="FFCC99FF"/>
      <rgbColor rgb="FFFFCC99"/>
      <rgbColor rgb="FF3366FF"/>
      <rgbColor rgb="FF46D3F7"/>
      <rgbColor rgb="FF99CC00"/>
      <rgbColor rgb="FFFFCC00"/>
      <rgbColor rgb="FFFF9900"/>
      <rgbColor rgb="FFFF6600"/>
      <rgbColor rgb="FF6B6893"/>
      <rgbColor rgb="FFA1A0BD"/>
      <rgbColor rgb="FF003366"/>
      <rgbColor rgb="FF339966"/>
      <rgbColor rgb="FF003300"/>
      <rgbColor rgb="FF333300"/>
      <rgbColor rgb="FF993300"/>
      <rgbColor rgb="FF993366"/>
      <rgbColor rgb="FF4C39C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1238040</xdr:colOff>
      <xdr:row>1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52280"/>
          <a:ext cx="12380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1171080</xdr:colOff>
      <xdr:row>0</xdr:row>
      <xdr:rowOff>361440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11320" y="0"/>
          <a:ext cx="1171080" cy="361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prowi.io/" TargetMode="External"/><Relationship Id="rId2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www.prowi.io/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80"/>
    <col collapsed="false" customWidth="true" hidden="false" outlineLevel="0" max="4" min="4" style="0" width="3"/>
  </cols>
  <sheetData>
    <row r="1" customFormat="false" ht="12" hidden="false" customHeight="true" outlineLevel="0" collapsed="false"/>
    <row r="2" customFormat="false" ht="39.75" hidden="false" customHeight="true" outlineLevel="0" collapsed="false">
      <c r="C2" s="1" t="s">
        <v>0</v>
      </c>
    </row>
    <row r="3" customFormat="false" ht="12" hidden="false" customHeight="true" outlineLevel="0" collapsed="false"/>
    <row r="4" customFormat="false" ht="43.5" hidden="false" customHeight="true" outlineLevel="0" collapsed="false">
      <c r="B4" s="2" t="s">
        <v>1</v>
      </c>
      <c r="C4" s="3"/>
    </row>
    <row r="5" customFormat="false" ht="25.5" hidden="false" customHeight="true" outlineLevel="0" collapsed="false">
      <c r="B5" s="4" t="s">
        <v>2</v>
      </c>
      <c r="C5" s="5"/>
    </row>
    <row r="7" customFormat="false" ht="43.5" hidden="false" customHeight="true" outlineLevel="0" collapsed="false">
      <c r="B7" s="6" t="s">
        <v>3</v>
      </c>
      <c r="C7" s="6"/>
    </row>
    <row r="9" customFormat="false" ht="15" hidden="false" customHeight="false" outlineLevel="0" collapsed="false">
      <c r="B9" s="7" t="s">
        <v>4</v>
      </c>
    </row>
    <row r="10" customFormat="false" ht="30" hidden="false" customHeight="true" outlineLevel="0" collapsed="false">
      <c r="B10" s="8" t="s">
        <v>5</v>
      </c>
      <c r="C10" s="9" t="s">
        <v>6</v>
      </c>
    </row>
    <row r="11" customFormat="false" ht="30" hidden="false" customHeight="true" outlineLevel="0" collapsed="false">
      <c r="B11" s="8" t="s">
        <v>7</v>
      </c>
      <c r="C11" s="9" t="s">
        <v>8</v>
      </c>
    </row>
    <row r="12" customFormat="false" ht="30" hidden="false" customHeight="true" outlineLevel="0" collapsed="false">
      <c r="B12" s="8" t="s">
        <v>9</v>
      </c>
      <c r="C12" s="9" t="s">
        <v>10</v>
      </c>
    </row>
    <row r="13" customFormat="false" ht="30" hidden="false" customHeight="true" outlineLevel="0" collapsed="false">
      <c r="B13" s="8" t="s">
        <v>11</v>
      </c>
      <c r="C13" s="9" t="s">
        <v>12</v>
      </c>
    </row>
    <row r="14" customFormat="false" ht="30" hidden="false" customHeight="true" outlineLevel="0" collapsed="false">
      <c r="B14" s="8" t="s">
        <v>13</v>
      </c>
      <c r="C14" s="9" t="s">
        <v>14</v>
      </c>
    </row>
    <row r="16" customFormat="false" ht="15" hidden="false" customHeight="false" outlineLevel="0" collapsed="false">
      <c r="B16" s="7" t="s">
        <v>15</v>
      </c>
    </row>
    <row r="17" customFormat="false" ht="18" hidden="false" customHeight="true" outlineLevel="0" collapsed="false">
      <c r="B17" s="10" t="s">
        <v>16</v>
      </c>
      <c r="C17" s="11" t="s">
        <v>17</v>
      </c>
    </row>
    <row r="18" customFormat="false" ht="18" hidden="false" customHeight="true" outlineLevel="0" collapsed="false">
      <c r="B18" s="12" t="s">
        <v>18</v>
      </c>
      <c r="C18" s="11" t="s">
        <v>19</v>
      </c>
    </row>
    <row r="19" customFormat="false" ht="18" hidden="false" customHeight="true" outlineLevel="0" collapsed="false">
      <c r="B19" s="13" t="s">
        <v>20</v>
      </c>
      <c r="C19" s="11" t="s">
        <v>21</v>
      </c>
    </row>
    <row r="21" customFormat="false" ht="15" hidden="false" customHeight="false" outlineLevel="0" collapsed="false">
      <c r="B21" s="7" t="s">
        <v>22</v>
      </c>
    </row>
    <row r="22" customFormat="false" ht="30" hidden="false" customHeight="true" outlineLevel="0" collapsed="false">
      <c r="B22" s="8" t="s">
        <v>23</v>
      </c>
      <c r="C22" s="9" t="s">
        <v>24</v>
      </c>
    </row>
    <row r="23" customFormat="false" ht="30" hidden="false" customHeight="true" outlineLevel="0" collapsed="false">
      <c r="B23" s="8" t="s">
        <v>25</v>
      </c>
      <c r="C23" s="9" t="s">
        <v>26</v>
      </c>
    </row>
    <row r="24" customFormat="false" ht="60" hidden="false" customHeight="true" outlineLevel="0" collapsed="false">
      <c r="B24" s="8" t="s">
        <v>27</v>
      </c>
      <c r="C24" s="9" t="s">
        <v>28</v>
      </c>
    </row>
    <row r="25" customFormat="false" ht="45" hidden="false" customHeight="true" outlineLevel="0" collapsed="false">
      <c r="B25" s="8" t="s">
        <v>29</v>
      </c>
      <c r="C25" s="9" t="s">
        <v>30</v>
      </c>
    </row>
    <row r="26" customFormat="false" ht="30" hidden="false" customHeight="true" outlineLevel="0" collapsed="false">
      <c r="B26" s="8" t="s">
        <v>31</v>
      </c>
      <c r="C26" s="9" t="s">
        <v>32</v>
      </c>
    </row>
    <row r="27" customFormat="false" ht="30" hidden="false" customHeight="true" outlineLevel="0" collapsed="false">
      <c r="B27" s="8" t="s">
        <v>33</v>
      </c>
      <c r="C27" s="9" t="s">
        <v>34</v>
      </c>
    </row>
    <row r="28" customFormat="false" ht="30" hidden="false" customHeight="true" outlineLevel="0" collapsed="false">
      <c r="B28" s="8" t="s">
        <v>35</v>
      </c>
      <c r="C28" s="9" t="s">
        <v>36</v>
      </c>
    </row>
    <row r="30" customFormat="false" ht="15" hidden="false" customHeight="false" outlineLevel="0" collapsed="false">
      <c r="B30" s="7" t="s">
        <v>37</v>
      </c>
    </row>
    <row r="31" customFormat="false" ht="30" hidden="false" customHeight="true" outlineLevel="0" collapsed="false">
      <c r="B31" s="14" t="s">
        <v>38</v>
      </c>
      <c r="C31" s="9" t="s">
        <v>39</v>
      </c>
    </row>
    <row r="32" customFormat="false" ht="30" hidden="false" customHeight="true" outlineLevel="0" collapsed="false">
      <c r="B32" s="14" t="s">
        <v>38</v>
      </c>
      <c r="C32" s="9" t="s">
        <v>40</v>
      </c>
    </row>
    <row r="33" customFormat="false" ht="30" hidden="false" customHeight="true" outlineLevel="0" collapsed="false">
      <c r="B33" s="14" t="s">
        <v>38</v>
      </c>
      <c r="C33" s="9" t="s">
        <v>41</v>
      </c>
    </row>
    <row r="34" customFormat="false" ht="30" hidden="false" customHeight="true" outlineLevel="0" collapsed="false">
      <c r="B34" s="14" t="s">
        <v>38</v>
      </c>
      <c r="C34" s="9" t="s">
        <v>42</v>
      </c>
    </row>
    <row r="36" customFormat="false" ht="15" hidden="false" customHeight="false" outlineLevel="0" collapsed="false">
      <c r="B36" s="15"/>
      <c r="C36" s="15"/>
    </row>
    <row r="37" customFormat="false" ht="15" hidden="false" customHeight="false" outlineLevel="0" collapsed="false">
      <c r="B37" s="16" t="s">
        <v>43</v>
      </c>
    </row>
  </sheetData>
  <mergeCells count="1">
    <mergeCell ref="B7:C7"/>
  </mergeCells>
  <hyperlinks>
    <hyperlink ref="B37" r:id="rId1" display="prowi.io · Gratis skabelon fra Prowi"/>
  </hyperlink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&amp;C&amp;"Arial,Regular"&amp;8 &amp;Ka1a0bdprowi.io · Gratis skabelon fra Prowi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70"/>
  </cols>
  <sheetData>
    <row r="2" customFormat="false" ht="30" hidden="false" customHeight="true" outlineLevel="0" collapsed="false">
      <c r="B2" s="17" t="s">
        <v>44</v>
      </c>
    </row>
    <row r="3" customFormat="false" ht="15" hidden="false" customHeight="false" outlineLevel="0" collapsed="false">
      <c r="B3" s="18" t="s">
        <v>45</v>
      </c>
    </row>
    <row r="5" customFormat="false" ht="15" hidden="false" customHeight="false" outlineLevel="0" collapsed="false">
      <c r="B5" s="7" t="s">
        <v>46</v>
      </c>
    </row>
    <row r="6" customFormat="false" ht="18" hidden="false" customHeight="true" outlineLevel="0" collapsed="false">
      <c r="B6" s="19" t="s">
        <v>47</v>
      </c>
      <c r="C6" s="20" t="n">
        <v>2026</v>
      </c>
      <c r="E6" s="21" t="s">
        <v>48</v>
      </c>
    </row>
    <row r="7" customFormat="false" ht="18" hidden="false" customHeight="true" outlineLevel="0" collapsed="false">
      <c r="B7" s="19" t="s">
        <v>49</v>
      </c>
      <c r="C7" s="22" t="n">
        <v>24000000</v>
      </c>
      <c r="E7" s="21" t="s">
        <v>50</v>
      </c>
    </row>
    <row r="8" customFormat="false" ht="18" hidden="false" customHeight="true" outlineLevel="0" collapsed="false">
      <c r="B8" s="19" t="s">
        <v>51</v>
      </c>
      <c r="C8" s="22" t="n">
        <v>150000</v>
      </c>
      <c r="E8" s="21" t="s">
        <v>52</v>
      </c>
    </row>
    <row r="9" customFormat="false" ht="18" hidden="false" customHeight="true" outlineLevel="0" collapsed="false">
      <c r="B9" s="19" t="s">
        <v>53</v>
      </c>
      <c r="C9" s="23" t="n">
        <v>0.25</v>
      </c>
      <c r="E9" s="21" t="s">
        <v>54</v>
      </c>
    </row>
    <row r="10" customFormat="false" ht="18" hidden="false" customHeight="true" outlineLevel="0" collapsed="false">
      <c r="B10" s="19" t="s">
        <v>55</v>
      </c>
      <c r="C10" s="20" t="n">
        <v>3</v>
      </c>
      <c r="E10" s="21" t="s">
        <v>56</v>
      </c>
    </row>
    <row r="12" customFormat="false" ht="15" hidden="false" customHeight="false" outlineLevel="0" collapsed="false">
      <c r="B12" s="7" t="s">
        <v>57</v>
      </c>
    </row>
    <row r="13" customFormat="false" ht="18" hidden="false" customHeight="true" outlineLevel="0" collapsed="false">
      <c r="B13" s="19" t="s">
        <v>58</v>
      </c>
      <c r="C13" s="20" t="n">
        <v>7</v>
      </c>
      <c r="E13" s="21" t="s">
        <v>59</v>
      </c>
    </row>
    <row r="14" customFormat="false" ht="18" hidden="false" customHeight="true" outlineLevel="0" collapsed="false">
      <c r="B14" s="19" t="s">
        <v>60</v>
      </c>
      <c r="C14" s="22" t="n">
        <v>3000000</v>
      </c>
      <c r="E14" s="21" t="s">
        <v>61</v>
      </c>
    </row>
    <row r="15" customFormat="false" ht="18" hidden="false" customHeight="true" outlineLevel="0" collapsed="false">
      <c r="B15" s="19" t="s">
        <v>62</v>
      </c>
      <c r="C15" s="23" t="n">
        <v>0.9</v>
      </c>
      <c r="E15" s="21" t="s">
        <v>63</v>
      </c>
    </row>
    <row r="16" customFormat="false" ht="18" hidden="false" customHeight="true" outlineLevel="0" collapsed="false">
      <c r="B16" s="19" t="s">
        <v>64</v>
      </c>
      <c r="C16" s="20" t="n">
        <v>4</v>
      </c>
      <c r="E16" s="21" t="s">
        <v>65</v>
      </c>
    </row>
    <row r="17" customFormat="false" ht="18" hidden="false" customHeight="true" outlineLevel="0" collapsed="false">
      <c r="B17" s="19" t="s">
        <v>66</v>
      </c>
      <c r="C17" s="23" t="n">
        <v>0.5</v>
      </c>
      <c r="E17" s="21" t="s">
        <v>67</v>
      </c>
    </row>
    <row r="18" customFormat="false" ht="18" hidden="false" customHeight="true" outlineLevel="0" collapsed="false">
      <c r="B18" s="19" t="s">
        <v>68</v>
      </c>
      <c r="C18" s="23" t="n">
        <v>0.15</v>
      </c>
      <c r="E18" s="21" t="s">
        <v>69</v>
      </c>
    </row>
    <row r="19" customFormat="false" ht="18" hidden="false" customHeight="true" outlineLevel="0" collapsed="false">
      <c r="B19" s="19" t="s">
        <v>70</v>
      </c>
      <c r="C19" s="20" t="n">
        <v>2</v>
      </c>
      <c r="E19" s="21" t="s">
        <v>71</v>
      </c>
    </row>
    <row r="21" customFormat="false" ht="15" hidden="false" customHeight="false" outlineLevel="0" collapsed="false">
      <c r="B21" s="7" t="s">
        <v>72</v>
      </c>
    </row>
    <row r="22" customFormat="false" ht="18" hidden="false" customHeight="true" outlineLevel="0" collapsed="false">
      <c r="B22" s="19" t="s">
        <v>73</v>
      </c>
      <c r="C22" s="22" t="n">
        <v>42000</v>
      </c>
      <c r="E22" s="21" t="s">
        <v>74</v>
      </c>
    </row>
    <row r="23" customFormat="false" ht="18" hidden="false" customHeight="true" outlineLevel="0" collapsed="false">
      <c r="B23" s="19" t="s">
        <v>75</v>
      </c>
      <c r="C23" s="22" t="n">
        <v>216000</v>
      </c>
      <c r="E23" s="21" t="s">
        <v>76</v>
      </c>
    </row>
    <row r="24" customFormat="false" ht="18" hidden="false" customHeight="true" outlineLevel="0" collapsed="false">
      <c r="B24" s="19" t="s">
        <v>77</v>
      </c>
      <c r="C24" s="24" t="n">
        <v>1.5</v>
      </c>
      <c r="E24" s="21" t="s">
        <v>78</v>
      </c>
    </row>
    <row r="25" customFormat="false" ht="18" hidden="false" customHeight="true" outlineLevel="0" collapsed="false">
      <c r="B25" s="19" t="s">
        <v>79</v>
      </c>
      <c r="C25" s="23" t="n">
        <v>0.1</v>
      </c>
      <c r="E25" s="21" t="s">
        <v>80</v>
      </c>
    </row>
    <row r="27" customFormat="false" ht="15" hidden="false" customHeight="false" outlineLevel="0" collapsed="false">
      <c r="B27" s="7" t="s">
        <v>81</v>
      </c>
      <c r="E27" s="21" t="s">
        <v>82</v>
      </c>
    </row>
    <row r="28" customFormat="false" ht="24" hidden="false" customHeight="true" outlineLevel="0" collapsed="false">
      <c r="B28" s="25" t="s">
        <v>83</v>
      </c>
      <c r="C28" s="25" t="s">
        <v>84</v>
      </c>
      <c r="D28" s="25" t="s">
        <v>85</v>
      </c>
    </row>
    <row r="29" customFormat="false" ht="15" hidden="false" customHeight="false" outlineLevel="0" collapsed="false">
      <c r="B29" s="26" t="s">
        <v>86</v>
      </c>
      <c r="C29" s="20" t="n">
        <v>7</v>
      </c>
      <c r="D29" s="27" t="n">
        <f aca="false">IF(SUM($C$29:$C$40)=0,1/12,C29/SUM($C$29:$C$40))</f>
        <v>0.07</v>
      </c>
    </row>
    <row r="30" customFormat="false" ht="15" hidden="false" customHeight="false" outlineLevel="0" collapsed="false">
      <c r="B30" s="26" t="s">
        <v>87</v>
      </c>
      <c r="C30" s="20" t="n">
        <v>8</v>
      </c>
      <c r="D30" s="27" t="n">
        <f aca="false">IF(SUM($C$29:$C$40)=0,1/12,C30/SUM($C$29:$C$40))</f>
        <v>0.08</v>
      </c>
    </row>
    <row r="31" customFormat="false" ht="15" hidden="false" customHeight="false" outlineLevel="0" collapsed="false">
      <c r="B31" s="26" t="s">
        <v>88</v>
      </c>
      <c r="C31" s="20" t="n">
        <v>9</v>
      </c>
      <c r="D31" s="27" t="n">
        <f aca="false">IF(SUM($C$29:$C$40)=0,1/12,C31/SUM($C$29:$C$40))</f>
        <v>0.09</v>
      </c>
    </row>
    <row r="32" customFormat="false" ht="15" hidden="false" customHeight="false" outlineLevel="0" collapsed="false">
      <c r="B32" s="26" t="s">
        <v>89</v>
      </c>
      <c r="C32" s="20" t="n">
        <v>8</v>
      </c>
      <c r="D32" s="27" t="n">
        <f aca="false">IF(SUM($C$29:$C$40)=0,1/12,C32/SUM($C$29:$C$40))</f>
        <v>0.08</v>
      </c>
    </row>
    <row r="33" customFormat="false" ht="15" hidden="false" customHeight="false" outlineLevel="0" collapsed="false">
      <c r="B33" s="26" t="s">
        <v>90</v>
      </c>
      <c r="C33" s="20" t="n">
        <v>9</v>
      </c>
      <c r="D33" s="27" t="n">
        <f aca="false">IF(SUM($C$29:$C$40)=0,1/12,C33/SUM($C$29:$C$40))</f>
        <v>0.09</v>
      </c>
      <c r="E33" s="21" t="s">
        <v>91</v>
      </c>
    </row>
    <row r="34" customFormat="false" ht="15" hidden="false" customHeight="false" outlineLevel="0" collapsed="false">
      <c r="B34" s="26" t="s">
        <v>92</v>
      </c>
      <c r="C34" s="20" t="n">
        <v>9</v>
      </c>
      <c r="D34" s="27" t="n">
        <f aca="false">IF(SUM($C$29:$C$40)=0,1/12,C34/SUM($C$29:$C$40))</f>
        <v>0.09</v>
      </c>
    </row>
    <row r="35" customFormat="false" ht="15" hidden="false" customHeight="false" outlineLevel="0" collapsed="false">
      <c r="B35" s="26" t="s">
        <v>93</v>
      </c>
      <c r="C35" s="20" t="n">
        <v>4</v>
      </c>
      <c r="D35" s="27" t="n">
        <f aca="false">IF(SUM($C$29:$C$40)=0,1/12,C35/SUM($C$29:$C$40))</f>
        <v>0.04</v>
      </c>
    </row>
    <row r="36" customFormat="false" ht="15" hidden="false" customHeight="false" outlineLevel="0" collapsed="false">
      <c r="B36" s="26" t="s">
        <v>94</v>
      </c>
      <c r="C36" s="20" t="n">
        <v>7</v>
      </c>
      <c r="D36" s="27" t="n">
        <f aca="false">IF(SUM($C$29:$C$40)=0,1/12,C36/SUM($C$29:$C$40))</f>
        <v>0.07</v>
      </c>
    </row>
    <row r="37" customFormat="false" ht="15" hidden="false" customHeight="false" outlineLevel="0" collapsed="false">
      <c r="B37" s="26" t="s">
        <v>95</v>
      </c>
      <c r="C37" s="20" t="n">
        <v>9</v>
      </c>
      <c r="D37" s="27" t="n">
        <f aca="false">IF(SUM($C$29:$C$40)=0,1/12,C37/SUM($C$29:$C$40))</f>
        <v>0.09</v>
      </c>
    </row>
    <row r="38" customFormat="false" ht="15" hidden="false" customHeight="false" outlineLevel="0" collapsed="false">
      <c r="B38" s="26" t="s">
        <v>96</v>
      </c>
      <c r="C38" s="20" t="n">
        <v>9</v>
      </c>
      <c r="D38" s="27" t="n">
        <f aca="false">IF(SUM($C$29:$C$40)=0,1/12,C38/SUM($C$29:$C$40))</f>
        <v>0.09</v>
      </c>
    </row>
    <row r="39" customFormat="false" ht="15" hidden="false" customHeight="false" outlineLevel="0" collapsed="false">
      <c r="B39" s="26" t="s">
        <v>97</v>
      </c>
      <c r="C39" s="20" t="n">
        <v>10</v>
      </c>
      <c r="D39" s="27" t="n">
        <f aca="false">IF(SUM($C$29:$C$40)=0,1/12,C39/SUM($C$29:$C$40))</f>
        <v>0.1</v>
      </c>
    </row>
    <row r="40" customFormat="false" ht="15" hidden="false" customHeight="false" outlineLevel="0" collapsed="false">
      <c r="B40" s="26" t="s">
        <v>98</v>
      </c>
      <c r="C40" s="20" t="n">
        <v>11</v>
      </c>
      <c r="D40" s="27" t="n">
        <f aca="false">IF(SUM($C$29:$C$40)=0,1/12,C40/SUM($C$29:$C$40))</f>
        <v>0.11</v>
      </c>
    </row>
    <row r="41" customFormat="false" ht="15" hidden="false" customHeight="false" outlineLevel="0" collapsed="false">
      <c r="B41" s="19" t="s">
        <v>99</v>
      </c>
      <c r="C41" s="28" t="n">
        <f aca="false">SUM(C29:C40)</f>
        <v>100</v>
      </c>
      <c r="D41" s="29" t="n">
        <f aca="false">SUM(D29:D40)</f>
        <v>1</v>
      </c>
    </row>
  </sheetData>
  <dataValidations count="4">
    <dataValidation allowBlank="false" error="Skriv en procent mellem 0 og 100 %." errorStyle="stop" errorTitle="Ugyldig værdi" operator="between" showDropDown="false" showErrorMessage="false" showInputMessage="false" sqref="C9 C15 C17" type="decimal">
      <formula1>0.0001</formula1>
      <formula2>1</formula2>
    </dataValidation>
    <dataValidation allowBlank="false" error="Skriv et tal større end 0." errorStyle="stop" errorTitle="Ugyldig værdi" operator="greaterThan" showDropDown="false" showErrorMessage="false" showInputMessage="false" sqref="C7:C8 C14 C24" type="decimal">
      <formula1>0</formula1>
      <formula2>0</formula2>
    </dataValidation>
    <dataValidation allowBlank="false" error="Skriv et helt antal måneder (0-36)." errorStyle="stop" errorTitle="Ugyldig værdi" operator="between" showDropDown="false" showErrorMessage="false" showInputMessage="false" sqref="C10 C13 C16 C19" type="whole">
      <formula1>0</formula1>
      <formula2>36</formula2>
    </dataValidation>
    <dataValidation allowBlank="false" error="Skriv en procent mellem 0 og 99 %." errorStyle="stop" errorTitle="Ugyldig værdi" operator="between" showDropDown="false" showErrorMessage="false" showInputMessage="false" sqref="C18 C25" type="decimal">
      <formula1>0</formula1>
      <formula2>0.99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&amp;C&amp;"Arial,Regular"&amp;8 &amp;Ka1a0bdprowi.io · Gratis skabelon fra Prowi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3" min="3" style="0" width="18"/>
    <col collapsed="false" customWidth="true" hidden="false" outlineLevel="0" max="4" min="4" style="0" width="3"/>
    <col collapsed="false" customWidth="true" hidden="false" outlineLevel="0" max="5" min="5" style="0" width="70"/>
  </cols>
  <sheetData>
    <row r="2" customFormat="false" ht="30" hidden="false" customHeight="true" outlineLevel="0" collapsed="false">
      <c r="B2" s="17" t="s">
        <v>100</v>
      </c>
    </row>
    <row r="3" customFormat="false" ht="15" hidden="false" customHeight="false" outlineLevel="0" collapsed="false">
      <c r="B3" s="18" t="s">
        <v>101</v>
      </c>
    </row>
    <row r="4" customFormat="false" ht="27.75" hidden="false" customHeight="true" outlineLevel="0" collapsed="false">
      <c r="B4" s="30" t="s">
        <v>102</v>
      </c>
    </row>
    <row r="5" customFormat="false" ht="18" hidden="false" customHeight="true" outlineLevel="0" collapsed="false">
      <c r="B5" s="19" t="s">
        <v>103</v>
      </c>
      <c r="C5" s="31" t="n">
        <f aca="false">Forudsætninger!$C$7</f>
        <v>24000000</v>
      </c>
      <c r="E5" s="21" t="s">
        <v>104</v>
      </c>
    </row>
    <row r="6" customFormat="false" ht="18" hidden="false" customHeight="true" outlineLevel="0" collapsed="false">
      <c r="B6" s="19" t="s">
        <v>105</v>
      </c>
      <c r="C6" s="32" t="n">
        <f aca="false">IFERROR(C5/Forudsætninger!$C$8,0)</f>
        <v>160</v>
      </c>
      <c r="E6" s="21" t="s">
        <v>106</v>
      </c>
    </row>
    <row r="7" customFormat="false" ht="18" hidden="false" customHeight="true" outlineLevel="0" collapsed="false">
      <c r="B7" s="19" t="s">
        <v>107</v>
      </c>
      <c r="C7" s="32" t="n">
        <f aca="false">IFERROR(C6/Forudsætninger!$C$9,0)</f>
        <v>640</v>
      </c>
      <c r="E7" s="21" t="s">
        <v>108</v>
      </c>
    </row>
    <row r="8" customFormat="false" ht="18" hidden="false" customHeight="true" outlineLevel="0" collapsed="false">
      <c r="B8" s="19" t="s">
        <v>109</v>
      </c>
      <c r="C8" s="33" t="n">
        <f aca="false">IFERROR(C5/Forudsætninger!$C$9,0)</f>
        <v>96000000</v>
      </c>
      <c r="E8" s="21" t="s">
        <v>110</v>
      </c>
    </row>
    <row r="9" customFormat="false" ht="18" hidden="false" customHeight="true" outlineLevel="0" collapsed="false">
      <c r="B9" s="19" t="s">
        <v>111</v>
      </c>
      <c r="C9" s="34" t="n">
        <f aca="false">IFERROR(C8/C5,0)</f>
        <v>4</v>
      </c>
      <c r="E9" s="21" t="s">
        <v>112</v>
      </c>
    </row>
    <row r="10" customFormat="false" ht="18" hidden="false" customHeight="true" outlineLevel="0" collapsed="false">
      <c r="B10" s="19" t="s">
        <v>113</v>
      </c>
      <c r="C10" s="32" t="n">
        <f aca="false">C7/12</f>
        <v>53.3333333333333</v>
      </c>
      <c r="E10" s="21" t="s">
        <v>114</v>
      </c>
    </row>
    <row r="11" customFormat="false" ht="18" hidden="false" customHeight="true" outlineLevel="0" collapsed="false">
      <c r="B11" s="19" t="s">
        <v>115</v>
      </c>
      <c r="C11" s="35" t="n">
        <f aca="false">Forudsætninger!$C$10</f>
        <v>3</v>
      </c>
      <c r="E11" s="21" t="s">
        <v>116</v>
      </c>
    </row>
    <row r="13" customFormat="false" ht="15" hidden="false" customHeight="false" outlineLevel="0" collapsed="false">
      <c r="B13" s="30" t="s">
        <v>117</v>
      </c>
    </row>
    <row r="14" customFormat="false" ht="18" hidden="false" customHeight="true" outlineLevel="0" collapsed="false">
      <c r="B14" s="19" t="s">
        <v>118</v>
      </c>
      <c r="C14" s="31" t="n">
        <f aca="false">Forudsætninger!$C$14*Forudsætninger!$C$15</f>
        <v>2700000</v>
      </c>
      <c r="E14" s="21" t="s">
        <v>119</v>
      </c>
    </row>
    <row r="15" customFormat="false" ht="18" hidden="false" customHeight="true" outlineLevel="0" collapsed="false">
      <c r="B15" s="19" t="s">
        <v>120</v>
      </c>
      <c r="C15" s="36" t="n">
        <f aca="false">IFERROR(C5/C14,0)</f>
        <v>8.88888888888889</v>
      </c>
      <c r="E15" s="21" t="s">
        <v>121</v>
      </c>
    </row>
    <row r="16" customFormat="false" ht="18" hidden="false" customHeight="true" outlineLevel="0" collapsed="false">
      <c r="B16" s="19" t="s">
        <v>122</v>
      </c>
      <c r="C16" s="36" t="n">
        <f aca="false">Forudsætninger!$C$16*(1-Forudsætninger!$C$17)/12</f>
        <v>0.166666666666667</v>
      </c>
      <c r="E16" s="21" t="s">
        <v>123</v>
      </c>
    </row>
    <row r="17" customFormat="false" ht="18" hidden="false" customHeight="true" outlineLevel="0" collapsed="false">
      <c r="B17" s="19" t="s">
        <v>124</v>
      </c>
      <c r="C17" s="36" t="n">
        <f aca="false">(Forudsætninger!$C$19+Forudsætninger!$C$16*(1-Forudsætninger!$C$17))/12</f>
        <v>0.333333333333333</v>
      </c>
      <c r="E17" s="21" t="s">
        <v>125</v>
      </c>
    </row>
    <row r="18" customFormat="false" ht="18" hidden="false" customHeight="true" outlineLevel="0" collapsed="false">
      <c r="B18" s="19" t="s">
        <v>126</v>
      </c>
      <c r="C18" s="36" t="n">
        <f aca="false">IFERROR(IF((C15-Forudsætninger!$C$13*C16)/(1-Forudsætninger!$C$18*C17-C16)&gt;Forudsætninger!$C$13,(C15-Forudsætninger!$C$13*C16)/(1-Forudsætninger!$C$18*C17-C16),C15/(1-Forudsætninger!$C$18*C17)),0)</f>
        <v>9.8581560283688</v>
      </c>
      <c r="E18" s="21" t="s">
        <v>127</v>
      </c>
    </row>
    <row r="19" customFormat="false" ht="18" hidden="false" customHeight="true" outlineLevel="0" collapsed="false">
      <c r="B19" s="19" t="s">
        <v>128</v>
      </c>
      <c r="C19" s="28" t="n">
        <f aca="false">ROUNDUP(C18,0)</f>
        <v>10</v>
      </c>
      <c r="E19" s="21" t="s">
        <v>129</v>
      </c>
    </row>
    <row r="20" customFormat="false" ht="18" hidden="false" customHeight="true" outlineLevel="0" collapsed="false">
      <c r="B20" s="19" t="s">
        <v>58</v>
      </c>
      <c r="C20" s="35" t="n">
        <f aca="false">Forudsætninger!$C$13</f>
        <v>7</v>
      </c>
      <c r="E20" s="21" t="s">
        <v>104</v>
      </c>
    </row>
    <row r="21" customFormat="false" ht="18" hidden="false" customHeight="true" outlineLevel="0" collapsed="false">
      <c r="B21" s="19" t="s">
        <v>130</v>
      </c>
      <c r="C21" s="35" t="n">
        <f aca="false">MAX(0,C19-C20)</f>
        <v>3</v>
      </c>
      <c r="E21" s="21" t="s">
        <v>131</v>
      </c>
    </row>
    <row r="22" customFormat="false" ht="18" hidden="false" customHeight="true" outlineLevel="0" collapsed="false">
      <c r="B22" s="19" t="s">
        <v>132</v>
      </c>
      <c r="C22" s="32" t="n">
        <f aca="false">C19*Forudsætninger!$C$18</f>
        <v>1.5</v>
      </c>
      <c r="E22" s="21" t="s">
        <v>133</v>
      </c>
    </row>
    <row r="23" customFormat="false" ht="18" hidden="false" customHeight="true" outlineLevel="0" collapsed="false">
      <c r="B23" s="19" t="s">
        <v>134</v>
      </c>
      <c r="C23" s="32" t="n">
        <f aca="false">C21+C22</f>
        <v>4.5</v>
      </c>
      <c r="E23" s="21" t="s">
        <v>135</v>
      </c>
    </row>
    <row r="25" customFormat="false" ht="15" hidden="false" customHeight="false" outlineLevel="0" collapsed="false">
      <c r="B25" s="30" t="s">
        <v>136</v>
      </c>
    </row>
    <row r="26" customFormat="false" ht="18" hidden="false" customHeight="true" outlineLevel="0" collapsed="false">
      <c r="B26" s="19" t="s">
        <v>137</v>
      </c>
      <c r="C26" s="35" t="n">
        <f aca="false">COUNTA(Kvotefordeling!$B$7:$B$26)</f>
        <v>10</v>
      </c>
      <c r="E26" s="21" t="s">
        <v>138</v>
      </c>
    </row>
    <row r="27" customFormat="false" ht="18" hidden="false" customHeight="true" outlineLevel="0" collapsed="false">
      <c r="B27" s="19" t="s">
        <v>139</v>
      </c>
      <c r="C27" s="37" t="n">
        <f aca="false">C26-C19</f>
        <v>0</v>
      </c>
      <c r="E27" s="21" t="s">
        <v>140</v>
      </c>
    </row>
  </sheetData>
  <conditionalFormatting sqref="C27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&amp;C&amp;"Arial,Regular"&amp;8 &amp;Ka1a0bdprowi.io · Gratis skabelon fra Prowi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T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5"/>
    <col collapsed="false" customWidth="true" hidden="false" outlineLevel="0" max="6" min="6" style="0" width="14"/>
    <col collapsed="false" customWidth="true" hidden="false" outlineLevel="0" max="18" min="7" style="0" width="11.5"/>
    <col collapsed="false" customWidth="true" hidden="false" outlineLevel="0" max="19" min="19" style="0" width="15"/>
  </cols>
  <sheetData>
    <row r="2" customFormat="false" ht="30" hidden="false" customHeight="true" outlineLevel="0" collapsed="false">
      <c r="B2" s="17" t="s">
        <v>141</v>
      </c>
    </row>
    <row r="3" customFormat="false" ht="15" hidden="false" customHeight="false" outlineLevel="0" collapsed="false">
      <c r="B3" s="18" t="s">
        <v>142</v>
      </c>
    </row>
    <row r="4" customFormat="false" ht="15" hidden="false" customHeight="false" outlineLevel="0" collapsed="false">
      <c r="B4" s="21" t="s">
        <v>143</v>
      </c>
    </row>
    <row r="6" customFormat="false" ht="42" hidden="false" customHeight="true" outlineLevel="0" collapsed="false">
      <c r="B6" s="25" t="s">
        <v>144</v>
      </c>
      <c r="C6" s="25" t="s">
        <v>145</v>
      </c>
      <c r="D6" s="25" t="s">
        <v>146</v>
      </c>
      <c r="E6" s="25" t="s">
        <v>147</v>
      </c>
      <c r="F6" s="38" t="s">
        <v>148</v>
      </c>
      <c r="G6" s="38" t="s">
        <v>149</v>
      </c>
      <c r="H6" s="38" t="s">
        <v>150</v>
      </c>
      <c r="I6" s="38" t="s">
        <v>151</v>
      </c>
      <c r="J6" s="38" t="s">
        <v>152</v>
      </c>
      <c r="K6" s="38" t="s">
        <v>90</v>
      </c>
      <c r="L6" s="38" t="s">
        <v>153</v>
      </c>
      <c r="M6" s="38" t="s">
        <v>154</v>
      </c>
      <c r="N6" s="38" t="s">
        <v>155</v>
      </c>
      <c r="O6" s="38" t="s">
        <v>156</v>
      </c>
      <c r="P6" s="38" t="s">
        <v>157</v>
      </c>
      <c r="Q6" s="38" t="s">
        <v>158</v>
      </c>
      <c r="R6" s="38" t="s">
        <v>159</v>
      </c>
      <c r="S6" s="38" t="s">
        <v>160</v>
      </c>
      <c r="T6" s="39"/>
    </row>
    <row r="7" customFormat="false" ht="15" hidden="false" customHeight="false" outlineLevel="0" collapsed="false">
      <c r="B7" s="10" t="s">
        <v>161</v>
      </c>
      <c r="C7" s="40" t="n">
        <v>1</v>
      </c>
      <c r="D7" s="41" t="s">
        <v>162</v>
      </c>
      <c r="E7" s="22"/>
      <c r="F7" s="31" t="n">
        <f aca="false">IF($B7="","",IF(N($E7)&gt;0,$E7,Forudsætninger!$C$14))</f>
        <v>3000000</v>
      </c>
      <c r="G7" s="31" t="n">
        <f aca="false">IF($B7="","",$F7*INDEX(Forudsætninger!$D$29:$D$40,1)*IF(1&lt;IF(N($C7)&lt;1,1,$C7),0,IF(AND($D7="Ja",1&lt;IF(N($C7)&lt;1,1,$C7)+Forudsætninger!$C$16),Forudsætninger!$C$17,1)))</f>
        <v>210000</v>
      </c>
      <c r="H7" s="31" t="n">
        <f aca="false">IF($B7="","",$F7*INDEX(Forudsætninger!$D$29:$D$40,2)*IF(2&lt;IF(N($C7)&lt;1,1,$C7),0,IF(AND($D7="Ja",2&lt;IF(N($C7)&lt;1,1,$C7)+Forudsætninger!$C$16),Forudsætninger!$C$17,1)))</f>
        <v>240000</v>
      </c>
      <c r="I7" s="31" t="n">
        <f aca="false">IF($B7="","",$F7*INDEX(Forudsætninger!$D$29:$D$40,3)*IF(3&lt;IF(N($C7)&lt;1,1,$C7),0,IF(AND($D7="Ja",3&lt;IF(N($C7)&lt;1,1,$C7)+Forudsætninger!$C$16),Forudsætninger!$C$17,1)))</f>
        <v>270000</v>
      </c>
      <c r="J7" s="31" t="n">
        <f aca="false">IF($B7="","",$F7*INDEX(Forudsætninger!$D$29:$D$40,4)*IF(4&lt;IF(N($C7)&lt;1,1,$C7),0,IF(AND($D7="Ja",4&lt;IF(N($C7)&lt;1,1,$C7)+Forudsætninger!$C$16),Forudsætninger!$C$17,1)))</f>
        <v>240000</v>
      </c>
      <c r="K7" s="31" t="n">
        <f aca="false">IF($B7="","",$F7*INDEX(Forudsætninger!$D$29:$D$40,5)*IF(5&lt;IF(N($C7)&lt;1,1,$C7),0,IF(AND($D7="Ja",5&lt;IF(N($C7)&lt;1,1,$C7)+Forudsætninger!$C$16),Forudsætninger!$C$17,1)))</f>
        <v>270000</v>
      </c>
      <c r="L7" s="31" t="n">
        <f aca="false">IF($B7="","",$F7*INDEX(Forudsætninger!$D$29:$D$40,6)*IF(6&lt;IF(N($C7)&lt;1,1,$C7),0,IF(AND($D7="Ja",6&lt;IF(N($C7)&lt;1,1,$C7)+Forudsætninger!$C$16),Forudsætninger!$C$17,1)))</f>
        <v>270000</v>
      </c>
      <c r="M7" s="31" t="n">
        <f aca="false">IF($B7="","",$F7*INDEX(Forudsætninger!$D$29:$D$40,7)*IF(7&lt;IF(N($C7)&lt;1,1,$C7),0,IF(AND($D7="Ja",7&lt;IF(N($C7)&lt;1,1,$C7)+Forudsætninger!$C$16),Forudsætninger!$C$17,1)))</f>
        <v>120000</v>
      </c>
      <c r="N7" s="31" t="n">
        <f aca="false">IF($B7="","",$F7*INDEX(Forudsætninger!$D$29:$D$40,8)*IF(8&lt;IF(N($C7)&lt;1,1,$C7),0,IF(AND($D7="Ja",8&lt;IF(N($C7)&lt;1,1,$C7)+Forudsætninger!$C$16),Forudsætninger!$C$17,1)))</f>
        <v>210000</v>
      </c>
      <c r="O7" s="31" t="n">
        <f aca="false">IF($B7="","",$F7*INDEX(Forudsætninger!$D$29:$D$40,9)*IF(9&lt;IF(N($C7)&lt;1,1,$C7),0,IF(AND($D7="Ja",9&lt;IF(N($C7)&lt;1,1,$C7)+Forudsætninger!$C$16),Forudsætninger!$C$17,1)))</f>
        <v>270000</v>
      </c>
      <c r="P7" s="31" t="n">
        <f aca="false">IF($B7="","",$F7*INDEX(Forudsætninger!$D$29:$D$40,10)*IF(10&lt;IF(N($C7)&lt;1,1,$C7),0,IF(AND($D7="Ja",10&lt;IF(N($C7)&lt;1,1,$C7)+Forudsætninger!$C$16),Forudsætninger!$C$17,1)))</f>
        <v>270000</v>
      </c>
      <c r="Q7" s="31" t="n">
        <f aca="false">IF($B7="","",$F7*INDEX(Forudsætninger!$D$29:$D$40,11)*IF(11&lt;IF(N($C7)&lt;1,1,$C7),0,IF(AND($D7="Ja",11&lt;IF(N($C7)&lt;1,1,$C7)+Forudsætninger!$C$16),Forudsætninger!$C$17,1)))</f>
        <v>300000</v>
      </c>
      <c r="R7" s="31" t="n">
        <f aca="false">IF($B7="","",$F7*INDEX(Forudsætninger!$D$29:$D$40,12)*IF(12&lt;IF(N($C7)&lt;1,1,$C7),0,IF(AND($D7="Ja",12&lt;IF(N($C7)&lt;1,1,$C7)+Forudsætninger!$C$16),Forudsætninger!$C$17,1)))</f>
        <v>330000</v>
      </c>
      <c r="S7" s="42" t="n">
        <f aca="false">IF($B7="","",SUM(G7:R7))</f>
        <v>3000000</v>
      </c>
    </row>
    <row r="8" customFormat="false" ht="15" hidden="false" customHeight="false" outlineLevel="0" collapsed="false">
      <c r="B8" s="10" t="s">
        <v>163</v>
      </c>
      <c r="C8" s="40" t="n">
        <v>1</v>
      </c>
      <c r="D8" s="41" t="s">
        <v>162</v>
      </c>
      <c r="E8" s="22"/>
      <c r="F8" s="31" t="n">
        <f aca="false">IF($B8="","",IF(N($E8)&gt;0,$E8,Forudsætninger!$C$14))</f>
        <v>3000000</v>
      </c>
      <c r="G8" s="31" t="n">
        <f aca="false">IF($B8="","",$F8*INDEX(Forudsætninger!$D$29:$D$40,1)*IF(1&lt;IF(N($C8)&lt;1,1,$C8),0,IF(AND($D8="Ja",1&lt;IF(N($C8)&lt;1,1,$C8)+Forudsætninger!$C$16),Forudsætninger!$C$17,1)))</f>
        <v>210000</v>
      </c>
      <c r="H8" s="31" t="n">
        <f aca="false">IF($B8="","",$F8*INDEX(Forudsætninger!$D$29:$D$40,2)*IF(2&lt;IF(N($C8)&lt;1,1,$C8),0,IF(AND($D8="Ja",2&lt;IF(N($C8)&lt;1,1,$C8)+Forudsætninger!$C$16),Forudsætninger!$C$17,1)))</f>
        <v>240000</v>
      </c>
      <c r="I8" s="31" t="n">
        <f aca="false">IF($B8="","",$F8*INDEX(Forudsætninger!$D$29:$D$40,3)*IF(3&lt;IF(N($C8)&lt;1,1,$C8),0,IF(AND($D8="Ja",3&lt;IF(N($C8)&lt;1,1,$C8)+Forudsætninger!$C$16),Forudsætninger!$C$17,1)))</f>
        <v>270000</v>
      </c>
      <c r="J8" s="31" t="n">
        <f aca="false">IF($B8="","",$F8*INDEX(Forudsætninger!$D$29:$D$40,4)*IF(4&lt;IF(N($C8)&lt;1,1,$C8),0,IF(AND($D8="Ja",4&lt;IF(N($C8)&lt;1,1,$C8)+Forudsætninger!$C$16),Forudsætninger!$C$17,1)))</f>
        <v>240000</v>
      </c>
      <c r="K8" s="31" t="n">
        <f aca="false">IF($B8="","",$F8*INDEX(Forudsætninger!$D$29:$D$40,5)*IF(5&lt;IF(N($C8)&lt;1,1,$C8),0,IF(AND($D8="Ja",5&lt;IF(N($C8)&lt;1,1,$C8)+Forudsætninger!$C$16),Forudsætninger!$C$17,1)))</f>
        <v>270000</v>
      </c>
      <c r="L8" s="31" t="n">
        <f aca="false">IF($B8="","",$F8*INDEX(Forudsætninger!$D$29:$D$40,6)*IF(6&lt;IF(N($C8)&lt;1,1,$C8),0,IF(AND($D8="Ja",6&lt;IF(N($C8)&lt;1,1,$C8)+Forudsætninger!$C$16),Forudsætninger!$C$17,1)))</f>
        <v>270000</v>
      </c>
      <c r="M8" s="31" t="n">
        <f aca="false">IF($B8="","",$F8*INDEX(Forudsætninger!$D$29:$D$40,7)*IF(7&lt;IF(N($C8)&lt;1,1,$C8),0,IF(AND($D8="Ja",7&lt;IF(N($C8)&lt;1,1,$C8)+Forudsætninger!$C$16),Forudsætninger!$C$17,1)))</f>
        <v>120000</v>
      </c>
      <c r="N8" s="31" t="n">
        <f aca="false">IF($B8="","",$F8*INDEX(Forudsætninger!$D$29:$D$40,8)*IF(8&lt;IF(N($C8)&lt;1,1,$C8),0,IF(AND($D8="Ja",8&lt;IF(N($C8)&lt;1,1,$C8)+Forudsætninger!$C$16),Forudsætninger!$C$17,1)))</f>
        <v>210000</v>
      </c>
      <c r="O8" s="31" t="n">
        <f aca="false">IF($B8="","",$F8*INDEX(Forudsætninger!$D$29:$D$40,9)*IF(9&lt;IF(N($C8)&lt;1,1,$C8),0,IF(AND($D8="Ja",9&lt;IF(N($C8)&lt;1,1,$C8)+Forudsætninger!$C$16),Forudsætninger!$C$17,1)))</f>
        <v>270000</v>
      </c>
      <c r="P8" s="31" t="n">
        <f aca="false">IF($B8="","",$F8*INDEX(Forudsætninger!$D$29:$D$40,10)*IF(10&lt;IF(N($C8)&lt;1,1,$C8),0,IF(AND($D8="Ja",10&lt;IF(N($C8)&lt;1,1,$C8)+Forudsætninger!$C$16),Forudsætninger!$C$17,1)))</f>
        <v>270000</v>
      </c>
      <c r="Q8" s="31" t="n">
        <f aca="false">IF($B8="","",$F8*INDEX(Forudsætninger!$D$29:$D$40,11)*IF(11&lt;IF(N($C8)&lt;1,1,$C8),0,IF(AND($D8="Ja",11&lt;IF(N($C8)&lt;1,1,$C8)+Forudsætninger!$C$16),Forudsætninger!$C$17,1)))</f>
        <v>300000</v>
      </c>
      <c r="R8" s="31" t="n">
        <f aca="false">IF($B8="","",$F8*INDEX(Forudsætninger!$D$29:$D$40,12)*IF(12&lt;IF(N($C8)&lt;1,1,$C8),0,IF(AND($D8="Ja",12&lt;IF(N($C8)&lt;1,1,$C8)+Forudsætninger!$C$16),Forudsætninger!$C$17,1)))</f>
        <v>330000</v>
      </c>
      <c r="S8" s="42" t="n">
        <f aca="false">IF($B8="","",SUM(G8:R8))</f>
        <v>3000000</v>
      </c>
    </row>
    <row r="9" customFormat="false" ht="15" hidden="false" customHeight="false" outlineLevel="0" collapsed="false">
      <c r="B9" s="10" t="s">
        <v>164</v>
      </c>
      <c r="C9" s="40" t="n">
        <v>1</v>
      </c>
      <c r="D9" s="41" t="s">
        <v>162</v>
      </c>
      <c r="E9" s="22"/>
      <c r="F9" s="31" t="n">
        <f aca="false">IF($B9="","",IF(N($E9)&gt;0,$E9,Forudsætninger!$C$14))</f>
        <v>3000000</v>
      </c>
      <c r="G9" s="31" t="n">
        <f aca="false">IF($B9="","",$F9*INDEX(Forudsætninger!$D$29:$D$40,1)*IF(1&lt;IF(N($C9)&lt;1,1,$C9),0,IF(AND($D9="Ja",1&lt;IF(N($C9)&lt;1,1,$C9)+Forudsætninger!$C$16),Forudsætninger!$C$17,1)))</f>
        <v>210000</v>
      </c>
      <c r="H9" s="31" t="n">
        <f aca="false">IF($B9="","",$F9*INDEX(Forudsætninger!$D$29:$D$40,2)*IF(2&lt;IF(N($C9)&lt;1,1,$C9),0,IF(AND($D9="Ja",2&lt;IF(N($C9)&lt;1,1,$C9)+Forudsætninger!$C$16),Forudsætninger!$C$17,1)))</f>
        <v>240000</v>
      </c>
      <c r="I9" s="31" t="n">
        <f aca="false">IF($B9="","",$F9*INDEX(Forudsætninger!$D$29:$D$40,3)*IF(3&lt;IF(N($C9)&lt;1,1,$C9),0,IF(AND($D9="Ja",3&lt;IF(N($C9)&lt;1,1,$C9)+Forudsætninger!$C$16),Forudsætninger!$C$17,1)))</f>
        <v>270000</v>
      </c>
      <c r="J9" s="31" t="n">
        <f aca="false">IF($B9="","",$F9*INDEX(Forudsætninger!$D$29:$D$40,4)*IF(4&lt;IF(N($C9)&lt;1,1,$C9),0,IF(AND($D9="Ja",4&lt;IF(N($C9)&lt;1,1,$C9)+Forudsætninger!$C$16),Forudsætninger!$C$17,1)))</f>
        <v>240000</v>
      </c>
      <c r="K9" s="31" t="n">
        <f aca="false">IF($B9="","",$F9*INDEX(Forudsætninger!$D$29:$D$40,5)*IF(5&lt;IF(N($C9)&lt;1,1,$C9),0,IF(AND($D9="Ja",5&lt;IF(N($C9)&lt;1,1,$C9)+Forudsætninger!$C$16),Forudsætninger!$C$17,1)))</f>
        <v>270000</v>
      </c>
      <c r="L9" s="31" t="n">
        <f aca="false">IF($B9="","",$F9*INDEX(Forudsætninger!$D$29:$D$40,6)*IF(6&lt;IF(N($C9)&lt;1,1,$C9),0,IF(AND($D9="Ja",6&lt;IF(N($C9)&lt;1,1,$C9)+Forudsætninger!$C$16),Forudsætninger!$C$17,1)))</f>
        <v>270000</v>
      </c>
      <c r="M9" s="31" t="n">
        <f aca="false">IF($B9="","",$F9*INDEX(Forudsætninger!$D$29:$D$40,7)*IF(7&lt;IF(N($C9)&lt;1,1,$C9),0,IF(AND($D9="Ja",7&lt;IF(N($C9)&lt;1,1,$C9)+Forudsætninger!$C$16),Forudsætninger!$C$17,1)))</f>
        <v>120000</v>
      </c>
      <c r="N9" s="31" t="n">
        <f aca="false">IF($B9="","",$F9*INDEX(Forudsætninger!$D$29:$D$40,8)*IF(8&lt;IF(N($C9)&lt;1,1,$C9),0,IF(AND($D9="Ja",8&lt;IF(N($C9)&lt;1,1,$C9)+Forudsætninger!$C$16),Forudsætninger!$C$17,1)))</f>
        <v>210000</v>
      </c>
      <c r="O9" s="31" t="n">
        <f aca="false">IF($B9="","",$F9*INDEX(Forudsætninger!$D$29:$D$40,9)*IF(9&lt;IF(N($C9)&lt;1,1,$C9),0,IF(AND($D9="Ja",9&lt;IF(N($C9)&lt;1,1,$C9)+Forudsætninger!$C$16),Forudsætninger!$C$17,1)))</f>
        <v>270000</v>
      </c>
      <c r="P9" s="31" t="n">
        <f aca="false">IF($B9="","",$F9*INDEX(Forudsætninger!$D$29:$D$40,10)*IF(10&lt;IF(N($C9)&lt;1,1,$C9),0,IF(AND($D9="Ja",10&lt;IF(N($C9)&lt;1,1,$C9)+Forudsætninger!$C$16),Forudsætninger!$C$17,1)))</f>
        <v>270000</v>
      </c>
      <c r="Q9" s="31" t="n">
        <f aca="false">IF($B9="","",$F9*INDEX(Forudsætninger!$D$29:$D$40,11)*IF(11&lt;IF(N($C9)&lt;1,1,$C9),0,IF(AND($D9="Ja",11&lt;IF(N($C9)&lt;1,1,$C9)+Forudsætninger!$C$16),Forudsætninger!$C$17,1)))</f>
        <v>300000</v>
      </c>
      <c r="R9" s="31" t="n">
        <f aca="false">IF($B9="","",$F9*INDEX(Forudsætninger!$D$29:$D$40,12)*IF(12&lt;IF(N($C9)&lt;1,1,$C9),0,IF(AND($D9="Ja",12&lt;IF(N($C9)&lt;1,1,$C9)+Forudsætninger!$C$16),Forudsætninger!$C$17,1)))</f>
        <v>330000</v>
      </c>
      <c r="S9" s="42" t="n">
        <f aca="false">IF($B9="","",SUM(G9:R9))</f>
        <v>3000000</v>
      </c>
    </row>
    <row r="10" customFormat="false" ht="15" hidden="false" customHeight="false" outlineLevel="0" collapsed="false">
      <c r="B10" s="10" t="s">
        <v>165</v>
      </c>
      <c r="C10" s="40" t="n">
        <v>1</v>
      </c>
      <c r="D10" s="41" t="s">
        <v>162</v>
      </c>
      <c r="E10" s="22"/>
      <c r="F10" s="31" t="n">
        <f aca="false">IF($B10="","",IF(N($E10)&gt;0,$E10,Forudsætninger!$C$14))</f>
        <v>3000000</v>
      </c>
      <c r="G10" s="31" t="n">
        <f aca="false">IF($B10="","",$F10*INDEX(Forudsætninger!$D$29:$D$40,1)*IF(1&lt;IF(N($C10)&lt;1,1,$C10),0,IF(AND($D10="Ja",1&lt;IF(N($C10)&lt;1,1,$C10)+Forudsætninger!$C$16),Forudsætninger!$C$17,1)))</f>
        <v>210000</v>
      </c>
      <c r="H10" s="31" t="n">
        <f aca="false">IF($B10="","",$F10*INDEX(Forudsætninger!$D$29:$D$40,2)*IF(2&lt;IF(N($C10)&lt;1,1,$C10),0,IF(AND($D10="Ja",2&lt;IF(N($C10)&lt;1,1,$C10)+Forudsætninger!$C$16),Forudsætninger!$C$17,1)))</f>
        <v>240000</v>
      </c>
      <c r="I10" s="31" t="n">
        <f aca="false">IF($B10="","",$F10*INDEX(Forudsætninger!$D$29:$D$40,3)*IF(3&lt;IF(N($C10)&lt;1,1,$C10),0,IF(AND($D10="Ja",3&lt;IF(N($C10)&lt;1,1,$C10)+Forudsætninger!$C$16),Forudsætninger!$C$17,1)))</f>
        <v>270000</v>
      </c>
      <c r="J10" s="31" t="n">
        <f aca="false">IF($B10="","",$F10*INDEX(Forudsætninger!$D$29:$D$40,4)*IF(4&lt;IF(N($C10)&lt;1,1,$C10),0,IF(AND($D10="Ja",4&lt;IF(N($C10)&lt;1,1,$C10)+Forudsætninger!$C$16),Forudsætninger!$C$17,1)))</f>
        <v>240000</v>
      </c>
      <c r="K10" s="31" t="n">
        <f aca="false">IF($B10="","",$F10*INDEX(Forudsætninger!$D$29:$D$40,5)*IF(5&lt;IF(N($C10)&lt;1,1,$C10),0,IF(AND($D10="Ja",5&lt;IF(N($C10)&lt;1,1,$C10)+Forudsætninger!$C$16),Forudsætninger!$C$17,1)))</f>
        <v>270000</v>
      </c>
      <c r="L10" s="31" t="n">
        <f aca="false">IF($B10="","",$F10*INDEX(Forudsætninger!$D$29:$D$40,6)*IF(6&lt;IF(N($C10)&lt;1,1,$C10),0,IF(AND($D10="Ja",6&lt;IF(N($C10)&lt;1,1,$C10)+Forudsætninger!$C$16),Forudsætninger!$C$17,1)))</f>
        <v>270000</v>
      </c>
      <c r="M10" s="31" t="n">
        <f aca="false">IF($B10="","",$F10*INDEX(Forudsætninger!$D$29:$D$40,7)*IF(7&lt;IF(N($C10)&lt;1,1,$C10),0,IF(AND($D10="Ja",7&lt;IF(N($C10)&lt;1,1,$C10)+Forudsætninger!$C$16),Forudsætninger!$C$17,1)))</f>
        <v>120000</v>
      </c>
      <c r="N10" s="31" t="n">
        <f aca="false">IF($B10="","",$F10*INDEX(Forudsætninger!$D$29:$D$40,8)*IF(8&lt;IF(N($C10)&lt;1,1,$C10),0,IF(AND($D10="Ja",8&lt;IF(N($C10)&lt;1,1,$C10)+Forudsætninger!$C$16),Forudsætninger!$C$17,1)))</f>
        <v>210000</v>
      </c>
      <c r="O10" s="31" t="n">
        <f aca="false">IF($B10="","",$F10*INDEX(Forudsætninger!$D$29:$D$40,9)*IF(9&lt;IF(N($C10)&lt;1,1,$C10),0,IF(AND($D10="Ja",9&lt;IF(N($C10)&lt;1,1,$C10)+Forudsætninger!$C$16),Forudsætninger!$C$17,1)))</f>
        <v>270000</v>
      </c>
      <c r="P10" s="31" t="n">
        <f aca="false">IF($B10="","",$F10*INDEX(Forudsætninger!$D$29:$D$40,10)*IF(10&lt;IF(N($C10)&lt;1,1,$C10),0,IF(AND($D10="Ja",10&lt;IF(N($C10)&lt;1,1,$C10)+Forudsætninger!$C$16),Forudsætninger!$C$17,1)))</f>
        <v>270000</v>
      </c>
      <c r="Q10" s="31" t="n">
        <f aca="false">IF($B10="","",$F10*INDEX(Forudsætninger!$D$29:$D$40,11)*IF(11&lt;IF(N($C10)&lt;1,1,$C10),0,IF(AND($D10="Ja",11&lt;IF(N($C10)&lt;1,1,$C10)+Forudsætninger!$C$16),Forudsætninger!$C$17,1)))</f>
        <v>300000</v>
      </c>
      <c r="R10" s="31" t="n">
        <f aca="false">IF($B10="","",$F10*INDEX(Forudsætninger!$D$29:$D$40,12)*IF(12&lt;IF(N($C10)&lt;1,1,$C10),0,IF(AND($D10="Ja",12&lt;IF(N($C10)&lt;1,1,$C10)+Forudsætninger!$C$16),Forudsætninger!$C$17,1)))</f>
        <v>330000</v>
      </c>
      <c r="S10" s="42" t="n">
        <f aca="false">IF($B10="","",SUM(G10:R10))</f>
        <v>3000000</v>
      </c>
    </row>
    <row r="11" customFormat="false" ht="15" hidden="false" customHeight="false" outlineLevel="0" collapsed="false">
      <c r="B11" s="10" t="s">
        <v>166</v>
      </c>
      <c r="C11" s="40" t="n">
        <v>1</v>
      </c>
      <c r="D11" s="41" t="s">
        <v>162</v>
      </c>
      <c r="E11" s="22"/>
      <c r="F11" s="31" t="n">
        <f aca="false">IF($B11="","",IF(N($E11)&gt;0,$E11,Forudsætninger!$C$14))</f>
        <v>3000000</v>
      </c>
      <c r="G11" s="31" t="n">
        <f aca="false">IF($B11="","",$F11*INDEX(Forudsætninger!$D$29:$D$40,1)*IF(1&lt;IF(N($C11)&lt;1,1,$C11),0,IF(AND($D11="Ja",1&lt;IF(N($C11)&lt;1,1,$C11)+Forudsætninger!$C$16),Forudsætninger!$C$17,1)))</f>
        <v>210000</v>
      </c>
      <c r="H11" s="31" t="n">
        <f aca="false">IF($B11="","",$F11*INDEX(Forudsætninger!$D$29:$D$40,2)*IF(2&lt;IF(N($C11)&lt;1,1,$C11),0,IF(AND($D11="Ja",2&lt;IF(N($C11)&lt;1,1,$C11)+Forudsætninger!$C$16),Forudsætninger!$C$17,1)))</f>
        <v>240000</v>
      </c>
      <c r="I11" s="31" t="n">
        <f aca="false">IF($B11="","",$F11*INDEX(Forudsætninger!$D$29:$D$40,3)*IF(3&lt;IF(N($C11)&lt;1,1,$C11),0,IF(AND($D11="Ja",3&lt;IF(N($C11)&lt;1,1,$C11)+Forudsætninger!$C$16),Forudsætninger!$C$17,1)))</f>
        <v>270000</v>
      </c>
      <c r="J11" s="31" t="n">
        <f aca="false">IF($B11="","",$F11*INDEX(Forudsætninger!$D$29:$D$40,4)*IF(4&lt;IF(N($C11)&lt;1,1,$C11),0,IF(AND($D11="Ja",4&lt;IF(N($C11)&lt;1,1,$C11)+Forudsætninger!$C$16),Forudsætninger!$C$17,1)))</f>
        <v>240000</v>
      </c>
      <c r="K11" s="31" t="n">
        <f aca="false">IF($B11="","",$F11*INDEX(Forudsætninger!$D$29:$D$40,5)*IF(5&lt;IF(N($C11)&lt;1,1,$C11),0,IF(AND($D11="Ja",5&lt;IF(N($C11)&lt;1,1,$C11)+Forudsætninger!$C$16),Forudsætninger!$C$17,1)))</f>
        <v>270000</v>
      </c>
      <c r="L11" s="31" t="n">
        <f aca="false">IF($B11="","",$F11*INDEX(Forudsætninger!$D$29:$D$40,6)*IF(6&lt;IF(N($C11)&lt;1,1,$C11),0,IF(AND($D11="Ja",6&lt;IF(N($C11)&lt;1,1,$C11)+Forudsætninger!$C$16),Forudsætninger!$C$17,1)))</f>
        <v>270000</v>
      </c>
      <c r="M11" s="31" t="n">
        <f aca="false">IF($B11="","",$F11*INDEX(Forudsætninger!$D$29:$D$40,7)*IF(7&lt;IF(N($C11)&lt;1,1,$C11),0,IF(AND($D11="Ja",7&lt;IF(N($C11)&lt;1,1,$C11)+Forudsætninger!$C$16),Forudsætninger!$C$17,1)))</f>
        <v>120000</v>
      </c>
      <c r="N11" s="31" t="n">
        <f aca="false">IF($B11="","",$F11*INDEX(Forudsætninger!$D$29:$D$40,8)*IF(8&lt;IF(N($C11)&lt;1,1,$C11),0,IF(AND($D11="Ja",8&lt;IF(N($C11)&lt;1,1,$C11)+Forudsætninger!$C$16),Forudsætninger!$C$17,1)))</f>
        <v>210000</v>
      </c>
      <c r="O11" s="31" t="n">
        <f aca="false">IF($B11="","",$F11*INDEX(Forudsætninger!$D$29:$D$40,9)*IF(9&lt;IF(N($C11)&lt;1,1,$C11),0,IF(AND($D11="Ja",9&lt;IF(N($C11)&lt;1,1,$C11)+Forudsætninger!$C$16),Forudsætninger!$C$17,1)))</f>
        <v>270000</v>
      </c>
      <c r="P11" s="31" t="n">
        <f aca="false">IF($B11="","",$F11*INDEX(Forudsætninger!$D$29:$D$40,10)*IF(10&lt;IF(N($C11)&lt;1,1,$C11),0,IF(AND($D11="Ja",10&lt;IF(N($C11)&lt;1,1,$C11)+Forudsætninger!$C$16),Forudsætninger!$C$17,1)))</f>
        <v>270000</v>
      </c>
      <c r="Q11" s="31" t="n">
        <f aca="false">IF($B11="","",$F11*INDEX(Forudsætninger!$D$29:$D$40,11)*IF(11&lt;IF(N($C11)&lt;1,1,$C11),0,IF(AND($D11="Ja",11&lt;IF(N($C11)&lt;1,1,$C11)+Forudsætninger!$C$16),Forudsætninger!$C$17,1)))</f>
        <v>300000</v>
      </c>
      <c r="R11" s="31" t="n">
        <f aca="false">IF($B11="","",$F11*INDEX(Forudsætninger!$D$29:$D$40,12)*IF(12&lt;IF(N($C11)&lt;1,1,$C11),0,IF(AND($D11="Ja",12&lt;IF(N($C11)&lt;1,1,$C11)+Forudsætninger!$C$16),Forudsætninger!$C$17,1)))</f>
        <v>330000</v>
      </c>
      <c r="S11" s="42" t="n">
        <f aca="false">IF($B11="","",SUM(G11:R11))</f>
        <v>3000000</v>
      </c>
    </row>
    <row r="12" customFormat="false" ht="15" hidden="false" customHeight="false" outlineLevel="0" collapsed="false">
      <c r="B12" s="10" t="s">
        <v>167</v>
      </c>
      <c r="C12" s="40" t="n">
        <v>1</v>
      </c>
      <c r="D12" s="41" t="s">
        <v>162</v>
      </c>
      <c r="E12" s="22"/>
      <c r="F12" s="31" t="n">
        <f aca="false">IF($B12="","",IF(N($E12)&gt;0,$E12,Forudsætninger!$C$14))</f>
        <v>3000000</v>
      </c>
      <c r="G12" s="31" t="n">
        <f aca="false">IF($B12="","",$F12*INDEX(Forudsætninger!$D$29:$D$40,1)*IF(1&lt;IF(N($C12)&lt;1,1,$C12),0,IF(AND($D12="Ja",1&lt;IF(N($C12)&lt;1,1,$C12)+Forudsætninger!$C$16),Forudsætninger!$C$17,1)))</f>
        <v>210000</v>
      </c>
      <c r="H12" s="31" t="n">
        <f aca="false">IF($B12="","",$F12*INDEX(Forudsætninger!$D$29:$D$40,2)*IF(2&lt;IF(N($C12)&lt;1,1,$C12),0,IF(AND($D12="Ja",2&lt;IF(N($C12)&lt;1,1,$C12)+Forudsætninger!$C$16),Forudsætninger!$C$17,1)))</f>
        <v>240000</v>
      </c>
      <c r="I12" s="31" t="n">
        <f aca="false">IF($B12="","",$F12*INDEX(Forudsætninger!$D$29:$D$40,3)*IF(3&lt;IF(N($C12)&lt;1,1,$C12),0,IF(AND($D12="Ja",3&lt;IF(N($C12)&lt;1,1,$C12)+Forudsætninger!$C$16),Forudsætninger!$C$17,1)))</f>
        <v>270000</v>
      </c>
      <c r="J12" s="31" t="n">
        <f aca="false">IF($B12="","",$F12*INDEX(Forudsætninger!$D$29:$D$40,4)*IF(4&lt;IF(N($C12)&lt;1,1,$C12),0,IF(AND($D12="Ja",4&lt;IF(N($C12)&lt;1,1,$C12)+Forudsætninger!$C$16),Forudsætninger!$C$17,1)))</f>
        <v>240000</v>
      </c>
      <c r="K12" s="31" t="n">
        <f aca="false">IF($B12="","",$F12*INDEX(Forudsætninger!$D$29:$D$40,5)*IF(5&lt;IF(N($C12)&lt;1,1,$C12),0,IF(AND($D12="Ja",5&lt;IF(N($C12)&lt;1,1,$C12)+Forudsætninger!$C$16),Forudsætninger!$C$17,1)))</f>
        <v>270000</v>
      </c>
      <c r="L12" s="31" t="n">
        <f aca="false">IF($B12="","",$F12*INDEX(Forudsætninger!$D$29:$D$40,6)*IF(6&lt;IF(N($C12)&lt;1,1,$C12),0,IF(AND($D12="Ja",6&lt;IF(N($C12)&lt;1,1,$C12)+Forudsætninger!$C$16),Forudsætninger!$C$17,1)))</f>
        <v>270000</v>
      </c>
      <c r="M12" s="31" t="n">
        <f aca="false">IF($B12="","",$F12*INDEX(Forudsætninger!$D$29:$D$40,7)*IF(7&lt;IF(N($C12)&lt;1,1,$C12),0,IF(AND($D12="Ja",7&lt;IF(N($C12)&lt;1,1,$C12)+Forudsætninger!$C$16),Forudsætninger!$C$17,1)))</f>
        <v>120000</v>
      </c>
      <c r="N12" s="31" t="n">
        <f aca="false">IF($B12="","",$F12*INDEX(Forudsætninger!$D$29:$D$40,8)*IF(8&lt;IF(N($C12)&lt;1,1,$C12),0,IF(AND($D12="Ja",8&lt;IF(N($C12)&lt;1,1,$C12)+Forudsætninger!$C$16),Forudsætninger!$C$17,1)))</f>
        <v>210000</v>
      </c>
      <c r="O12" s="31" t="n">
        <f aca="false">IF($B12="","",$F12*INDEX(Forudsætninger!$D$29:$D$40,9)*IF(9&lt;IF(N($C12)&lt;1,1,$C12),0,IF(AND($D12="Ja",9&lt;IF(N($C12)&lt;1,1,$C12)+Forudsætninger!$C$16),Forudsætninger!$C$17,1)))</f>
        <v>270000</v>
      </c>
      <c r="P12" s="31" t="n">
        <f aca="false">IF($B12="","",$F12*INDEX(Forudsætninger!$D$29:$D$40,10)*IF(10&lt;IF(N($C12)&lt;1,1,$C12),0,IF(AND($D12="Ja",10&lt;IF(N($C12)&lt;1,1,$C12)+Forudsætninger!$C$16),Forudsætninger!$C$17,1)))</f>
        <v>270000</v>
      </c>
      <c r="Q12" s="31" t="n">
        <f aca="false">IF($B12="","",$F12*INDEX(Forudsætninger!$D$29:$D$40,11)*IF(11&lt;IF(N($C12)&lt;1,1,$C12),0,IF(AND($D12="Ja",11&lt;IF(N($C12)&lt;1,1,$C12)+Forudsætninger!$C$16),Forudsætninger!$C$17,1)))</f>
        <v>300000</v>
      </c>
      <c r="R12" s="31" t="n">
        <f aca="false">IF($B12="","",$F12*INDEX(Forudsætninger!$D$29:$D$40,12)*IF(12&lt;IF(N($C12)&lt;1,1,$C12),0,IF(AND($D12="Ja",12&lt;IF(N($C12)&lt;1,1,$C12)+Forudsætninger!$C$16),Forudsætninger!$C$17,1)))</f>
        <v>330000</v>
      </c>
      <c r="S12" s="42" t="n">
        <f aca="false">IF($B12="","",SUM(G12:R12))</f>
        <v>3000000</v>
      </c>
    </row>
    <row r="13" customFormat="false" ht="15" hidden="false" customHeight="false" outlineLevel="0" collapsed="false">
      <c r="B13" s="10" t="s">
        <v>168</v>
      </c>
      <c r="C13" s="40" t="n">
        <v>1</v>
      </c>
      <c r="D13" s="41" t="s">
        <v>162</v>
      </c>
      <c r="E13" s="22"/>
      <c r="F13" s="31" t="n">
        <f aca="false">IF($B13="","",IF(N($E13)&gt;0,$E13,Forudsætninger!$C$14))</f>
        <v>3000000</v>
      </c>
      <c r="G13" s="31" t="n">
        <f aca="false">IF($B13="","",$F13*INDEX(Forudsætninger!$D$29:$D$40,1)*IF(1&lt;IF(N($C13)&lt;1,1,$C13),0,IF(AND($D13="Ja",1&lt;IF(N($C13)&lt;1,1,$C13)+Forudsætninger!$C$16),Forudsætninger!$C$17,1)))</f>
        <v>210000</v>
      </c>
      <c r="H13" s="31" t="n">
        <f aca="false">IF($B13="","",$F13*INDEX(Forudsætninger!$D$29:$D$40,2)*IF(2&lt;IF(N($C13)&lt;1,1,$C13),0,IF(AND($D13="Ja",2&lt;IF(N($C13)&lt;1,1,$C13)+Forudsætninger!$C$16),Forudsætninger!$C$17,1)))</f>
        <v>240000</v>
      </c>
      <c r="I13" s="31" t="n">
        <f aca="false">IF($B13="","",$F13*INDEX(Forudsætninger!$D$29:$D$40,3)*IF(3&lt;IF(N($C13)&lt;1,1,$C13),0,IF(AND($D13="Ja",3&lt;IF(N($C13)&lt;1,1,$C13)+Forudsætninger!$C$16),Forudsætninger!$C$17,1)))</f>
        <v>270000</v>
      </c>
      <c r="J13" s="31" t="n">
        <f aca="false">IF($B13="","",$F13*INDEX(Forudsætninger!$D$29:$D$40,4)*IF(4&lt;IF(N($C13)&lt;1,1,$C13),0,IF(AND($D13="Ja",4&lt;IF(N($C13)&lt;1,1,$C13)+Forudsætninger!$C$16),Forudsætninger!$C$17,1)))</f>
        <v>240000</v>
      </c>
      <c r="K13" s="31" t="n">
        <f aca="false">IF($B13="","",$F13*INDEX(Forudsætninger!$D$29:$D$40,5)*IF(5&lt;IF(N($C13)&lt;1,1,$C13),0,IF(AND($D13="Ja",5&lt;IF(N($C13)&lt;1,1,$C13)+Forudsætninger!$C$16),Forudsætninger!$C$17,1)))</f>
        <v>270000</v>
      </c>
      <c r="L13" s="31" t="n">
        <f aca="false">IF($B13="","",$F13*INDEX(Forudsætninger!$D$29:$D$40,6)*IF(6&lt;IF(N($C13)&lt;1,1,$C13),0,IF(AND($D13="Ja",6&lt;IF(N($C13)&lt;1,1,$C13)+Forudsætninger!$C$16),Forudsætninger!$C$17,1)))</f>
        <v>270000</v>
      </c>
      <c r="M13" s="31" t="n">
        <f aca="false">IF($B13="","",$F13*INDEX(Forudsætninger!$D$29:$D$40,7)*IF(7&lt;IF(N($C13)&lt;1,1,$C13),0,IF(AND($D13="Ja",7&lt;IF(N($C13)&lt;1,1,$C13)+Forudsætninger!$C$16),Forudsætninger!$C$17,1)))</f>
        <v>120000</v>
      </c>
      <c r="N13" s="31" t="n">
        <f aca="false">IF($B13="","",$F13*INDEX(Forudsætninger!$D$29:$D$40,8)*IF(8&lt;IF(N($C13)&lt;1,1,$C13),0,IF(AND($D13="Ja",8&lt;IF(N($C13)&lt;1,1,$C13)+Forudsætninger!$C$16),Forudsætninger!$C$17,1)))</f>
        <v>210000</v>
      </c>
      <c r="O13" s="31" t="n">
        <f aca="false">IF($B13="","",$F13*INDEX(Forudsætninger!$D$29:$D$40,9)*IF(9&lt;IF(N($C13)&lt;1,1,$C13),0,IF(AND($D13="Ja",9&lt;IF(N($C13)&lt;1,1,$C13)+Forudsætninger!$C$16),Forudsætninger!$C$17,1)))</f>
        <v>270000</v>
      </c>
      <c r="P13" s="31" t="n">
        <f aca="false">IF($B13="","",$F13*INDEX(Forudsætninger!$D$29:$D$40,10)*IF(10&lt;IF(N($C13)&lt;1,1,$C13),0,IF(AND($D13="Ja",10&lt;IF(N($C13)&lt;1,1,$C13)+Forudsætninger!$C$16),Forudsætninger!$C$17,1)))</f>
        <v>270000</v>
      </c>
      <c r="Q13" s="31" t="n">
        <f aca="false">IF($B13="","",$F13*INDEX(Forudsætninger!$D$29:$D$40,11)*IF(11&lt;IF(N($C13)&lt;1,1,$C13),0,IF(AND($D13="Ja",11&lt;IF(N($C13)&lt;1,1,$C13)+Forudsætninger!$C$16),Forudsætninger!$C$17,1)))</f>
        <v>300000</v>
      </c>
      <c r="R13" s="31" t="n">
        <f aca="false">IF($B13="","",$F13*INDEX(Forudsætninger!$D$29:$D$40,12)*IF(12&lt;IF(N($C13)&lt;1,1,$C13),0,IF(AND($D13="Ja",12&lt;IF(N($C13)&lt;1,1,$C13)+Forudsætninger!$C$16),Forudsætninger!$C$17,1)))</f>
        <v>330000</v>
      </c>
      <c r="S13" s="42" t="n">
        <f aca="false">IF($B13="","",SUM(G13:R13))</f>
        <v>3000000</v>
      </c>
    </row>
    <row r="14" customFormat="false" ht="15" hidden="false" customHeight="false" outlineLevel="0" collapsed="false">
      <c r="B14" s="10" t="s">
        <v>169</v>
      </c>
      <c r="C14" s="40" t="n">
        <v>1</v>
      </c>
      <c r="D14" s="41" t="s">
        <v>170</v>
      </c>
      <c r="E14" s="22"/>
      <c r="F14" s="31" t="n">
        <f aca="false">IF($B14="","",IF(N($E14)&gt;0,$E14,Forudsætninger!$C$14))</f>
        <v>3000000</v>
      </c>
      <c r="G14" s="31" t="n">
        <f aca="false">IF($B14="","",$F14*INDEX(Forudsætninger!$D$29:$D$40,1)*IF(1&lt;IF(N($C14)&lt;1,1,$C14),0,IF(AND($D14="Ja",1&lt;IF(N($C14)&lt;1,1,$C14)+Forudsætninger!$C$16),Forudsætninger!$C$17,1)))</f>
        <v>105000</v>
      </c>
      <c r="H14" s="31" t="n">
        <f aca="false">IF($B14="","",$F14*INDEX(Forudsætninger!$D$29:$D$40,2)*IF(2&lt;IF(N($C14)&lt;1,1,$C14),0,IF(AND($D14="Ja",2&lt;IF(N($C14)&lt;1,1,$C14)+Forudsætninger!$C$16),Forudsætninger!$C$17,1)))</f>
        <v>120000</v>
      </c>
      <c r="I14" s="31" t="n">
        <f aca="false">IF($B14="","",$F14*INDEX(Forudsætninger!$D$29:$D$40,3)*IF(3&lt;IF(N($C14)&lt;1,1,$C14),0,IF(AND($D14="Ja",3&lt;IF(N($C14)&lt;1,1,$C14)+Forudsætninger!$C$16),Forudsætninger!$C$17,1)))</f>
        <v>135000</v>
      </c>
      <c r="J14" s="31" t="n">
        <f aca="false">IF($B14="","",$F14*INDEX(Forudsætninger!$D$29:$D$40,4)*IF(4&lt;IF(N($C14)&lt;1,1,$C14),0,IF(AND($D14="Ja",4&lt;IF(N($C14)&lt;1,1,$C14)+Forudsætninger!$C$16),Forudsætninger!$C$17,1)))</f>
        <v>120000</v>
      </c>
      <c r="K14" s="31" t="n">
        <f aca="false">IF($B14="","",$F14*INDEX(Forudsætninger!$D$29:$D$40,5)*IF(5&lt;IF(N($C14)&lt;1,1,$C14),0,IF(AND($D14="Ja",5&lt;IF(N($C14)&lt;1,1,$C14)+Forudsætninger!$C$16),Forudsætninger!$C$17,1)))</f>
        <v>270000</v>
      </c>
      <c r="L14" s="31" t="n">
        <f aca="false">IF($B14="","",$F14*INDEX(Forudsætninger!$D$29:$D$40,6)*IF(6&lt;IF(N($C14)&lt;1,1,$C14),0,IF(AND($D14="Ja",6&lt;IF(N($C14)&lt;1,1,$C14)+Forudsætninger!$C$16),Forudsætninger!$C$17,1)))</f>
        <v>270000</v>
      </c>
      <c r="M14" s="31" t="n">
        <f aca="false">IF($B14="","",$F14*INDEX(Forudsætninger!$D$29:$D$40,7)*IF(7&lt;IF(N($C14)&lt;1,1,$C14),0,IF(AND($D14="Ja",7&lt;IF(N($C14)&lt;1,1,$C14)+Forudsætninger!$C$16),Forudsætninger!$C$17,1)))</f>
        <v>120000</v>
      </c>
      <c r="N14" s="31" t="n">
        <f aca="false">IF($B14="","",$F14*INDEX(Forudsætninger!$D$29:$D$40,8)*IF(8&lt;IF(N($C14)&lt;1,1,$C14),0,IF(AND($D14="Ja",8&lt;IF(N($C14)&lt;1,1,$C14)+Forudsætninger!$C$16),Forudsætninger!$C$17,1)))</f>
        <v>210000</v>
      </c>
      <c r="O14" s="31" t="n">
        <f aca="false">IF($B14="","",$F14*INDEX(Forudsætninger!$D$29:$D$40,9)*IF(9&lt;IF(N($C14)&lt;1,1,$C14),0,IF(AND($D14="Ja",9&lt;IF(N($C14)&lt;1,1,$C14)+Forudsætninger!$C$16),Forudsætninger!$C$17,1)))</f>
        <v>270000</v>
      </c>
      <c r="P14" s="31" t="n">
        <f aca="false">IF($B14="","",$F14*INDEX(Forudsætninger!$D$29:$D$40,10)*IF(10&lt;IF(N($C14)&lt;1,1,$C14),0,IF(AND($D14="Ja",10&lt;IF(N($C14)&lt;1,1,$C14)+Forudsætninger!$C$16),Forudsætninger!$C$17,1)))</f>
        <v>270000</v>
      </c>
      <c r="Q14" s="31" t="n">
        <f aca="false">IF($B14="","",$F14*INDEX(Forudsætninger!$D$29:$D$40,11)*IF(11&lt;IF(N($C14)&lt;1,1,$C14),0,IF(AND($D14="Ja",11&lt;IF(N($C14)&lt;1,1,$C14)+Forudsætninger!$C$16),Forudsætninger!$C$17,1)))</f>
        <v>300000</v>
      </c>
      <c r="R14" s="31" t="n">
        <f aca="false">IF($B14="","",$F14*INDEX(Forudsætninger!$D$29:$D$40,12)*IF(12&lt;IF(N($C14)&lt;1,1,$C14),0,IF(AND($D14="Ja",12&lt;IF(N($C14)&lt;1,1,$C14)+Forudsætninger!$C$16),Forudsætninger!$C$17,1)))</f>
        <v>330000</v>
      </c>
      <c r="S14" s="42" t="n">
        <f aca="false">IF($B14="","",SUM(G14:R14))</f>
        <v>2520000</v>
      </c>
    </row>
    <row r="15" customFormat="false" ht="15" hidden="false" customHeight="false" outlineLevel="0" collapsed="false">
      <c r="B15" s="10" t="s">
        <v>171</v>
      </c>
      <c r="C15" s="40" t="n">
        <v>2</v>
      </c>
      <c r="D15" s="41" t="s">
        <v>170</v>
      </c>
      <c r="E15" s="22"/>
      <c r="F15" s="31" t="n">
        <f aca="false">IF($B15="","",IF(N($E15)&gt;0,$E15,Forudsætninger!$C$14))</f>
        <v>3000000</v>
      </c>
      <c r="G15" s="31" t="n">
        <f aca="false">IF($B15="","",$F15*INDEX(Forudsætninger!$D$29:$D$40,1)*IF(1&lt;IF(N($C15)&lt;1,1,$C15),0,IF(AND($D15="Ja",1&lt;IF(N($C15)&lt;1,1,$C15)+Forudsætninger!$C$16),Forudsætninger!$C$17,1)))</f>
        <v>0</v>
      </c>
      <c r="H15" s="31" t="n">
        <f aca="false">IF($B15="","",$F15*INDEX(Forudsætninger!$D$29:$D$40,2)*IF(2&lt;IF(N($C15)&lt;1,1,$C15),0,IF(AND($D15="Ja",2&lt;IF(N($C15)&lt;1,1,$C15)+Forudsætninger!$C$16),Forudsætninger!$C$17,1)))</f>
        <v>120000</v>
      </c>
      <c r="I15" s="31" t="n">
        <f aca="false">IF($B15="","",$F15*INDEX(Forudsætninger!$D$29:$D$40,3)*IF(3&lt;IF(N($C15)&lt;1,1,$C15),0,IF(AND($D15="Ja",3&lt;IF(N($C15)&lt;1,1,$C15)+Forudsætninger!$C$16),Forudsætninger!$C$17,1)))</f>
        <v>135000</v>
      </c>
      <c r="J15" s="31" t="n">
        <f aca="false">IF($B15="","",$F15*INDEX(Forudsætninger!$D$29:$D$40,4)*IF(4&lt;IF(N($C15)&lt;1,1,$C15),0,IF(AND($D15="Ja",4&lt;IF(N($C15)&lt;1,1,$C15)+Forudsætninger!$C$16),Forudsætninger!$C$17,1)))</f>
        <v>120000</v>
      </c>
      <c r="K15" s="31" t="n">
        <f aca="false">IF($B15="","",$F15*INDEX(Forudsætninger!$D$29:$D$40,5)*IF(5&lt;IF(N($C15)&lt;1,1,$C15),0,IF(AND($D15="Ja",5&lt;IF(N($C15)&lt;1,1,$C15)+Forudsætninger!$C$16),Forudsætninger!$C$17,1)))</f>
        <v>135000</v>
      </c>
      <c r="L15" s="31" t="n">
        <f aca="false">IF($B15="","",$F15*INDEX(Forudsætninger!$D$29:$D$40,6)*IF(6&lt;IF(N($C15)&lt;1,1,$C15),0,IF(AND($D15="Ja",6&lt;IF(N($C15)&lt;1,1,$C15)+Forudsætninger!$C$16),Forudsætninger!$C$17,1)))</f>
        <v>270000</v>
      </c>
      <c r="M15" s="31" t="n">
        <f aca="false">IF($B15="","",$F15*INDEX(Forudsætninger!$D$29:$D$40,7)*IF(7&lt;IF(N($C15)&lt;1,1,$C15),0,IF(AND($D15="Ja",7&lt;IF(N($C15)&lt;1,1,$C15)+Forudsætninger!$C$16),Forudsætninger!$C$17,1)))</f>
        <v>120000</v>
      </c>
      <c r="N15" s="31" t="n">
        <f aca="false">IF($B15="","",$F15*INDEX(Forudsætninger!$D$29:$D$40,8)*IF(8&lt;IF(N($C15)&lt;1,1,$C15),0,IF(AND($D15="Ja",8&lt;IF(N($C15)&lt;1,1,$C15)+Forudsætninger!$C$16),Forudsætninger!$C$17,1)))</f>
        <v>210000</v>
      </c>
      <c r="O15" s="31" t="n">
        <f aca="false">IF($B15="","",$F15*INDEX(Forudsætninger!$D$29:$D$40,9)*IF(9&lt;IF(N($C15)&lt;1,1,$C15),0,IF(AND($D15="Ja",9&lt;IF(N($C15)&lt;1,1,$C15)+Forudsætninger!$C$16),Forudsætninger!$C$17,1)))</f>
        <v>270000</v>
      </c>
      <c r="P15" s="31" t="n">
        <f aca="false">IF($B15="","",$F15*INDEX(Forudsætninger!$D$29:$D$40,10)*IF(10&lt;IF(N($C15)&lt;1,1,$C15),0,IF(AND($D15="Ja",10&lt;IF(N($C15)&lt;1,1,$C15)+Forudsætninger!$C$16),Forudsætninger!$C$17,1)))</f>
        <v>270000</v>
      </c>
      <c r="Q15" s="31" t="n">
        <f aca="false">IF($B15="","",$F15*INDEX(Forudsætninger!$D$29:$D$40,11)*IF(11&lt;IF(N($C15)&lt;1,1,$C15),0,IF(AND($D15="Ja",11&lt;IF(N($C15)&lt;1,1,$C15)+Forudsætninger!$C$16),Forudsætninger!$C$17,1)))</f>
        <v>300000</v>
      </c>
      <c r="R15" s="31" t="n">
        <f aca="false">IF($B15="","",$F15*INDEX(Forudsætninger!$D$29:$D$40,12)*IF(12&lt;IF(N($C15)&lt;1,1,$C15),0,IF(AND($D15="Ja",12&lt;IF(N($C15)&lt;1,1,$C15)+Forudsætninger!$C$16),Forudsætninger!$C$17,1)))</f>
        <v>330000</v>
      </c>
      <c r="S15" s="42" t="n">
        <f aca="false">IF($B15="","",SUM(G15:R15))</f>
        <v>2280000</v>
      </c>
    </row>
    <row r="16" customFormat="false" ht="15" hidden="false" customHeight="false" outlineLevel="0" collapsed="false">
      <c r="B16" s="10" t="s">
        <v>172</v>
      </c>
      <c r="C16" s="40" t="n">
        <v>4</v>
      </c>
      <c r="D16" s="41" t="s">
        <v>170</v>
      </c>
      <c r="E16" s="22"/>
      <c r="F16" s="31" t="n">
        <f aca="false">IF($B16="","",IF(N($E16)&gt;0,$E16,Forudsætninger!$C$14))</f>
        <v>3000000</v>
      </c>
      <c r="G16" s="31" t="n">
        <f aca="false">IF($B16="","",$F16*INDEX(Forudsætninger!$D$29:$D$40,1)*IF(1&lt;IF(N($C16)&lt;1,1,$C16),0,IF(AND($D16="Ja",1&lt;IF(N($C16)&lt;1,1,$C16)+Forudsætninger!$C$16),Forudsætninger!$C$17,1)))</f>
        <v>0</v>
      </c>
      <c r="H16" s="31" t="n">
        <f aca="false">IF($B16="","",$F16*INDEX(Forudsætninger!$D$29:$D$40,2)*IF(2&lt;IF(N($C16)&lt;1,1,$C16),0,IF(AND($D16="Ja",2&lt;IF(N($C16)&lt;1,1,$C16)+Forudsætninger!$C$16),Forudsætninger!$C$17,1)))</f>
        <v>0</v>
      </c>
      <c r="I16" s="31" t="n">
        <f aca="false">IF($B16="","",$F16*INDEX(Forudsætninger!$D$29:$D$40,3)*IF(3&lt;IF(N($C16)&lt;1,1,$C16),0,IF(AND($D16="Ja",3&lt;IF(N($C16)&lt;1,1,$C16)+Forudsætninger!$C$16),Forudsætninger!$C$17,1)))</f>
        <v>0</v>
      </c>
      <c r="J16" s="31" t="n">
        <f aca="false">IF($B16="","",$F16*INDEX(Forudsætninger!$D$29:$D$40,4)*IF(4&lt;IF(N($C16)&lt;1,1,$C16),0,IF(AND($D16="Ja",4&lt;IF(N($C16)&lt;1,1,$C16)+Forudsætninger!$C$16),Forudsætninger!$C$17,1)))</f>
        <v>120000</v>
      </c>
      <c r="K16" s="31" t="n">
        <f aca="false">IF($B16="","",$F16*INDEX(Forudsætninger!$D$29:$D$40,5)*IF(5&lt;IF(N($C16)&lt;1,1,$C16),0,IF(AND($D16="Ja",5&lt;IF(N($C16)&lt;1,1,$C16)+Forudsætninger!$C$16),Forudsætninger!$C$17,1)))</f>
        <v>135000</v>
      </c>
      <c r="L16" s="31" t="n">
        <f aca="false">IF($B16="","",$F16*INDEX(Forudsætninger!$D$29:$D$40,6)*IF(6&lt;IF(N($C16)&lt;1,1,$C16),0,IF(AND($D16="Ja",6&lt;IF(N($C16)&lt;1,1,$C16)+Forudsætninger!$C$16),Forudsætninger!$C$17,1)))</f>
        <v>135000</v>
      </c>
      <c r="M16" s="31" t="n">
        <f aca="false">IF($B16="","",$F16*INDEX(Forudsætninger!$D$29:$D$40,7)*IF(7&lt;IF(N($C16)&lt;1,1,$C16),0,IF(AND($D16="Ja",7&lt;IF(N($C16)&lt;1,1,$C16)+Forudsætninger!$C$16),Forudsætninger!$C$17,1)))</f>
        <v>60000</v>
      </c>
      <c r="N16" s="31" t="n">
        <f aca="false">IF($B16="","",$F16*INDEX(Forudsætninger!$D$29:$D$40,8)*IF(8&lt;IF(N($C16)&lt;1,1,$C16),0,IF(AND($D16="Ja",8&lt;IF(N($C16)&lt;1,1,$C16)+Forudsætninger!$C$16),Forudsætninger!$C$17,1)))</f>
        <v>210000</v>
      </c>
      <c r="O16" s="31" t="n">
        <f aca="false">IF($B16="","",$F16*INDEX(Forudsætninger!$D$29:$D$40,9)*IF(9&lt;IF(N($C16)&lt;1,1,$C16),0,IF(AND($D16="Ja",9&lt;IF(N($C16)&lt;1,1,$C16)+Forudsætninger!$C$16),Forudsætninger!$C$17,1)))</f>
        <v>270000</v>
      </c>
      <c r="P16" s="31" t="n">
        <f aca="false">IF($B16="","",$F16*INDEX(Forudsætninger!$D$29:$D$40,10)*IF(10&lt;IF(N($C16)&lt;1,1,$C16),0,IF(AND($D16="Ja",10&lt;IF(N($C16)&lt;1,1,$C16)+Forudsætninger!$C$16),Forudsætninger!$C$17,1)))</f>
        <v>270000</v>
      </c>
      <c r="Q16" s="31" t="n">
        <f aca="false">IF($B16="","",$F16*INDEX(Forudsætninger!$D$29:$D$40,11)*IF(11&lt;IF(N($C16)&lt;1,1,$C16),0,IF(AND($D16="Ja",11&lt;IF(N($C16)&lt;1,1,$C16)+Forudsætninger!$C$16),Forudsætninger!$C$17,1)))</f>
        <v>300000</v>
      </c>
      <c r="R16" s="31" t="n">
        <f aca="false">IF($B16="","",$F16*INDEX(Forudsætninger!$D$29:$D$40,12)*IF(12&lt;IF(N($C16)&lt;1,1,$C16),0,IF(AND($D16="Ja",12&lt;IF(N($C16)&lt;1,1,$C16)+Forudsætninger!$C$16),Forudsætninger!$C$17,1)))</f>
        <v>330000</v>
      </c>
      <c r="S16" s="42" t="n">
        <f aca="false">IF($B16="","",SUM(G16:R16))</f>
        <v>1830000</v>
      </c>
    </row>
    <row r="17" customFormat="false" ht="15" hidden="false" customHeight="false" outlineLevel="0" collapsed="false">
      <c r="B17" s="10"/>
      <c r="C17" s="40"/>
      <c r="D17" s="41"/>
      <c r="E17" s="22"/>
      <c r="F17" s="31" t="str">
        <f aca="false">IF($B17="","",IF(N($E17)&gt;0,$E17,Forudsætninger!$C$14))</f>
        <v/>
      </c>
      <c r="G17" s="31" t="str">
        <f aca="false">IF($B17="","",$F17*INDEX(Forudsætninger!$D$29:$D$40,1)*IF(1&lt;IF(N($C17)&lt;1,1,$C17),0,IF(AND($D17="Ja",1&lt;IF(N($C17)&lt;1,1,$C17)+Forudsætninger!$C$16),Forudsætninger!$C$17,1)))</f>
        <v/>
      </c>
      <c r="H17" s="31" t="str">
        <f aca="false">IF($B17="","",$F17*INDEX(Forudsætninger!$D$29:$D$40,2)*IF(2&lt;IF(N($C17)&lt;1,1,$C17),0,IF(AND($D17="Ja",2&lt;IF(N($C17)&lt;1,1,$C17)+Forudsætninger!$C$16),Forudsætninger!$C$17,1)))</f>
        <v/>
      </c>
      <c r="I17" s="31" t="str">
        <f aca="false">IF($B17="","",$F17*INDEX(Forudsætninger!$D$29:$D$40,3)*IF(3&lt;IF(N($C17)&lt;1,1,$C17),0,IF(AND($D17="Ja",3&lt;IF(N($C17)&lt;1,1,$C17)+Forudsætninger!$C$16),Forudsætninger!$C$17,1)))</f>
        <v/>
      </c>
      <c r="J17" s="31" t="str">
        <f aca="false">IF($B17="","",$F17*INDEX(Forudsætninger!$D$29:$D$40,4)*IF(4&lt;IF(N($C17)&lt;1,1,$C17),0,IF(AND($D17="Ja",4&lt;IF(N($C17)&lt;1,1,$C17)+Forudsætninger!$C$16),Forudsætninger!$C$17,1)))</f>
        <v/>
      </c>
      <c r="K17" s="31" t="str">
        <f aca="false">IF($B17="","",$F17*INDEX(Forudsætninger!$D$29:$D$40,5)*IF(5&lt;IF(N($C17)&lt;1,1,$C17),0,IF(AND($D17="Ja",5&lt;IF(N($C17)&lt;1,1,$C17)+Forudsætninger!$C$16),Forudsætninger!$C$17,1)))</f>
        <v/>
      </c>
      <c r="L17" s="31" t="str">
        <f aca="false">IF($B17="","",$F17*INDEX(Forudsætninger!$D$29:$D$40,6)*IF(6&lt;IF(N($C17)&lt;1,1,$C17),0,IF(AND($D17="Ja",6&lt;IF(N($C17)&lt;1,1,$C17)+Forudsætninger!$C$16),Forudsætninger!$C$17,1)))</f>
        <v/>
      </c>
      <c r="M17" s="31" t="str">
        <f aca="false">IF($B17="","",$F17*INDEX(Forudsætninger!$D$29:$D$40,7)*IF(7&lt;IF(N($C17)&lt;1,1,$C17),0,IF(AND($D17="Ja",7&lt;IF(N($C17)&lt;1,1,$C17)+Forudsætninger!$C$16),Forudsætninger!$C$17,1)))</f>
        <v/>
      </c>
      <c r="N17" s="31" t="str">
        <f aca="false">IF($B17="","",$F17*INDEX(Forudsætninger!$D$29:$D$40,8)*IF(8&lt;IF(N($C17)&lt;1,1,$C17),0,IF(AND($D17="Ja",8&lt;IF(N($C17)&lt;1,1,$C17)+Forudsætninger!$C$16),Forudsætninger!$C$17,1)))</f>
        <v/>
      </c>
      <c r="O17" s="31" t="str">
        <f aca="false">IF($B17="","",$F17*INDEX(Forudsætninger!$D$29:$D$40,9)*IF(9&lt;IF(N($C17)&lt;1,1,$C17),0,IF(AND($D17="Ja",9&lt;IF(N($C17)&lt;1,1,$C17)+Forudsætninger!$C$16),Forudsætninger!$C$17,1)))</f>
        <v/>
      </c>
      <c r="P17" s="31" t="str">
        <f aca="false">IF($B17="","",$F17*INDEX(Forudsætninger!$D$29:$D$40,10)*IF(10&lt;IF(N($C17)&lt;1,1,$C17),0,IF(AND($D17="Ja",10&lt;IF(N($C17)&lt;1,1,$C17)+Forudsætninger!$C$16),Forudsætninger!$C$17,1)))</f>
        <v/>
      </c>
      <c r="Q17" s="31" t="str">
        <f aca="false">IF($B17="","",$F17*INDEX(Forudsætninger!$D$29:$D$40,11)*IF(11&lt;IF(N($C17)&lt;1,1,$C17),0,IF(AND($D17="Ja",11&lt;IF(N($C17)&lt;1,1,$C17)+Forudsætninger!$C$16),Forudsætninger!$C$17,1)))</f>
        <v/>
      </c>
      <c r="R17" s="31" t="str">
        <f aca="false">IF($B17="","",$F17*INDEX(Forudsætninger!$D$29:$D$40,12)*IF(12&lt;IF(N($C17)&lt;1,1,$C17),0,IF(AND($D17="Ja",12&lt;IF(N($C17)&lt;1,1,$C17)+Forudsætninger!$C$16),Forudsætninger!$C$17,1)))</f>
        <v/>
      </c>
      <c r="S17" s="42" t="str">
        <f aca="false">IF($B17="","",SUM(G17:R17))</f>
        <v/>
      </c>
    </row>
    <row r="18" customFormat="false" ht="15" hidden="false" customHeight="false" outlineLevel="0" collapsed="false">
      <c r="B18" s="10"/>
      <c r="C18" s="40"/>
      <c r="D18" s="41"/>
      <c r="E18" s="22"/>
      <c r="F18" s="31" t="str">
        <f aca="false">IF($B18="","",IF(N($E18)&gt;0,$E18,Forudsætninger!$C$14))</f>
        <v/>
      </c>
      <c r="G18" s="31" t="str">
        <f aca="false">IF($B18="","",$F18*INDEX(Forudsætninger!$D$29:$D$40,1)*IF(1&lt;IF(N($C18)&lt;1,1,$C18),0,IF(AND($D18="Ja",1&lt;IF(N($C18)&lt;1,1,$C18)+Forudsætninger!$C$16),Forudsætninger!$C$17,1)))</f>
        <v/>
      </c>
      <c r="H18" s="31" t="str">
        <f aca="false">IF($B18="","",$F18*INDEX(Forudsætninger!$D$29:$D$40,2)*IF(2&lt;IF(N($C18)&lt;1,1,$C18),0,IF(AND($D18="Ja",2&lt;IF(N($C18)&lt;1,1,$C18)+Forudsætninger!$C$16),Forudsætninger!$C$17,1)))</f>
        <v/>
      </c>
      <c r="I18" s="31" t="str">
        <f aca="false">IF($B18="","",$F18*INDEX(Forudsætninger!$D$29:$D$40,3)*IF(3&lt;IF(N($C18)&lt;1,1,$C18),0,IF(AND($D18="Ja",3&lt;IF(N($C18)&lt;1,1,$C18)+Forudsætninger!$C$16),Forudsætninger!$C$17,1)))</f>
        <v/>
      </c>
      <c r="J18" s="31" t="str">
        <f aca="false">IF($B18="","",$F18*INDEX(Forudsætninger!$D$29:$D$40,4)*IF(4&lt;IF(N($C18)&lt;1,1,$C18),0,IF(AND($D18="Ja",4&lt;IF(N($C18)&lt;1,1,$C18)+Forudsætninger!$C$16),Forudsætninger!$C$17,1)))</f>
        <v/>
      </c>
      <c r="K18" s="31" t="str">
        <f aca="false">IF($B18="","",$F18*INDEX(Forudsætninger!$D$29:$D$40,5)*IF(5&lt;IF(N($C18)&lt;1,1,$C18),0,IF(AND($D18="Ja",5&lt;IF(N($C18)&lt;1,1,$C18)+Forudsætninger!$C$16),Forudsætninger!$C$17,1)))</f>
        <v/>
      </c>
      <c r="L18" s="31" t="str">
        <f aca="false">IF($B18="","",$F18*INDEX(Forudsætninger!$D$29:$D$40,6)*IF(6&lt;IF(N($C18)&lt;1,1,$C18),0,IF(AND($D18="Ja",6&lt;IF(N($C18)&lt;1,1,$C18)+Forudsætninger!$C$16),Forudsætninger!$C$17,1)))</f>
        <v/>
      </c>
      <c r="M18" s="31" t="str">
        <f aca="false">IF($B18="","",$F18*INDEX(Forudsætninger!$D$29:$D$40,7)*IF(7&lt;IF(N($C18)&lt;1,1,$C18),0,IF(AND($D18="Ja",7&lt;IF(N($C18)&lt;1,1,$C18)+Forudsætninger!$C$16),Forudsætninger!$C$17,1)))</f>
        <v/>
      </c>
      <c r="N18" s="31" t="str">
        <f aca="false">IF($B18="","",$F18*INDEX(Forudsætninger!$D$29:$D$40,8)*IF(8&lt;IF(N($C18)&lt;1,1,$C18),0,IF(AND($D18="Ja",8&lt;IF(N($C18)&lt;1,1,$C18)+Forudsætninger!$C$16),Forudsætninger!$C$17,1)))</f>
        <v/>
      </c>
      <c r="O18" s="31" t="str">
        <f aca="false">IF($B18="","",$F18*INDEX(Forudsætninger!$D$29:$D$40,9)*IF(9&lt;IF(N($C18)&lt;1,1,$C18),0,IF(AND($D18="Ja",9&lt;IF(N($C18)&lt;1,1,$C18)+Forudsætninger!$C$16),Forudsætninger!$C$17,1)))</f>
        <v/>
      </c>
      <c r="P18" s="31" t="str">
        <f aca="false">IF($B18="","",$F18*INDEX(Forudsætninger!$D$29:$D$40,10)*IF(10&lt;IF(N($C18)&lt;1,1,$C18),0,IF(AND($D18="Ja",10&lt;IF(N($C18)&lt;1,1,$C18)+Forudsætninger!$C$16),Forudsætninger!$C$17,1)))</f>
        <v/>
      </c>
      <c r="Q18" s="31" t="str">
        <f aca="false">IF($B18="","",$F18*INDEX(Forudsætninger!$D$29:$D$40,11)*IF(11&lt;IF(N($C18)&lt;1,1,$C18),0,IF(AND($D18="Ja",11&lt;IF(N($C18)&lt;1,1,$C18)+Forudsætninger!$C$16),Forudsætninger!$C$17,1)))</f>
        <v/>
      </c>
      <c r="R18" s="31" t="str">
        <f aca="false">IF($B18="","",$F18*INDEX(Forudsætninger!$D$29:$D$40,12)*IF(12&lt;IF(N($C18)&lt;1,1,$C18),0,IF(AND($D18="Ja",12&lt;IF(N($C18)&lt;1,1,$C18)+Forudsætninger!$C$16),Forudsætninger!$C$17,1)))</f>
        <v/>
      </c>
      <c r="S18" s="42" t="str">
        <f aca="false">IF($B18="","",SUM(G18:R18))</f>
        <v/>
      </c>
    </row>
    <row r="19" customFormat="false" ht="15" hidden="false" customHeight="false" outlineLevel="0" collapsed="false">
      <c r="B19" s="10"/>
      <c r="C19" s="40"/>
      <c r="D19" s="41"/>
      <c r="E19" s="22"/>
      <c r="F19" s="31" t="str">
        <f aca="false">IF($B19="","",IF(N($E19)&gt;0,$E19,Forudsætninger!$C$14))</f>
        <v/>
      </c>
      <c r="G19" s="31" t="str">
        <f aca="false">IF($B19="","",$F19*INDEX(Forudsætninger!$D$29:$D$40,1)*IF(1&lt;IF(N($C19)&lt;1,1,$C19),0,IF(AND($D19="Ja",1&lt;IF(N($C19)&lt;1,1,$C19)+Forudsætninger!$C$16),Forudsætninger!$C$17,1)))</f>
        <v/>
      </c>
      <c r="H19" s="31" t="str">
        <f aca="false">IF($B19="","",$F19*INDEX(Forudsætninger!$D$29:$D$40,2)*IF(2&lt;IF(N($C19)&lt;1,1,$C19),0,IF(AND($D19="Ja",2&lt;IF(N($C19)&lt;1,1,$C19)+Forudsætninger!$C$16),Forudsætninger!$C$17,1)))</f>
        <v/>
      </c>
      <c r="I19" s="31" t="str">
        <f aca="false">IF($B19="","",$F19*INDEX(Forudsætninger!$D$29:$D$40,3)*IF(3&lt;IF(N($C19)&lt;1,1,$C19),0,IF(AND($D19="Ja",3&lt;IF(N($C19)&lt;1,1,$C19)+Forudsætninger!$C$16),Forudsætninger!$C$17,1)))</f>
        <v/>
      </c>
      <c r="J19" s="31" t="str">
        <f aca="false">IF($B19="","",$F19*INDEX(Forudsætninger!$D$29:$D$40,4)*IF(4&lt;IF(N($C19)&lt;1,1,$C19),0,IF(AND($D19="Ja",4&lt;IF(N($C19)&lt;1,1,$C19)+Forudsætninger!$C$16),Forudsætninger!$C$17,1)))</f>
        <v/>
      </c>
      <c r="K19" s="31" t="str">
        <f aca="false">IF($B19="","",$F19*INDEX(Forudsætninger!$D$29:$D$40,5)*IF(5&lt;IF(N($C19)&lt;1,1,$C19),0,IF(AND($D19="Ja",5&lt;IF(N($C19)&lt;1,1,$C19)+Forudsætninger!$C$16),Forudsætninger!$C$17,1)))</f>
        <v/>
      </c>
      <c r="L19" s="31" t="str">
        <f aca="false">IF($B19="","",$F19*INDEX(Forudsætninger!$D$29:$D$40,6)*IF(6&lt;IF(N($C19)&lt;1,1,$C19),0,IF(AND($D19="Ja",6&lt;IF(N($C19)&lt;1,1,$C19)+Forudsætninger!$C$16),Forudsætninger!$C$17,1)))</f>
        <v/>
      </c>
      <c r="M19" s="31" t="str">
        <f aca="false">IF($B19="","",$F19*INDEX(Forudsætninger!$D$29:$D$40,7)*IF(7&lt;IF(N($C19)&lt;1,1,$C19),0,IF(AND($D19="Ja",7&lt;IF(N($C19)&lt;1,1,$C19)+Forudsætninger!$C$16),Forudsætninger!$C$17,1)))</f>
        <v/>
      </c>
      <c r="N19" s="31" t="str">
        <f aca="false">IF($B19="","",$F19*INDEX(Forudsætninger!$D$29:$D$40,8)*IF(8&lt;IF(N($C19)&lt;1,1,$C19),0,IF(AND($D19="Ja",8&lt;IF(N($C19)&lt;1,1,$C19)+Forudsætninger!$C$16),Forudsætninger!$C$17,1)))</f>
        <v/>
      </c>
      <c r="O19" s="31" t="str">
        <f aca="false">IF($B19="","",$F19*INDEX(Forudsætninger!$D$29:$D$40,9)*IF(9&lt;IF(N($C19)&lt;1,1,$C19),0,IF(AND($D19="Ja",9&lt;IF(N($C19)&lt;1,1,$C19)+Forudsætninger!$C$16),Forudsætninger!$C$17,1)))</f>
        <v/>
      </c>
      <c r="P19" s="31" t="str">
        <f aca="false">IF($B19="","",$F19*INDEX(Forudsætninger!$D$29:$D$40,10)*IF(10&lt;IF(N($C19)&lt;1,1,$C19),0,IF(AND($D19="Ja",10&lt;IF(N($C19)&lt;1,1,$C19)+Forudsætninger!$C$16),Forudsætninger!$C$17,1)))</f>
        <v/>
      </c>
      <c r="Q19" s="31" t="str">
        <f aca="false">IF($B19="","",$F19*INDEX(Forudsætninger!$D$29:$D$40,11)*IF(11&lt;IF(N($C19)&lt;1,1,$C19),0,IF(AND($D19="Ja",11&lt;IF(N($C19)&lt;1,1,$C19)+Forudsætninger!$C$16),Forudsætninger!$C$17,1)))</f>
        <v/>
      </c>
      <c r="R19" s="31" t="str">
        <f aca="false">IF($B19="","",$F19*INDEX(Forudsætninger!$D$29:$D$40,12)*IF(12&lt;IF(N($C19)&lt;1,1,$C19),0,IF(AND($D19="Ja",12&lt;IF(N($C19)&lt;1,1,$C19)+Forudsætninger!$C$16),Forudsætninger!$C$17,1)))</f>
        <v/>
      </c>
      <c r="S19" s="42" t="str">
        <f aca="false">IF($B19="","",SUM(G19:R19))</f>
        <v/>
      </c>
    </row>
    <row r="20" customFormat="false" ht="15" hidden="false" customHeight="false" outlineLevel="0" collapsed="false">
      <c r="B20" s="10"/>
      <c r="C20" s="40"/>
      <c r="D20" s="41"/>
      <c r="E20" s="22"/>
      <c r="F20" s="31" t="str">
        <f aca="false">IF($B20="","",IF(N($E20)&gt;0,$E20,Forudsætninger!$C$14))</f>
        <v/>
      </c>
      <c r="G20" s="31" t="str">
        <f aca="false">IF($B20="","",$F20*INDEX(Forudsætninger!$D$29:$D$40,1)*IF(1&lt;IF(N($C20)&lt;1,1,$C20),0,IF(AND($D20="Ja",1&lt;IF(N($C20)&lt;1,1,$C20)+Forudsætninger!$C$16),Forudsætninger!$C$17,1)))</f>
        <v/>
      </c>
      <c r="H20" s="31" t="str">
        <f aca="false">IF($B20="","",$F20*INDEX(Forudsætninger!$D$29:$D$40,2)*IF(2&lt;IF(N($C20)&lt;1,1,$C20),0,IF(AND($D20="Ja",2&lt;IF(N($C20)&lt;1,1,$C20)+Forudsætninger!$C$16),Forudsætninger!$C$17,1)))</f>
        <v/>
      </c>
      <c r="I20" s="31" t="str">
        <f aca="false">IF($B20="","",$F20*INDEX(Forudsætninger!$D$29:$D$40,3)*IF(3&lt;IF(N($C20)&lt;1,1,$C20),0,IF(AND($D20="Ja",3&lt;IF(N($C20)&lt;1,1,$C20)+Forudsætninger!$C$16),Forudsætninger!$C$17,1)))</f>
        <v/>
      </c>
      <c r="J20" s="31" t="str">
        <f aca="false">IF($B20="","",$F20*INDEX(Forudsætninger!$D$29:$D$40,4)*IF(4&lt;IF(N($C20)&lt;1,1,$C20),0,IF(AND($D20="Ja",4&lt;IF(N($C20)&lt;1,1,$C20)+Forudsætninger!$C$16),Forudsætninger!$C$17,1)))</f>
        <v/>
      </c>
      <c r="K20" s="31" t="str">
        <f aca="false">IF($B20="","",$F20*INDEX(Forudsætninger!$D$29:$D$40,5)*IF(5&lt;IF(N($C20)&lt;1,1,$C20),0,IF(AND($D20="Ja",5&lt;IF(N($C20)&lt;1,1,$C20)+Forudsætninger!$C$16),Forudsætninger!$C$17,1)))</f>
        <v/>
      </c>
      <c r="L20" s="31" t="str">
        <f aca="false">IF($B20="","",$F20*INDEX(Forudsætninger!$D$29:$D$40,6)*IF(6&lt;IF(N($C20)&lt;1,1,$C20),0,IF(AND($D20="Ja",6&lt;IF(N($C20)&lt;1,1,$C20)+Forudsætninger!$C$16),Forudsætninger!$C$17,1)))</f>
        <v/>
      </c>
      <c r="M20" s="31" t="str">
        <f aca="false">IF($B20="","",$F20*INDEX(Forudsætninger!$D$29:$D$40,7)*IF(7&lt;IF(N($C20)&lt;1,1,$C20),0,IF(AND($D20="Ja",7&lt;IF(N($C20)&lt;1,1,$C20)+Forudsætninger!$C$16),Forudsætninger!$C$17,1)))</f>
        <v/>
      </c>
      <c r="N20" s="31" t="str">
        <f aca="false">IF($B20="","",$F20*INDEX(Forudsætninger!$D$29:$D$40,8)*IF(8&lt;IF(N($C20)&lt;1,1,$C20),0,IF(AND($D20="Ja",8&lt;IF(N($C20)&lt;1,1,$C20)+Forudsætninger!$C$16),Forudsætninger!$C$17,1)))</f>
        <v/>
      </c>
      <c r="O20" s="31" t="str">
        <f aca="false">IF($B20="","",$F20*INDEX(Forudsætninger!$D$29:$D$40,9)*IF(9&lt;IF(N($C20)&lt;1,1,$C20),0,IF(AND($D20="Ja",9&lt;IF(N($C20)&lt;1,1,$C20)+Forudsætninger!$C$16),Forudsætninger!$C$17,1)))</f>
        <v/>
      </c>
      <c r="P20" s="31" t="str">
        <f aca="false">IF($B20="","",$F20*INDEX(Forudsætninger!$D$29:$D$40,10)*IF(10&lt;IF(N($C20)&lt;1,1,$C20),0,IF(AND($D20="Ja",10&lt;IF(N($C20)&lt;1,1,$C20)+Forudsætninger!$C$16),Forudsætninger!$C$17,1)))</f>
        <v/>
      </c>
      <c r="Q20" s="31" t="str">
        <f aca="false">IF($B20="","",$F20*INDEX(Forudsætninger!$D$29:$D$40,11)*IF(11&lt;IF(N($C20)&lt;1,1,$C20),0,IF(AND($D20="Ja",11&lt;IF(N($C20)&lt;1,1,$C20)+Forudsætninger!$C$16),Forudsætninger!$C$17,1)))</f>
        <v/>
      </c>
      <c r="R20" s="31" t="str">
        <f aca="false">IF($B20="","",$F20*INDEX(Forudsætninger!$D$29:$D$40,12)*IF(12&lt;IF(N($C20)&lt;1,1,$C20),0,IF(AND($D20="Ja",12&lt;IF(N($C20)&lt;1,1,$C20)+Forudsætninger!$C$16),Forudsætninger!$C$17,1)))</f>
        <v/>
      </c>
      <c r="S20" s="42" t="str">
        <f aca="false">IF($B20="","",SUM(G20:R20))</f>
        <v/>
      </c>
    </row>
    <row r="21" customFormat="false" ht="15" hidden="false" customHeight="false" outlineLevel="0" collapsed="false">
      <c r="B21" s="10"/>
      <c r="C21" s="40"/>
      <c r="D21" s="41"/>
      <c r="E21" s="22"/>
      <c r="F21" s="31" t="str">
        <f aca="false">IF($B21="","",IF(N($E21)&gt;0,$E21,Forudsætninger!$C$14))</f>
        <v/>
      </c>
      <c r="G21" s="31" t="str">
        <f aca="false">IF($B21="","",$F21*INDEX(Forudsætninger!$D$29:$D$40,1)*IF(1&lt;IF(N($C21)&lt;1,1,$C21),0,IF(AND($D21="Ja",1&lt;IF(N($C21)&lt;1,1,$C21)+Forudsætninger!$C$16),Forudsætninger!$C$17,1)))</f>
        <v/>
      </c>
      <c r="H21" s="31" t="str">
        <f aca="false">IF($B21="","",$F21*INDEX(Forudsætninger!$D$29:$D$40,2)*IF(2&lt;IF(N($C21)&lt;1,1,$C21),0,IF(AND($D21="Ja",2&lt;IF(N($C21)&lt;1,1,$C21)+Forudsætninger!$C$16),Forudsætninger!$C$17,1)))</f>
        <v/>
      </c>
      <c r="I21" s="31" t="str">
        <f aca="false">IF($B21="","",$F21*INDEX(Forudsætninger!$D$29:$D$40,3)*IF(3&lt;IF(N($C21)&lt;1,1,$C21),0,IF(AND($D21="Ja",3&lt;IF(N($C21)&lt;1,1,$C21)+Forudsætninger!$C$16),Forudsætninger!$C$17,1)))</f>
        <v/>
      </c>
      <c r="J21" s="31" t="str">
        <f aca="false">IF($B21="","",$F21*INDEX(Forudsætninger!$D$29:$D$40,4)*IF(4&lt;IF(N($C21)&lt;1,1,$C21),0,IF(AND($D21="Ja",4&lt;IF(N($C21)&lt;1,1,$C21)+Forudsætninger!$C$16),Forudsætninger!$C$17,1)))</f>
        <v/>
      </c>
      <c r="K21" s="31" t="str">
        <f aca="false">IF($B21="","",$F21*INDEX(Forudsætninger!$D$29:$D$40,5)*IF(5&lt;IF(N($C21)&lt;1,1,$C21),0,IF(AND($D21="Ja",5&lt;IF(N($C21)&lt;1,1,$C21)+Forudsætninger!$C$16),Forudsætninger!$C$17,1)))</f>
        <v/>
      </c>
      <c r="L21" s="31" t="str">
        <f aca="false">IF($B21="","",$F21*INDEX(Forudsætninger!$D$29:$D$40,6)*IF(6&lt;IF(N($C21)&lt;1,1,$C21),0,IF(AND($D21="Ja",6&lt;IF(N($C21)&lt;1,1,$C21)+Forudsætninger!$C$16),Forudsætninger!$C$17,1)))</f>
        <v/>
      </c>
      <c r="M21" s="31" t="str">
        <f aca="false">IF($B21="","",$F21*INDEX(Forudsætninger!$D$29:$D$40,7)*IF(7&lt;IF(N($C21)&lt;1,1,$C21),0,IF(AND($D21="Ja",7&lt;IF(N($C21)&lt;1,1,$C21)+Forudsætninger!$C$16),Forudsætninger!$C$17,1)))</f>
        <v/>
      </c>
      <c r="N21" s="31" t="str">
        <f aca="false">IF($B21="","",$F21*INDEX(Forudsætninger!$D$29:$D$40,8)*IF(8&lt;IF(N($C21)&lt;1,1,$C21),0,IF(AND($D21="Ja",8&lt;IF(N($C21)&lt;1,1,$C21)+Forudsætninger!$C$16),Forudsætninger!$C$17,1)))</f>
        <v/>
      </c>
      <c r="O21" s="31" t="str">
        <f aca="false">IF($B21="","",$F21*INDEX(Forudsætninger!$D$29:$D$40,9)*IF(9&lt;IF(N($C21)&lt;1,1,$C21),0,IF(AND($D21="Ja",9&lt;IF(N($C21)&lt;1,1,$C21)+Forudsætninger!$C$16),Forudsætninger!$C$17,1)))</f>
        <v/>
      </c>
      <c r="P21" s="31" t="str">
        <f aca="false">IF($B21="","",$F21*INDEX(Forudsætninger!$D$29:$D$40,10)*IF(10&lt;IF(N($C21)&lt;1,1,$C21),0,IF(AND($D21="Ja",10&lt;IF(N($C21)&lt;1,1,$C21)+Forudsætninger!$C$16),Forudsætninger!$C$17,1)))</f>
        <v/>
      </c>
      <c r="Q21" s="31" t="str">
        <f aca="false">IF($B21="","",$F21*INDEX(Forudsætninger!$D$29:$D$40,11)*IF(11&lt;IF(N($C21)&lt;1,1,$C21),0,IF(AND($D21="Ja",11&lt;IF(N($C21)&lt;1,1,$C21)+Forudsætninger!$C$16),Forudsætninger!$C$17,1)))</f>
        <v/>
      </c>
      <c r="R21" s="31" t="str">
        <f aca="false">IF($B21="","",$F21*INDEX(Forudsætninger!$D$29:$D$40,12)*IF(12&lt;IF(N($C21)&lt;1,1,$C21),0,IF(AND($D21="Ja",12&lt;IF(N($C21)&lt;1,1,$C21)+Forudsætninger!$C$16),Forudsætninger!$C$17,1)))</f>
        <v/>
      </c>
      <c r="S21" s="42" t="str">
        <f aca="false">IF($B21="","",SUM(G21:R21))</f>
        <v/>
      </c>
    </row>
    <row r="22" customFormat="false" ht="15" hidden="false" customHeight="false" outlineLevel="0" collapsed="false">
      <c r="B22" s="10"/>
      <c r="C22" s="40"/>
      <c r="D22" s="41"/>
      <c r="E22" s="22"/>
      <c r="F22" s="31" t="str">
        <f aca="false">IF($B22="","",IF(N($E22)&gt;0,$E22,Forudsætninger!$C$14))</f>
        <v/>
      </c>
      <c r="G22" s="31" t="str">
        <f aca="false">IF($B22="","",$F22*INDEX(Forudsætninger!$D$29:$D$40,1)*IF(1&lt;IF(N($C22)&lt;1,1,$C22),0,IF(AND($D22="Ja",1&lt;IF(N($C22)&lt;1,1,$C22)+Forudsætninger!$C$16),Forudsætninger!$C$17,1)))</f>
        <v/>
      </c>
      <c r="H22" s="31" t="str">
        <f aca="false">IF($B22="","",$F22*INDEX(Forudsætninger!$D$29:$D$40,2)*IF(2&lt;IF(N($C22)&lt;1,1,$C22),0,IF(AND($D22="Ja",2&lt;IF(N($C22)&lt;1,1,$C22)+Forudsætninger!$C$16),Forudsætninger!$C$17,1)))</f>
        <v/>
      </c>
      <c r="I22" s="31" t="str">
        <f aca="false">IF($B22="","",$F22*INDEX(Forudsætninger!$D$29:$D$40,3)*IF(3&lt;IF(N($C22)&lt;1,1,$C22),0,IF(AND($D22="Ja",3&lt;IF(N($C22)&lt;1,1,$C22)+Forudsætninger!$C$16),Forudsætninger!$C$17,1)))</f>
        <v/>
      </c>
      <c r="J22" s="31" t="str">
        <f aca="false">IF($B22="","",$F22*INDEX(Forudsætninger!$D$29:$D$40,4)*IF(4&lt;IF(N($C22)&lt;1,1,$C22),0,IF(AND($D22="Ja",4&lt;IF(N($C22)&lt;1,1,$C22)+Forudsætninger!$C$16),Forudsætninger!$C$17,1)))</f>
        <v/>
      </c>
      <c r="K22" s="31" t="str">
        <f aca="false">IF($B22="","",$F22*INDEX(Forudsætninger!$D$29:$D$40,5)*IF(5&lt;IF(N($C22)&lt;1,1,$C22),0,IF(AND($D22="Ja",5&lt;IF(N($C22)&lt;1,1,$C22)+Forudsætninger!$C$16),Forudsætninger!$C$17,1)))</f>
        <v/>
      </c>
      <c r="L22" s="31" t="str">
        <f aca="false">IF($B22="","",$F22*INDEX(Forudsætninger!$D$29:$D$40,6)*IF(6&lt;IF(N($C22)&lt;1,1,$C22),0,IF(AND($D22="Ja",6&lt;IF(N($C22)&lt;1,1,$C22)+Forudsætninger!$C$16),Forudsætninger!$C$17,1)))</f>
        <v/>
      </c>
      <c r="M22" s="31" t="str">
        <f aca="false">IF($B22="","",$F22*INDEX(Forudsætninger!$D$29:$D$40,7)*IF(7&lt;IF(N($C22)&lt;1,1,$C22),0,IF(AND($D22="Ja",7&lt;IF(N($C22)&lt;1,1,$C22)+Forudsætninger!$C$16),Forudsætninger!$C$17,1)))</f>
        <v/>
      </c>
      <c r="N22" s="31" t="str">
        <f aca="false">IF($B22="","",$F22*INDEX(Forudsætninger!$D$29:$D$40,8)*IF(8&lt;IF(N($C22)&lt;1,1,$C22),0,IF(AND($D22="Ja",8&lt;IF(N($C22)&lt;1,1,$C22)+Forudsætninger!$C$16),Forudsætninger!$C$17,1)))</f>
        <v/>
      </c>
      <c r="O22" s="31" t="str">
        <f aca="false">IF($B22="","",$F22*INDEX(Forudsætninger!$D$29:$D$40,9)*IF(9&lt;IF(N($C22)&lt;1,1,$C22),0,IF(AND($D22="Ja",9&lt;IF(N($C22)&lt;1,1,$C22)+Forudsætninger!$C$16),Forudsætninger!$C$17,1)))</f>
        <v/>
      </c>
      <c r="P22" s="31" t="str">
        <f aca="false">IF($B22="","",$F22*INDEX(Forudsætninger!$D$29:$D$40,10)*IF(10&lt;IF(N($C22)&lt;1,1,$C22),0,IF(AND($D22="Ja",10&lt;IF(N($C22)&lt;1,1,$C22)+Forudsætninger!$C$16),Forudsætninger!$C$17,1)))</f>
        <v/>
      </c>
      <c r="Q22" s="31" t="str">
        <f aca="false">IF($B22="","",$F22*INDEX(Forudsætninger!$D$29:$D$40,11)*IF(11&lt;IF(N($C22)&lt;1,1,$C22),0,IF(AND($D22="Ja",11&lt;IF(N($C22)&lt;1,1,$C22)+Forudsætninger!$C$16),Forudsætninger!$C$17,1)))</f>
        <v/>
      </c>
      <c r="R22" s="31" t="str">
        <f aca="false">IF($B22="","",$F22*INDEX(Forudsætninger!$D$29:$D$40,12)*IF(12&lt;IF(N($C22)&lt;1,1,$C22),0,IF(AND($D22="Ja",12&lt;IF(N($C22)&lt;1,1,$C22)+Forudsætninger!$C$16),Forudsætninger!$C$17,1)))</f>
        <v/>
      </c>
      <c r="S22" s="42" t="str">
        <f aca="false">IF($B22="","",SUM(G22:R22))</f>
        <v/>
      </c>
    </row>
    <row r="23" customFormat="false" ht="15" hidden="false" customHeight="false" outlineLevel="0" collapsed="false">
      <c r="B23" s="10"/>
      <c r="C23" s="40"/>
      <c r="D23" s="41"/>
      <c r="E23" s="22"/>
      <c r="F23" s="31" t="str">
        <f aca="false">IF($B23="","",IF(N($E23)&gt;0,$E23,Forudsætninger!$C$14))</f>
        <v/>
      </c>
      <c r="G23" s="31" t="str">
        <f aca="false">IF($B23="","",$F23*INDEX(Forudsætninger!$D$29:$D$40,1)*IF(1&lt;IF(N($C23)&lt;1,1,$C23),0,IF(AND($D23="Ja",1&lt;IF(N($C23)&lt;1,1,$C23)+Forudsætninger!$C$16),Forudsætninger!$C$17,1)))</f>
        <v/>
      </c>
      <c r="H23" s="31" t="str">
        <f aca="false">IF($B23="","",$F23*INDEX(Forudsætninger!$D$29:$D$40,2)*IF(2&lt;IF(N($C23)&lt;1,1,$C23),0,IF(AND($D23="Ja",2&lt;IF(N($C23)&lt;1,1,$C23)+Forudsætninger!$C$16),Forudsætninger!$C$17,1)))</f>
        <v/>
      </c>
      <c r="I23" s="31" t="str">
        <f aca="false">IF($B23="","",$F23*INDEX(Forudsætninger!$D$29:$D$40,3)*IF(3&lt;IF(N($C23)&lt;1,1,$C23),0,IF(AND($D23="Ja",3&lt;IF(N($C23)&lt;1,1,$C23)+Forudsætninger!$C$16),Forudsætninger!$C$17,1)))</f>
        <v/>
      </c>
      <c r="J23" s="31" t="str">
        <f aca="false">IF($B23="","",$F23*INDEX(Forudsætninger!$D$29:$D$40,4)*IF(4&lt;IF(N($C23)&lt;1,1,$C23),0,IF(AND($D23="Ja",4&lt;IF(N($C23)&lt;1,1,$C23)+Forudsætninger!$C$16),Forudsætninger!$C$17,1)))</f>
        <v/>
      </c>
      <c r="K23" s="31" t="str">
        <f aca="false">IF($B23="","",$F23*INDEX(Forudsætninger!$D$29:$D$40,5)*IF(5&lt;IF(N($C23)&lt;1,1,$C23),0,IF(AND($D23="Ja",5&lt;IF(N($C23)&lt;1,1,$C23)+Forudsætninger!$C$16),Forudsætninger!$C$17,1)))</f>
        <v/>
      </c>
      <c r="L23" s="31" t="str">
        <f aca="false">IF($B23="","",$F23*INDEX(Forudsætninger!$D$29:$D$40,6)*IF(6&lt;IF(N($C23)&lt;1,1,$C23),0,IF(AND($D23="Ja",6&lt;IF(N($C23)&lt;1,1,$C23)+Forudsætninger!$C$16),Forudsætninger!$C$17,1)))</f>
        <v/>
      </c>
      <c r="M23" s="31" t="str">
        <f aca="false">IF($B23="","",$F23*INDEX(Forudsætninger!$D$29:$D$40,7)*IF(7&lt;IF(N($C23)&lt;1,1,$C23),0,IF(AND($D23="Ja",7&lt;IF(N($C23)&lt;1,1,$C23)+Forudsætninger!$C$16),Forudsætninger!$C$17,1)))</f>
        <v/>
      </c>
      <c r="N23" s="31" t="str">
        <f aca="false">IF($B23="","",$F23*INDEX(Forudsætninger!$D$29:$D$40,8)*IF(8&lt;IF(N($C23)&lt;1,1,$C23),0,IF(AND($D23="Ja",8&lt;IF(N($C23)&lt;1,1,$C23)+Forudsætninger!$C$16),Forudsætninger!$C$17,1)))</f>
        <v/>
      </c>
      <c r="O23" s="31" t="str">
        <f aca="false">IF($B23="","",$F23*INDEX(Forudsætninger!$D$29:$D$40,9)*IF(9&lt;IF(N($C23)&lt;1,1,$C23),0,IF(AND($D23="Ja",9&lt;IF(N($C23)&lt;1,1,$C23)+Forudsætninger!$C$16),Forudsætninger!$C$17,1)))</f>
        <v/>
      </c>
      <c r="P23" s="31" t="str">
        <f aca="false">IF($B23="","",$F23*INDEX(Forudsætninger!$D$29:$D$40,10)*IF(10&lt;IF(N($C23)&lt;1,1,$C23),0,IF(AND($D23="Ja",10&lt;IF(N($C23)&lt;1,1,$C23)+Forudsætninger!$C$16),Forudsætninger!$C$17,1)))</f>
        <v/>
      </c>
      <c r="Q23" s="31" t="str">
        <f aca="false">IF($B23="","",$F23*INDEX(Forudsætninger!$D$29:$D$40,11)*IF(11&lt;IF(N($C23)&lt;1,1,$C23),0,IF(AND($D23="Ja",11&lt;IF(N($C23)&lt;1,1,$C23)+Forudsætninger!$C$16),Forudsætninger!$C$17,1)))</f>
        <v/>
      </c>
      <c r="R23" s="31" t="str">
        <f aca="false">IF($B23="","",$F23*INDEX(Forudsætninger!$D$29:$D$40,12)*IF(12&lt;IF(N($C23)&lt;1,1,$C23),0,IF(AND($D23="Ja",12&lt;IF(N($C23)&lt;1,1,$C23)+Forudsætninger!$C$16),Forudsætninger!$C$17,1)))</f>
        <v/>
      </c>
      <c r="S23" s="42" t="str">
        <f aca="false">IF($B23="","",SUM(G23:R23))</f>
        <v/>
      </c>
    </row>
    <row r="24" customFormat="false" ht="15" hidden="false" customHeight="false" outlineLevel="0" collapsed="false">
      <c r="B24" s="10"/>
      <c r="C24" s="40"/>
      <c r="D24" s="41"/>
      <c r="E24" s="22"/>
      <c r="F24" s="31" t="str">
        <f aca="false">IF($B24="","",IF(N($E24)&gt;0,$E24,Forudsætninger!$C$14))</f>
        <v/>
      </c>
      <c r="G24" s="31" t="str">
        <f aca="false">IF($B24="","",$F24*INDEX(Forudsætninger!$D$29:$D$40,1)*IF(1&lt;IF(N($C24)&lt;1,1,$C24),0,IF(AND($D24="Ja",1&lt;IF(N($C24)&lt;1,1,$C24)+Forudsætninger!$C$16),Forudsætninger!$C$17,1)))</f>
        <v/>
      </c>
      <c r="H24" s="31" t="str">
        <f aca="false">IF($B24="","",$F24*INDEX(Forudsætninger!$D$29:$D$40,2)*IF(2&lt;IF(N($C24)&lt;1,1,$C24),0,IF(AND($D24="Ja",2&lt;IF(N($C24)&lt;1,1,$C24)+Forudsætninger!$C$16),Forudsætninger!$C$17,1)))</f>
        <v/>
      </c>
      <c r="I24" s="31" t="str">
        <f aca="false">IF($B24="","",$F24*INDEX(Forudsætninger!$D$29:$D$40,3)*IF(3&lt;IF(N($C24)&lt;1,1,$C24),0,IF(AND($D24="Ja",3&lt;IF(N($C24)&lt;1,1,$C24)+Forudsætninger!$C$16),Forudsætninger!$C$17,1)))</f>
        <v/>
      </c>
      <c r="J24" s="31" t="str">
        <f aca="false">IF($B24="","",$F24*INDEX(Forudsætninger!$D$29:$D$40,4)*IF(4&lt;IF(N($C24)&lt;1,1,$C24),0,IF(AND($D24="Ja",4&lt;IF(N($C24)&lt;1,1,$C24)+Forudsætninger!$C$16),Forudsætninger!$C$17,1)))</f>
        <v/>
      </c>
      <c r="K24" s="31" t="str">
        <f aca="false">IF($B24="","",$F24*INDEX(Forudsætninger!$D$29:$D$40,5)*IF(5&lt;IF(N($C24)&lt;1,1,$C24),0,IF(AND($D24="Ja",5&lt;IF(N($C24)&lt;1,1,$C24)+Forudsætninger!$C$16),Forudsætninger!$C$17,1)))</f>
        <v/>
      </c>
      <c r="L24" s="31" t="str">
        <f aca="false">IF($B24="","",$F24*INDEX(Forudsætninger!$D$29:$D$40,6)*IF(6&lt;IF(N($C24)&lt;1,1,$C24),0,IF(AND($D24="Ja",6&lt;IF(N($C24)&lt;1,1,$C24)+Forudsætninger!$C$16),Forudsætninger!$C$17,1)))</f>
        <v/>
      </c>
      <c r="M24" s="31" t="str">
        <f aca="false">IF($B24="","",$F24*INDEX(Forudsætninger!$D$29:$D$40,7)*IF(7&lt;IF(N($C24)&lt;1,1,$C24),0,IF(AND($D24="Ja",7&lt;IF(N($C24)&lt;1,1,$C24)+Forudsætninger!$C$16),Forudsætninger!$C$17,1)))</f>
        <v/>
      </c>
      <c r="N24" s="31" t="str">
        <f aca="false">IF($B24="","",$F24*INDEX(Forudsætninger!$D$29:$D$40,8)*IF(8&lt;IF(N($C24)&lt;1,1,$C24),0,IF(AND($D24="Ja",8&lt;IF(N($C24)&lt;1,1,$C24)+Forudsætninger!$C$16),Forudsætninger!$C$17,1)))</f>
        <v/>
      </c>
      <c r="O24" s="31" t="str">
        <f aca="false">IF($B24="","",$F24*INDEX(Forudsætninger!$D$29:$D$40,9)*IF(9&lt;IF(N($C24)&lt;1,1,$C24),0,IF(AND($D24="Ja",9&lt;IF(N($C24)&lt;1,1,$C24)+Forudsætninger!$C$16),Forudsætninger!$C$17,1)))</f>
        <v/>
      </c>
      <c r="P24" s="31" t="str">
        <f aca="false">IF($B24="","",$F24*INDEX(Forudsætninger!$D$29:$D$40,10)*IF(10&lt;IF(N($C24)&lt;1,1,$C24),0,IF(AND($D24="Ja",10&lt;IF(N($C24)&lt;1,1,$C24)+Forudsætninger!$C$16),Forudsætninger!$C$17,1)))</f>
        <v/>
      </c>
      <c r="Q24" s="31" t="str">
        <f aca="false">IF($B24="","",$F24*INDEX(Forudsætninger!$D$29:$D$40,11)*IF(11&lt;IF(N($C24)&lt;1,1,$C24),0,IF(AND($D24="Ja",11&lt;IF(N($C24)&lt;1,1,$C24)+Forudsætninger!$C$16),Forudsætninger!$C$17,1)))</f>
        <v/>
      </c>
      <c r="R24" s="31" t="str">
        <f aca="false">IF($B24="","",$F24*INDEX(Forudsætninger!$D$29:$D$40,12)*IF(12&lt;IF(N($C24)&lt;1,1,$C24),0,IF(AND($D24="Ja",12&lt;IF(N($C24)&lt;1,1,$C24)+Forudsætninger!$C$16),Forudsætninger!$C$17,1)))</f>
        <v/>
      </c>
      <c r="S24" s="42" t="str">
        <f aca="false">IF($B24="","",SUM(G24:R24))</f>
        <v/>
      </c>
    </row>
    <row r="25" customFormat="false" ht="15" hidden="false" customHeight="false" outlineLevel="0" collapsed="false">
      <c r="B25" s="10"/>
      <c r="C25" s="40"/>
      <c r="D25" s="41"/>
      <c r="E25" s="22"/>
      <c r="F25" s="31" t="str">
        <f aca="false">IF($B25="","",IF(N($E25)&gt;0,$E25,Forudsætninger!$C$14))</f>
        <v/>
      </c>
      <c r="G25" s="31" t="str">
        <f aca="false">IF($B25="","",$F25*INDEX(Forudsætninger!$D$29:$D$40,1)*IF(1&lt;IF(N($C25)&lt;1,1,$C25),0,IF(AND($D25="Ja",1&lt;IF(N($C25)&lt;1,1,$C25)+Forudsætninger!$C$16),Forudsætninger!$C$17,1)))</f>
        <v/>
      </c>
      <c r="H25" s="31" t="str">
        <f aca="false">IF($B25="","",$F25*INDEX(Forudsætninger!$D$29:$D$40,2)*IF(2&lt;IF(N($C25)&lt;1,1,$C25),0,IF(AND($D25="Ja",2&lt;IF(N($C25)&lt;1,1,$C25)+Forudsætninger!$C$16),Forudsætninger!$C$17,1)))</f>
        <v/>
      </c>
      <c r="I25" s="31" t="str">
        <f aca="false">IF($B25="","",$F25*INDEX(Forudsætninger!$D$29:$D$40,3)*IF(3&lt;IF(N($C25)&lt;1,1,$C25),0,IF(AND($D25="Ja",3&lt;IF(N($C25)&lt;1,1,$C25)+Forudsætninger!$C$16),Forudsætninger!$C$17,1)))</f>
        <v/>
      </c>
      <c r="J25" s="31" t="str">
        <f aca="false">IF($B25="","",$F25*INDEX(Forudsætninger!$D$29:$D$40,4)*IF(4&lt;IF(N($C25)&lt;1,1,$C25),0,IF(AND($D25="Ja",4&lt;IF(N($C25)&lt;1,1,$C25)+Forudsætninger!$C$16),Forudsætninger!$C$17,1)))</f>
        <v/>
      </c>
      <c r="K25" s="31" t="str">
        <f aca="false">IF($B25="","",$F25*INDEX(Forudsætninger!$D$29:$D$40,5)*IF(5&lt;IF(N($C25)&lt;1,1,$C25),0,IF(AND($D25="Ja",5&lt;IF(N($C25)&lt;1,1,$C25)+Forudsætninger!$C$16),Forudsætninger!$C$17,1)))</f>
        <v/>
      </c>
      <c r="L25" s="31" t="str">
        <f aca="false">IF($B25="","",$F25*INDEX(Forudsætninger!$D$29:$D$40,6)*IF(6&lt;IF(N($C25)&lt;1,1,$C25),0,IF(AND($D25="Ja",6&lt;IF(N($C25)&lt;1,1,$C25)+Forudsætninger!$C$16),Forudsætninger!$C$17,1)))</f>
        <v/>
      </c>
      <c r="M25" s="31" t="str">
        <f aca="false">IF($B25="","",$F25*INDEX(Forudsætninger!$D$29:$D$40,7)*IF(7&lt;IF(N($C25)&lt;1,1,$C25),0,IF(AND($D25="Ja",7&lt;IF(N($C25)&lt;1,1,$C25)+Forudsætninger!$C$16),Forudsætninger!$C$17,1)))</f>
        <v/>
      </c>
      <c r="N25" s="31" t="str">
        <f aca="false">IF($B25="","",$F25*INDEX(Forudsætninger!$D$29:$D$40,8)*IF(8&lt;IF(N($C25)&lt;1,1,$C25),0,IF(AND($D25="Ja",8&lt;IF(N($C25)&lt;1,1,$C25)+Forudsætninger!$C$16),Forudsætninger!$C$17,1)))</f>
        <v/>
      </c>
      <c r="O25" s="31" t="str">
        <f aca="false">IF($B25="","",$F25*INDEX(Forudsætninger!$D$29:$D$40,9)*IF(9&lt;IF(N($C25)&lt;1,1,$C25),0,IF(AND($D25="Ja",9&lt;IF(N($C25)&lt;1,1,$C25)+Forudsætninger!$C$16),Forudsætninger!$C$17,1)))</f>
        <v/>
      </c>
      <c r="P25" s="31" t="str">
        <f aca="false">IF($B25="","",$F25*INDEX(Forudsætninger!$D$29:$D$40,10)*IF(10&lt;IF(N($C25)&lt;1,1,$C25),0,IF(AND($D25="Ja",10&lt;IF(N($C25)&lt;1,1,$C25)+Forudsætninger!$C$16),Forudsætninger!$C$17,1)))</f>
        <v/>
      </c>
      <c r="Q25" s="31" t="str">
        <f aca="false">IF($B25="","",$F25*INDEX(Forudsætninger!$D$29:$D$40,11)*IF(11&lt;IF(N($C25)&lt;1,1,$C25),0,IF(AND($D25="Ja",11&lt;IF(N($C25)&lt;1,1,$C25)+Forudsætninger!$C$16),Forudsætninger!$C$17,1)))</f>
        <v/>
      </c>
      <c r="R25" s="31" t="str">
        <f aca="false">IF($B25="","",$F25*INDEX(Forudsætninger!$D$29:$D$40,12)*IF(12&lt;IF(N($C25)&lt;1,1,$C25),0,IF(AND($D25="Ja",12&lt;IF(N($C25)&lt;1,1,$C25)+Forudsætninger!$C$16),Forudsætninger!$C$17,1)))</f>
        <v/>
      </c>
      <c r="S25" s="42" t="str">
        <f aca="false">IF($B25="","",SUM(G25:R25))</f>
        <v/>
      </c>
    </row>
    <row r="26" customFormat="false" ht="15" hidden="false" customHeight="false" outlineLevel="0" collapsed="false">
      <c r="B26" s="10"/>
      <c r="C26" s="40"/>
      <c r="D26" s="41"/>
      <c r="E26" s="22"/>
      <c r="F26" s="31" t="str">
        <f aca="false">IF($B26="","",IF(N($E26)&gt;0,$E26,Forudsætninger!$C$14))</f>
        <v/>
      </c>
      <c r="G26" s="31" t="str">
        <f aca="false">IF($B26="","",$F26*INDEX(Forudsætninger!$D$29:$D$40,1)*IF(1&lt;IF(N($C26)&lt;1,1,$C26),0,IF(AND($D26="Ja",1&lt;IF(N($C26)&lt;1,1,$C26)+Forudsætninger!$C$16),Forudsætninger!$C$17,1)))</f>
        <v/>
      </c>
      <c r="H26" s="31" t="str">
        <f aca="false">IF($B26="","",$F26*INDEX(Forudsætninger!$D$29:$D$40,2)*IF(2&lt;IF(N($C26)&lt;1,1,$C26),0,IF(AND($D26="Ja",2&lt;IF(N($C26)&lt;1,1,$C26)+Forudsætninger!$C$16),Forudsætninger!$C$17,1)))</f>
        <v/>
      </c>
      <c r="I26" s="31" t="str">
        <f aca="false">IF($B26="","",$F26*INDEX(Forudsætninger!$D$29:$D$40,3)*IF(3&lt;IF(N($C26)&lt;1,1,$C26),0,IF(AND($D26="Ja",3&lt;IF(N($C26)&lt;1,1,$C26)+Forudsætninger!$C$16),Forudsætninger!$C$17,1)))</f>
        <v/>
      </c>
      <c r="J26" s="31" t="str">
        <f aca="false">IF($B26="","",$F26*INDEX(Forudsætninger!$D$29:$D$40,4)*IF(4&lt;IF(N($C26)&lt;1,1,$C26),0,IF(AND($D26="Ja",4&lt;IF(N($C26)&lt;1,1,$C26)+Forudsætninger!$C$16),Forudsætninger!$C$17,1)))</f>
        <v/>
      </c>
      <c r="K26" s="31" t="str">
        <f aca="false">IF($B26="","",$F26*INDEX(Forudsætninger!$D$29:$D$40,5)*IF(5&lt;IF(N($C26)&lt;1,1,$C26),0,IF(AND($D26="Ja",5&lt;IF(N($C26)&lt;1,1,$C26)+Forudsætninger!$C$16),Forudsætninger!$C$17,1)))</f>
        <v/>
      </c>
      <c r="L26" s="31" t="str">
        <f aca="false">IF($B26="","",$F26*INDEX(Forudsætninger!$D$29:$D$40,6)*IF(6&lt;IF(N($C26)&lt;1,1,$C26),0,IF(AND($D26="Ja",6&lt;IF(N($C26)&lt;1,1,$C26)+Forudsætninger!$C$16),Forudsætninger!$C$17,1)))</f>
        <v/>
      </c>
      <c r="M26" s="31" t="str">
        <f aca="false">IF($B26="","",$F26*INDEX(Forudsætninger!$D$29:$D$40,7)*IF(7&lt;IF(N($C26)&lt;1,1,$C26),0,IF(AND($D26="Ja",7&lt;IF(N($C26)&lt;1,1,$C26)+Forudsætninger!$C$16),Forudsætninger!$C$17,1)))</f>
        <v/>
      </c>
      <c r="N26" s="31" t="str">
        <f aca="false">IF($B26="","",$F26*INDEX(Forudsætninger!$D$29:$D$40,8)*IF(8&lt;IF(N($C26)&lt;1,1,$C26),0,IF(AND($D26="Ja",8&lt;IF(N($C26)&lt;1,1,$C26)+Forudsætninger!$C$16),Forudsætninger!$C$17,1)))</f>
        <v/>
      </c>
      <c r="O26" s="31" t="str">
        <f aca="false">IF($B26="","",$F26*INDEX(Forudsætninger!$D$29:$D$40,9)*IF(9&lt;IF(N($C26)&lt;1,1,$C26),0,IF(AND($D26="Ja",9&lt;IF(N($C26)&lt;1,1,$C26)+Forudsætninger!$C$16),Forudsætninger!$C$17,1)))</f>
        <v/>
      </c>
      <c r="P26" s="31" t="str">
        <f aca="false">IF($B26="","",$F26*INDEX(Forudsætninger!$D$29:$D$40,10)*IF(10&lt;IF(N($C26)&lt;1,1,$C26),0,IF(AND($D26="Ja",10&lt;IF(N($C26)&lt;1,1,$C26)+Forudsætninger!$C$16),Forudsætninger!$C$17,1)))</f>
        <v/>
      </c>
      <c r="Q26" s="31" t="str">
        <f aca="false">IF($B26="","",$F26*INDEX(Forudsætninger!$D$29:$D$40,11)*IF(11&lt;IF(N($C26)&lt;1,1,$C26),0,IF(AND($D26="Ja",11&lt;IF(N($C26)&lt;1,1,$C26)+Forudsætninger!$C$16),Forudsætninger!$C$17,1)))</f>
        <v/>
      </c>
      <c r="R26" s="31" t="str">
        <f aca="false">IF($B26="","",$F26*INDEX(Forudsætninger!$D$29:$D$40,12)*IF(12&lt;IF(N($C26)&lt;1,1,$C26),0,IF(AND($D26="Ja",12&lt;IF(N($C26)&lt;1,1,$C26)+Forudsætninger!$C$16),Forudsætninger!$C$17,1)))</f>
        <v/>
      </c>
      <c r="S26" s="42" t="str">
        <f aca="false">IF($B26="","",SUM(G26:R26))</f>
        <v/>
      </c>
    </row>
    <row r="27" customFormat="false" ht="15" hidden="false" customHeight="false" outlineLevel="0" collapsed="false">
      <c r="B27" s="43" t="s">
        <v>173</v>
      </c>
      <c r="C27" s="44"/>
      <c r="D27" s="44"/>
      <c r="E27" s="44"/>
      <c r="F27" s="44"/>
      <c r="G27" s="33" t="n">
        <f aca="false">SUM(G7:G26)</f>
        <v>1575000</v>
      </c>
      <c r="H27" s="33" t="n">
        <f aca="false">SUM(H7:H26)</f>
        <v>1920000</v>
      </c>
      <c r="I27" s="33" t="n">
        <f aca="false">SUM(I7:I26)</f>
        <v>2160000</v>
      </c>
      <c r="J27" s="33" t="n">
        <f aca="false">SUM(J7:J26)</f>
        <v>2040000</v>
      </c>
      <c r="K27" s="33" t="n">
        <f aca="false">SUM(K7:K26)</f>
        <v>2430000</v>
      </c>
      <c r="L27" s="33" t="n">
        <f aca="false">SUM(L7:L26)</f>
        <v>2565000</v>
      </c>
      <c r="M27" s="33" t="n">
        <f aca="false">SUM(M7:M26)</f>
        <v>1140000</v>
      </c>
      <c r="N27" s="33" t="n">
        <f aca="false">SUM(N7:N26)</f>
        <v>2100000</v>
      </c>
      <c r="O27" s="33" t="n">
        <f aca="false">SUM(O7:O26)</f>
        <v>2700000</v>
      </c>
      <c r="P27" s="33" t="n">
        <f aca="false">SUM(P7:P26)</f>
        <v>2700000</v>
      </c>
      <c r="Q27" s="33" t="n">
        <f aca="false">SUM(Q7:Q26)</f>
        <v>3000000</v>
      </c>
      <c r="R27" s="33" t="n">
        <f aca="false">SUM(R7:R26)</f>
        <v>3300000</v>
      </c>
      <c r="S27" s="33" t="n">
        <f aca="false">SUM(S7:S26)</f>
        <v>27630000</v>
      </c>
    </row>
    <row r="28" customFormat="false" ht="15" hidden="false" customHeight="false" outlineLevel="0" collapsed="false">
      <c r="B28" s="45" t="s">
        <v>174</v>
      </c>
      <c r="G28" s="31" t="n">
        <f aca="false">Forudsætninger!$C$7*INDEX(Forudsætninger!$D$29:$D$40,1)</f>
        <v>1680000</v>
      </c>
      <c r="H28" s="31" t="n">
        <f aca="false">Forudsætninger!$C$7*INDEX(Forudsætninger!$D$29:$D$40,2)</f>
        <v>1920000</v>
      </c>
      <c r="I28" s="31" t="n">
        <f aca="false">Forudsætninger!$C$7*INDEX(Forudsætninger!$D$29:$D$40,3)</f>
        <v>2160000</v>
      </c>
      <c r="J28" s="31" t="n">
        <f aca="false">Forudsætninger!$C$7*INDEX(Forudsætninger!$D$29:$D$40,4)</f>
        <v>1920000</v>
      </c>
      <c r="K28" s="31" t="n">
        <f aca="false">Forudsætninger!$C$7*INDEX(Forudsætninger!$D$29:$D$40,5)</f>
        <v>2160000</v>
      </c>
      <c r="L28" s="31" t="n">
        <f aca="false">Forudsætninger!$C$7*INDEX(Forudsætninger!$D$29:$D$40,6)</f>
        <v>2160000</v>
      </c>
      <c r="M28" s="31" t="n">
        <f aca="false">Forudsætninger!$C$7*INDEX(Forudsætninger!$D$29:$D$40,7)</f>
        <v>960000</v>
      </c>
      <c r="N28" s="31" t="n">
        <f aca="false">Forudsætninger!$C$7*INDEX(Forudsætninger!$D$29:$D$40,8)</f>
        <v>1680000</v>
      </c>
      <c r="O28" s="31" t="n">
        <f aca="false">Forudsætninger!$C$7*INDEX(Forudsætninger!$D$29:$D$40,9)</f>
        <v>2160000</v>
      </c>
      <c r="P28" s="31" t="n">
        <f aca="false">Forudsætninger!$C$7*INDEX(Forudsætninger!$D$29:$D$40,10)</f>
        <v>2160000</v>
      </c>
      <c r="Q28" s="31" t="n">
        <f aca="false">Forudsætninger!$C$7*INDEX(Forudsætninger!$D$29:$D$40,11)</f>
        <v>2400000</v>
      </c>
      <c r="R28" s="31" t="n">
        <f aca="false">Forudsætninger!$C$7*INDEX(Forudsætninger!$D$29:$D$40,12)</f>
        <v>2640000</v>
      </c>
      <c r="S28" s="31" t="n">
        <f aca="false">SUM(G28:R28)</f>
        <v>24000000</v>
      </c>
    </row>
    <row r="29" customFormat="false" ht="15" hidden="false" customHeight="false" outlineLevel="0" collapsed="false">
      <c r="B29" s="45" t="s">
        <v>175</v>
      </c>
      <c r="G29" s="27" t="n">
        <f aca="false">IFERROR(G27/G28,0)</f>
        <v>0.9375</v>
      </c>
      <c r="H29" s="27" t="n">
        <f aca="false">IFERROR(H27/H28,0)</f>
        <v>1</v>
      </c>
      <c r="I29" s="27" t="n">
        <f aca="false">IFERROR(I27/I28,0)</f>
        <v>1</v>
      </c>
      <c r="J29" s="27" t="n">
        <f aca="false">IFERROR(J27/J28,0)</f>
        <v>1.0625</v>
      </c>
      <c r="K29" s="27" t="n">
        <f aca="false">IFERROR(K27/K28,0)</f>
        <v>1.125</v>
      </c>
      <c r="L29" s="27" t="n">
        <f aca="false">IFERROR(L27/L28,0)</f>
        <v>1.1875</v>
      </c>
      <c r="M29" s="27" t="n">
        <f aca="false">IFERROR(M27/M28,0)</f>
        <v>1.1875</v>
      </c>
      <c r="N29" s="27" t="n">
        <f aca="false">IFERROR(N27/N28,0)</f>
        <v>1.25</v>
      </c>
      <c r="O29" s="27" t="n">
        <f aca="false">IFERROR(O27/O28,0)</f>
        <v>1.25</v>
      </c>
      <c r="P29" s="27" t="n">
        <f aca="false">IFERROR(P27/P28,0)</f>
        <v>1.25</v>
      </c>
      <c r="Q29" s="27" t="n">
        <f aca="false">IFERROR(Q27/Q28,0)</f>
        <v>1.25</v>
      </c>
      <c r="R29" s="27" t="n">
        <f aca="false">IFERROR(R27/R28,0)</f>
        <v>1.25</v>
      </c>
      <c r="S29" s="27" t="n">
        <f aca="false">IFERROR(S27/S28,0)</f>
        <v>1.15125</v>
      </c>
    </row>
    <row r="31" customFormat="false" ht="15" hidden="false" customHeight="false" outlineLevel="0" collapsed="false">
      <c r="B31" s="21" t="s">
        <v>176</v>
      </c>
    </row>
  </sheetData>
  <dataValidations count="3">
    <dataValidation allowBlank="true" error="Skriv en måned fra 1 til 12." errorStyle="stop" errorTitle="Ugyldig måned" operator="between" showDropDown="false" showErrorMessage="false" showInputMessage="false" sqref="C7:C26" type="whole">
      <formula1>1</formula1>
      <formula2>12</formula2>
    </dataValidation>
    <dataValidation allowBlank="true" errorStyle="stop" operator="between" showDropDown="false" showErrorMessage="false" showInputMessage="false" sqref="D7:D26" type="list">
      <formula1>"Ja,Nej"</formula1>
      <formula2>0</formula2>
    </dataValidation>
    <dataValidation allowBlank="true" errorStyle="stop" operator="greaterThan" showDropDown="false" showErrorMessage="false" showInputMessage="false" sqref="E7:E2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&amp;C&amp;"Arial,Regular"&amp;8 &amp;Ka1a0bdprowi.io · Gratis skabelon fra Prowi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9" min="3" style="0" width="16"/>
  </cols>
  <sheetData>
    <row r="2" customFormat="false" ht="30" hidden="false" customHeight="true" outlineLevel="0" collapsed="false">
      <c r="B2" s="17" t="s">
        <v>177</v>
      </c>
    </row>
    <row r="3" customFormat="false" ht="15" hidden="false" customHeight="false" outlineLevel="0" collapsed="false">
      <c r="B3" s="18" t="s">
        <v>178</v>
      </c>
    </row>
    <row r="4" customFormat="false" ht="15" hidden="false" customHeight="false" outlineLevel="0" collapsed="false">
      <c r="B4" s="7" t="s">
        <v>179</v>
      </c>
    </row>
    <row r="5" customFormat="false" ht="15" hidden="false" customHeight="false" outlineLevel="0" collapsed="false">
      <c r="B5" s="19" t="s">
        <v>180</v>
      </c>
      <c r="C5" s="31" t="n">
        <f aca="false">Forudsætninger!$C$22*12</f>
        <v>504000</v>
      </c>
    </row>
    <row r="6" customFormat="false" ht="15" hidden="false" customHeight="false" outlineLevel="0" collapsed="false">
      <c r="B6" s="19" t="s">
        <v>181</v>
      </c>
      <c r="C6" s="31" t="n">
        <f aca="false">Forudsætninger!$C$23</f>
        <v>216000</v>
      </c>
    </row>
    <row r="7" customFormat="false" ht="15" hidden="false" customHeight="false" outlineLevel="0" collapsed="false">
      <c r="B7" s="19" t="s">
        <v>182</v>
      </c>
      <c r="C7" s="33" t="n">
        <f aca="false">C5+C6</f>
        <v>720000</v>
      </c>
      <c r="D7" s="21" t="s">
        <v>183</v>
      </c>
    </row>
    <row r="8" customFormat="false" ht="15" hidden="false" customHeight="false" outlineLevel="0" collapsed="false">
      <c r="B8" s="19" t="s">
        <v>184</v>
      </c>
      <c r="C8" s="27" t="n">
        <f aca="false">IFERROR(C5/C7,0)</f>
        <v>0.7</v>
      </c>
    </row>
    <row r="9" customFormat="false" ht="15" hidden="false" customHeight="false" outlineLevel="0" collapsed="false">
      <c r="B9" s="19" t="s">
        <v>185</v>
      </c>
      <c r="C9" s="27" t="n">
        <f aca="false">IFERROR(C6/C7,0)</f>
        <v>0.3</v>
      </c>
    </row>
    <row r="10" customFormat="false" ht="15" hidden="false" customHeight="false" outlineLevel="0" collapsed="false">
      <c r="B10" s="19" t="s">
        <v>186</v>
      </c>
      <c r="C10" s="46" t="n">
        <f aca="false">IFERROR(C6/Forudsætninger!$C$14,0)</f>
        <v>0.072</v>
      </c>
      <c r="D10" s="21" t="s">
        <v>187</v>
      </c>
    </row>
    <row r="11" customFormat="false" ht="15" hidden="false" customHeight="false" outlineLevel="0" collapsed="false">
      <c r="B11" s="19" t="s">
        <v>188</v>
      </c>
      <c r="C11" s="47" t="n">
        <f aca="false">C10*Forudsætninger!$C$24</f>
        <v>0.108</v>
      </c>
    </row>
    <row r="13" customFormat="false" ht="15" hidden="false" customHeight="false" outlineLevel="0" collapsed="false">
      <c r="B13" s="7" t="s">
        <v>189</v>
      </c>
    </row>
    <row r="14" customFormat="false" ht="21.75" hidden="false" customHeight="true" outlineLevel="0" collapsed="false">
      <c r="B14" s="25"/>
      <c r="C14" s="25" t="s">
        <v>190</v>
      </c>
      <c r="D14" s="25" t="s">
        <v>191</v>
      </c>
      <c r="E14" s="25" t="s">
        <v>192</v>
      </c>
    </row>
    <row r="15" customFormat="false" ht="15" hidden="false" customHeight="false" outlineLevel="0" collapsed="false">
      <c r="B15" s="19" t="s">
        <v>193</v>
      </c>
      <c r="C15" s="23" t="n">
        <v>0.8</v>
      </c>
      <c r="D15" s="23" t="n">
        <v>1</v>
      </c>
      <c r="E15" s="23" t="n">
        <v>1.2</v>
      </c>
    </row>
    <row r="16" customFormat="false" ht="15" hidden="false" customHeight="false" outlineLevel="0" collapsed="false">
      <c r="B16" s="19" t="s">
        <v>194</v>
      </c>
      <c r="C16" s="31" t="n">
        <f aca="false">Forudsætninger!$C$14*C15</f>
        <v>2400000</v>
      </c>
      <c r="D16" s="31" t="n">
        <f aca="false">Forudsætninger!$C$14*D15</f>
        <v>3000000</v>
      </c>
      <c r="E16" s="31" t="n">
        <f aca="false">Forudsætninger!$C$14*E15</f>
        <v>3600000</v>
      </c>
    </row>
    <row r="17" customFormat="false" ht="15" hidden="false" customHeight="false" outlineLevel="0" collapsed="false">
      <c r="B17" s="19" t="s">
        <v>195</v>
      </c>
      <c r="C17" s="33" t="n">
        <f aca="false">Forudsætninger!$C$14*MIN(C15,1)*$C$10+Forudsætninger!$C$14*MAX(0,C15-1)*$C$11</f>
        <v>172800</v>
      </c>
      <c r="D17" s="33" t="n">
        <f aca="false">Forudsætninger!$C$14*MIN(D15,1)*$C$10+Forudsætninger!$C$14*MAX(0,D15-1)*$C$11</f>
        <v>216000</v>
      </c>
      <c r="E17" s="33" t="n">
        <f aca="false">Forudsætninger!$C$14*MIN(E15,1)*$C$10+Forudsætninger!$C$14*MAX(0,E15-1)*$C$11</f>
        <v>280800</v>
      </c>
    </row>
    <row r="18" customFormat="false" ht="15" hidden="false" customHeight="false" outlineLevel="0" collapsed="false">
      <c r="B18" s="19" t="s">
        <v>196</v>
      </c>
      <c r="C18" s="31" t="n">
        <f aca="false">$C$5+C17</f>
        <v>676800</v>
      </c>
      <c r="D18" s="31" t="n">
        <f aca="false">$C$5+D17</f>
        <v>720000</v>
      </c>
      <c r="E18" s="31" t="n">
        <f aca="false">$C$5+E17</f>
        <v>784800</v>
      </c>
    </row>
    <row r="19" customFormat="false" ht="15" hidden="false" customHeight="false" outlineLevel="0" collapsed="false">
      <c r="B19" s="19" t="s">
        <v>197</v>
      </c>
      <c r="C19" s="47" t="n">
        <f aca="false">IFERROR(C17/C16,0)</f>
        <v>0.072</v>
      </c>
      <c r="D19" s="47" t="n">
        <f aca="false">IFERROR(D17/D16,0)</f>
        <v>0.072</v>
      </c>
      <c r="E19" s="47" t="n">
        <f aca="false">IFERROR(E17/E16,0)</f>
        <v>0.078</v>
      </c>
    </row>
    <row r="21" customFormat="false" ht="15" hidden="false" customHeight="false" outlineLevel="0" collapsed="false">
      <c r="B21" s="7" t="s">
        <v>198</v>
      </c>
    </row>
    <row r="22" customFormat="false" ht="15" hidden="false" customHeight="false" outlineLevel="0" collapsed="false">
      <c r="B22" s="21" t="s">
        <v>199</v>
      </c>
    </row>
    <row r="23" customFormat="false" ht="42" hidden="false" customHeight="true" outlineLevel="0" collapsed="false">
      <c r="B23" s="25" t="s">
        <v>144</v>
      </c>
      <c r="C23" s="25" t="s">
        <v>200</v>
      </c>
      <c r="D23" s="25" t="s">
        <v>201</v>
      </c>
      <c r="E23" s="25" t="s">
        <v>31</v>
      </c>
      <c r="F23" s="25" t="s">
        <v>202</v>
      </c>
      <c r="G23" s="25" t="s">
        <v>203</v>
      </c>
      <c r="H23" s="25" t="s">
        <v>204</v>
      </c>
      <c r="I23" s="25" t="s">
        <v>205</v>
      </c>
    </row>
    <row r="24" customFormat="false" ht="15" hidden="false" customHeight="false" outlineLevel="0" collapsed="false">
      <c r="B24" s="12" t="str">
        <f aca="false">IF(Kvotefordeling!$B$7="","",Kvotefordeling!$B$7)</f>
        <v>Anna Holm</v>
      </c>
      <c r="C24" s="48" t="n">
        <f aca="false">IF($B24="","",13-IF(N(Kvotefordeling!$C$7)&lt;1,1,Kvotefordeling!$C$7))</f>
        <v>12</v>
      </c>
      <c r="D24" s="31" t="n">
        <f aca="false">IF($B24="","",Kvotefordeling!$S$7)</f>
        <v>3000000</v>
      </c>
      <c r="E24" s="47" t="n">
        <f aca="false">IF($B24="","",IFERROR($C$6/Kvotefordeling!$F$7,0))</f>
        <v>0.072</v>
      </c>
      <c r="F24" s="31" t="n">
        <f aca="false">IF($B24="","",Forudsætninger!$C$22*$C24)</f>
        <v>504000</v>
      </c>
      <c r="G24" s="31" t="n">
        <f aca="false">IF($B24="","",$D24*MIN(C$15,1)*$E24+$D24*MAX(0,C$15-1)*$E24*Forudsætninger!$C$24)</f>
        <v>172800</v>
      </c>
      <c r="H24" s="31" t="n">
        <f aca="false">IF($B24="","",$D24*MIN(D$15,1)*$E24+$D24*MAX(0,D$15-1)*$E24*Forudsætninger!$C$24)</f>
        <v>216000</v>
      </c>
      <c r="I24" s="31" t="n">
        <f aca="false">IF($B24="","",$D24*MIN(E$15,1)*$E24+$D24*MAX(0,E$15-1)*$E24*Forudsætninger!$C$24)</f>
        <v>280800</v>
      </c>
    </row>
    <row r="25" customFormat="false" ht="15" hidden="false" customHeight="false" outlineLevel="0" collapsed="false">
      <c r="B25" s="12" t="str">
        <f aca="false">IF(Kvotefordeling!$B$8="","",Kvotefordeling!$B$8)</f>
        <v>Bo Jensen</v>
      </c>
      <c r="C25" s="48" t="n">
        <f aca="false">IF($B25="","",13-IF(N(Kvotefordeling!$C$8)&lt;1,1,Kvotefordeling!$C$8))</f>
        <v>12</v>
      </c>
      <c r="D25" s="31" t="n">
        <f aca="false">IF($B25="","",Kvotefordeling!$S$8)</f>
        <v>3000000</v>
      </c>
      <c r="E25" s="47" t="n">
        <f aca="false">IF($B25="","",IFERROR($C$6/Kvotefordeling!$F$8,0))</f>
        <v>0.072</v>
      </c>
      <c r="F25" s="31" t="n">
        <f aca="false">IF($B25="","",Forudsætninger!$C$22*$C25)</f>
        <v>504000</v>
      </c>
      <c r="G25" s="31" t="n">
        <f aca="false">IF($B25="","",$D25*MIN(C$15,1)*$E25+$D25*MAX(0,C$15-1)*$E25*Forudsætninger!$C$24)</f>
        <v>172800</v>
      </c>
      <c r="H25" s="31" t="n">
        <f aca="false">IF($B25="","",$D25*MIN(D$15,1)*$E25+$D25*MAX(0,D$15-1)*$E25*Forudsætninger!$C$24)</f>
        <v>216000</v>
      </c>
      <c r="I25" s="31" t="n">
        <f aca="false">IF($B25="","",$D25*MIN(E$15,1)*$E25+$D25*MAX(0,E$15-1)*$E25*Forudsætninger!$C$24)</f>
        <v>280800</v>
      </c>
    </row>
    <row r="26" customFormat="false" ht="15" hidden="false" customHeight="false" outlineLevel="0" collapsed="false">
      <c r="B26" s="12" t="str">
        <f aca="false">IF(Kvotefordeling!$B$9="","",Kvotefordeling!$B$9)</f>
        <v>Camilla Nørgaard</v>
      </c>
      <c r="C26" s="48" t="n">
        <f aca="false">IF($B26="","",13-IF(N(Kvotefordeling!$C$9)&lt;1,1,Kvotefordeling!$C$9))</f>
        <v>12</v>
      </c>
      <c r="D26" s="31" t="n">
        <f aca="false">IF($B26="","",Kvotefordeling!$S$9)</f>
        <v>3000000</v>
      </c>
      <c r="E26" s="47" t="n">
        <f aca="false">IF($B26="","",IFERROR($C$6/Kvotefordeling!$F$9,0))</f>
        <v>0.072</v>
      </c>
      <c r="F26" s="31" t="n">
        <f aca="false">IF($B26="","",Forudsætninger!$C$22*$C26)</f>
        <v>504000</v>
      </c>
      <c r="G26" s="31" t="n">
        <f aca="false">IF($B26="","",$D26*MIN(C$15,1)*$E26+$D26*MAX(0,C$15-1)*$E26*Forudsætninger!$C$24)</f>
        <v>172800</v>
      </c>
      <c r="H26" s="31" t="n">
        <f aca="false">IF($B26="","",$D26*MIN(D$15,1)*$E26+$D26*MAX(0,D$15-1)*$E26*Forudsætninger!$C$24)</f>
        <v>216000</v>
      </c>
      <c r="I26" s="31" t="n">
        <f aca="false">IF($B26="","",$D26*MIN(E$15,1)*$E26+$D26*MAX(0,E$15-1)*$E26*Forudsætninger!$C$24)</f>
        <v>280800</v>
      </c>
    </row>
    <row r="27" customFormat="false" ht="15" hidden="false" customHeight="false" outlineLevel="0" collapsed="false">
      <c r="B27" s="12" t="str">
        <f aca="false">IF(Kvotefordeling!$B$10="","",Kvotefordeling!$B$10)</f>
        <v>Dennis Lund</v>
      </c>
      <c r="C27" s="48" t="n">
        <f aca="false">IF($B27="","",13-IF(N(Kvotefordeling!$C$10)&lt;1,1,Kvotefordeling!$C$10))</f>
        <v>12</v>
      </c>
      <c r="D27" s="31" t="n">
        <f aca="false">IF($B27="","",Kvotefordeling!$S$10)</f>
        <v>3000000</v>
      </c>
      <c r="E27" s="47" t="n">
        <f aca="false">IF($B27="","",IFERROR($C$6/Kvotefordeling!$F$10,0))</f>
        <v>0.072</v>
      </c>
      <c r="F27" s="31" t="n">
        <f aca="false">IF($B27="","",Forudsætninger!$C$22*$C27)</f>
        <v>504000</v>
      </c>
      <c r="G27" s="31" t="n">
        <f aca="false">IF($B27="","",$D27*MIN(C$15,1)*$E27+$D27*MAX(0,C$15-1)*$E27*Forudsætninger!$C$24)</f>
        <v>172800</v>
      </c>
      <c r="H27" s="31" t="n">
        <f aca="false">IF($B27="","",$D27*MIN(D$15,1)*$E27+$D27*MAX(0,D$15-1)*$E27*Forudsætninger!$C$24)</f>
        <v>216000</v>
      </c>
      <c r="I27" s="31" t="n">
        <f aca="false">IF($B27="","",$D27*MIN(E$15,1)*$E27+$D27*MAX(0,E$15-1)*$E27*Forudsætninger!$C$24)</f>
        <v>280800</v>
      </c>
    </row>
    <row r="28" customFormat="false" ht="15" hidden="false" customHeight="false" outlineLevel="0" collapsed="false">
      <c r="B28" s="12" t="str">
        <f aca="false">IF(Kvotefordeling!$B$11="","",Kvotefordeling!$B$11)</f>
        <v>Emma Krogh</v>
      </c>
      <c r="C28" s="48" t="n">
        <f aca="false">IF($B28="","",13-IF(N(Kvotefordeling!$C$11)&lt;1,1,Kvotefordeling!$C$11))</f>
        <v>12</v>
      </c>
      <c r="D28" s="31" t="n">
        <f aca="false">IF($B28="","",Kvotefordeling!$S$11)</f>
        <v>3000000</v>
      </c>
      <c r="E28" s="47" t="n">
        <f aca="false">IF($B28="","",IFERROR($C$6/Kvotefordeling!$F$11,0))</f>
        <v>0.072</v>
      </c>
      <c r="F28" s="31" t="n">
        <f aca="false">IF($B28="","",Forudsætninger!$C$22*$C28)</f>
        <v>504000</v>
      </c>
      <c r="G28" s="31" t="n">
        <f aca="false">IF($B28="","",$D28*MIN(C$15,1)*$E28+$D28*MAX(0,C$15-1)*$E28*Forudsætninger!$C$24)</f>
        <v>172800</v>
      </c>
      <c r="H28" s="31" t="n">
        <f aca="false">IF($B28="","",$D28*MIN(D$15,1)*$E28+$D28*MAX(0,D$15-1)*$E28*Forudsætninger!$C$24)</f>
        <v>216000</v>
      </c>
      <c r="I28" s="31" t="n">
        <f aca="false">IF($B28="","",$D28*MIN(E$15,1)*$E28+$D28*MAX(0,E$15-1)*$E28*Forudsætninger!$C$24)</f>
        <v>280800</v>
      </c>
    </row>
    <row r="29" customFormat="false" ht="15" hidden="false" customHeight="false" outlineLevel="0" collapsed="false">
      <c r="B29" s="12" t="str">
        <f aca="false">IF(Kvotefordeling!$B$12="","",Kvotefordeling!$B$12)</f>
        <v>Frederik Sand</v>
      </c>
      <c r="C29" s="48" t="n">
        <f aca="false">IF($B29="","",13-IF(N(Kvotefordeling!$C$12)&lt;1,1,Kvotefordeling!$C$12))</f>
        <v>12</v>
      </c>
      <c r="D29" s="31" t="n">
        <f aca="false">IF($B29="","",Kvotefordeling!$S$12)</f>
        <v>3000000</v>
      </c>
      <c r="E29" s="47" t="n">
        <f aca="false">IF($B29="","",IFERROR($C$6/Kvotefordeling!$F$12,0))</f>
        <v>0.072</v>
      </c>
      <c r="F29" s="31" t="n">
        <f aca="false">IF($B29="","",Forudsætninger!$C$22*$C29)</f>
        <v>504000</v>
      </c>
      <c r="G29" s="31" t="n">
        <f aca="false">IF($B29="","",$D29*MIN(C$15,1)*$E29+$D29*MAX(0,C$15-1)*$E29*Forudsætninger!$C$24)</f>
        <v>172800</v>
      </c>
      <c r="H29" s="31" t="n">
        <f aca="false">IF($B29="","",$D29*MIN(D$15,1)*$E29+$D29*MAX(0,D$15-1)*$E29*Forudsætninger!$C$24)</f>
        <v>216000</v>
      </c>
      <c r="I29" s="31" t="n">
        <f aca="false">IF($B29="","",$D29*MIN(E$15,1)*$E29+$D29*MAX(0,E$15-1)*$E29*Forudsætninger!$C$24)</f>
        <v>280800</v>
      </c>
    </row>
    <row r="30" customFormat="false" ht="15" hidden="false" customHeight="false" outlineLevel="0" collapsed="false">
      <c r="B30" s="12" t="str">
        <f aca="false">IF(Kvotefordeling!$B$13="","",Kvotefordeling!$B$13)</f>
        <v>Gitte Mølgaard</v>
      </c>
      <c r="C30" s="48" t="n">
        <f aca="false">IF($B30="","",13-IF(N(Kvotefordeling!$C$13)&lt;1,1,Kvotefordeling!$C$13))</f>
        <v>12</v>
      </c>
      <c r="D30" s="31" t="n">
        <f aca="false">IF($B30="","",Kvotefordeling!$S$13)</f>
        <v>3000000</v>
      </c>
      <c r="E30" s="47" t="n">
        <f aca="false">IF($B30="","",IFERROR($C$6/Kvotefordeling!$F$13,0))</f>
        <v>0.072</v>
      </c>
      <c r="F30" s="31" t="n">
        <f aca="false">IF($B30="","",Forudsætninger!$C$22*$C30)</f>
        <v>504000</v>
      </c>
      <c r="G30" s="31" t="n">
        <f aca="false">IF($B30="","",$D30*MIN(C$15,1)*$E30+$D30*MAX(0,C$15-1)*$E30*Forudsætninger!$C$24)</f>
        <v>172800</v>
      </c>
      <c r="H30" s="31" t="n">
        <f aca="false">IF($B30="","",$D30*MIN(D$15,1)*$E30+$D30*MAX(0,D$15-1)*$E30*Forudsætninger!$C$24)</f>
        <v>216000</v>
      </c>
      <c r="I30" s="31" t="n">
        <f aca="false">IF($B30="","",$D30*MIN(E$15,1)*$E30+$D30*MAX(0,E$15-1)*$E30*Forudsætninger!$C$24)</f>
        <v>280800</v>
      </c>
    </row>
    <row r="31" customFormat="false" ht="15" hidden="false" customHeight="false" outlineLevel="0" collapsed="false">
      <c r="B31" s="12" t="str">
        <f aca="false">IF(Kvotefordeling!$B$14="","",Kvotefordeling!$B$14)</f>
        <v>Ny sælger 1</v>
      </c>
      <c r="C31" s="48" t="n">
        <f aca="false">IF($B31="","",13-IF(N(Kvotefordeling!$C$14)&lt;1,1,Kvotefordeling!$C$14))</f>
        <v>12</v>
      </c>
      <c r="D31" s="31" t="n">
        <f aca="false">IF($B31="","",Kvotefordeling!$S$14)</f>
        <v>2520000</v>
      </c>
      <c r="E31" s="47" t="n">
        <f aca="false">IF($B31="","",IFERROR($C$6/Kvotefordeling!$F$14,0))</f>
        <v>0.072</v>
      </c>
      <c r="F31" s="31" t="n">
        <f aca="false">IF($B31="","",Forudsætninger!$C$22*$C31)</f>
        <v>504000</v>
      </c>
      <c r="G31" s="31" t="n">
        <f aca="false">IF($B31="","",$D31*MIN(C$15,1)*$E31+$D31*MAX(0,C$15-1)*$E31*Forudsætninger!$C$24)</f>
        <v>145152</v>
      </c>
      <c r="H31" s="31" t="n">
        <f aca="false">IF($B31="","",$D31*MIN(D$15,1)*$E31+$D31*MAX(0,D$15-1)*$E31*Forudsætninger!$C$24)</f>
        <v>181440</v>
      </c>
      <c r="I31" s="31" t="n">
        <f aca="false">IF($B31="","",$D31*MIN(E$15,1)*$E31+$D31*MAX(0,E$15-1)*$E31*Forudsætninger!$C$24)</f>
        <v>235872</v>
      </c>
    </row>
    <row r="32" customFormat="false" ht="15" hidden="false" customHeight="false" outlineLevel="0" collapsed="false">
      <c r="B32" s="12" t="str">
        <f aca="false">IF(Kvotefordeling!$B$15="","",Kvotefordeling!$B$15)</f>
        <v>Ny sælger 2</v>
      </c>
      <c r="C32" s="48" t="n">
        <f aca="false">IF($B32="","",13-IF(N(Kvotefordeling!$C$15)&lt;1,1,Kvotefordeling!$C$15))</f>
        <v>11</v>
      </c>
      <c r="D32" s="31" t="n">
        <f aca="false">IF($B32="","",Kvotefordeling!$S$15)</f>
        <v>2280000</v>
      </c>
      <c r="E32" s="47" t="n">
        <f aca="false">IF($B32="","",IFERROR($C$6/Kvotefordeling!$F$15,0))</f>
        <v>0.072</v>
      </c>
      <c r="F32" s="31" t="n">
        <f aca="false">IF($B32="","",Forudsætninger!$C$22*$C32)</f>
        <v>462000</v>
      </c>
      <c r="G32" s="31" t="n">
        <f aca="false">IF($B32="","",$D32*MIN(C$15,1)*$E32+$D32*MAX(0,C$15-1)*$E32*Forudsætninger!$C$24)</f>
        <v>131328</v>
      </c>
      <c r="H32" s="31" t="n">
        <f aca="false">IF($B32="","",$D32*MIN(D$15,1)*$E32+$D32*MAX(0,D$15-1)*$E32*Forudsætninger!$C$24)</f>
        <v>164160</v>
      </c>
      <c r="I32" s="31" t="n">
        <f aca="false">IF($B32="","",$D32*MIN(E$15,1)*$E32+$D32*MAX(0,E$15-1)*$E32*Forudsætninger!$C$24)</f>
        <v>213408</v>
      </c>
    </row>
    <row r="33" customFormat="false" ht="15" hidden="false" customHeight="false" outlineLevel="0" collapsed="false">
      <c r="B33" s="12" t="str">
        <f aca="false">IF(Kvotefordeling!$B$16="","",Kvotefordeling!$B$16)</f>
        <v>Ny sælger 3</v>
      </c>
      <c r="C33" s="48" t="n">
        <f aca="false">IF($B33="","",13-IF(N(Kvotefordeling!$C$16)&lt;1,1,Kvotefordeling!$C$16))</f>
        <v>9</v>
      </c>
      <c r="D33" s="31" t="n">
        <f aca="false">IF($B33="","",Kvotefordeling!$S$16)</f>
        <v>1830000</v>
      </c>
      <c r="E33" s="47" t="n">
        <f aca="false">IF($B33="","",IFERROR($C$6/Kvotefordeling!$F$16,0))</f>
        <v>0.072</v>
      </c>
      <c r="F33" s="31" t="n">
        <f aca="false">IF($B33="","",Forudsætninger!$C$22*$C33)</f>
        <v>378000</v>
      </c>
      <c r="G33" s="31" t="n">
        <f aca="false">IF($B33="","",$D33*MIN(C$15,1)*$E33+$D33*MAX(0,C$15-1)*$E33*Forudsætninger!$C$24)</f>
        <v>105408</v>
      </c>
      <c r="H33" s="31" t="n">
        <f aca="false">IF($B33="","",$D33*MIN(D$15,1)*$E33+$D33*MAX(0,D$15-1)*$E33*Forudsætninger!$C$24)</f>
        <v>131760</v>
      </c>
      <c r="I33" s="31" t="n">
        <f aca="false">IF($B33="","",$D33*MIN(E$15,1)*$E33+$D33*MAX(0,E$15-1)*$E33*Forudsætninger!$C$24)</f>
        <v>171288</v>
      </c>
    </row>
    <row r="34" customFormat="false" ht="15" hidden="false" customHeight="false" outlineLevel="0" collapsed="false">
      <c r="B34" s="12" t="str">
        <f aca="false">IF(Kvotefordeling!$B$17="","",Kvotefordeling!$B$17)</f>
        <v/>
      </c>
      <c r="C34" s="48" t="str">
        <f aca="false">IF($B34="","",13-IF(N(Kvotefordeling!$C$17)&lt;1,1,Kvotefordeling!$C$17))</f>
        <v/>
      </c>
      <c r="D34" s="31" t="str">
        <f aca="false">IF($B34="","",Kvotefordeling!$S$17)</f>
        <v/>
      </c>
      <c r="E34" s="47" t="str">
        <f aca="false">IF($B34="","",IFERROR($C$6/Kvotefordeling!$F$17,0))</f>
        <v/>
      </c>
      <c r="F34" s="31" t="str">
        <f aca="false">IF($B34="","",Forudsætninger!$C$22*$C34)</f>
        <v/>
      </c>
      <c r="G34" s="31" t="str">
        <f aca="false">IF($B34="","",$D34*MIN(C$15,1)*$E34+$D34*MAX(0,C$15-1)*$E34*Forudsætninger!$C$24)</f>
        <v/>
      </c>
      <c r="H34" s="31" t="str">
        <f aca="false">IF($B34="","",$D34*MIN(D$15,1)*$E34+$D34*MAX(0,D$15-1)*$E34*Forudsætninger!$C$24)</f>
        <v/>
      </c>
      <c r="I34" s="31" t="str">
        <f aca="false">IF($B34="","",$D34*MIN(E$15,1)*$E34+$D34*MAX(0,E$15-1)*$E34*Forudsætninger!$C$24)</f>
        <v/>
      </c>
    </row>
    <row r="35" customFormat="false" ht="15" hidden="false" customHeight="false" outlineLevel="0" collapsed="false">
      <c r="B35" s="12" t="str">
        <f aca="false">IF(Kvotefordeling!$B$18="","",Kvotefordeling!$B$18)</f>
        <v/>
      </c>
      <c r="C35" s="48" t="str">
        <f aca="false">IF($B35="","",13-IF(N(Kvotefordeling!$C$18)&lt;1,1,Kvotefordeling!$C$18))</f>
        <v/>
      </c>
      <c r="D35" s="31" t="str">
        <f aca="false">IF($B35="","",Kvotefordeling!$S$18)</f>
        <v/>
      </c>
      <c r="E35" s="47" t="str">
        <f aca="false">IF($B35="","",IFERROR($C$6/Kvotefordeling!$F$18,0))</f>
        <v/>
      </c>
      <c r="F35" s="31" t="str">
        <f aca="false">IF($B35="","",Forudsætninger!$C$22*$C35)</f>
        <v/>
      </c>
      <c r="G35" s="31" t="str">
        <f aca="false">IF($B35="","",$D35*MIN(C$15,1)*$E35+$D35*MAX(0,C$15-1)*$E35*Forudsætninger!$C$24)</f>
        <v/>
      </c>
      <c r="H35" s="31" t="str">
        <f aca="false">IF($B35="","",$D35*MIN(D$15,1)*$E35+$D35*MAX(0,D$15-1)*$E35*Forudsætninger!$C$24)</f>
        <v/>
      </c>
      <c r="I35" s="31" t="str">
        <f aca="false">IF($B35="","",$D35*MIN(E$15,1)*$E35+$D35*MAX(0,E$15-1)*$E35*Forudsætninger!$C$24)</f>
        <v/>
      </c>
    </row>
    <row r="36" customFormat="false" ht="15" hidden="false" customHeight="false" outlineLevel="0" collapsed="false">
      <c r="B36" s="12" t="str">
        <f aca="false">IF(Kvotefordeling!$B$19="","",Kvotefordeling!$B$19)</f>
        <v/>
      </c>
      <c r="C36" s="48" t="str">
        <f aca="false">IF($B36="","",13-IF(N(Kvotefordeling!$C$19)&lt;1,1,Kvotefordeling!$C$19))</f>
        <v/>
      </c>
      <c r="D36" s="31" t="str">
        <f aca="false">IF($B36="","",Kvotefordeling!$S$19)</f>
        <v/>
      </c>
      <c r="E36" s="47" t="str">
        <f aca="false">IF($B36="","",IFERROR($C$6/Kvotefordeling!$F$19,0))</f>
        <v/>
      </c>
      <c r="F36" s="31" t="str">
        <f aca="false">IF($B36="","",Forudsætninger!$C$22*$C36)</f>
        <v/>
      </c>
      <c r="G36" s="31" t="str">
        <f aca="false">IF($B36="","",$D36*MIN(C$15,1)*$E36+$D36*MAX(0,C$15-1)*$E36*Forudsætninger!$C$24)</f>
        <v/>
      </c>
      <c r="H36" s="31" t="str">
        <f aca="false">IF($B36="","",$D36*MIN(D$15,1)*$E36+$D36*MAX(0,D$15-1)*$E36*Forudsætninger!$C$24)</f>
        <v/>
      </c>
      <c r="I36" s="31" t="str">
        <f aca="false">IF($B36="","",$D36*MIN(E$15,1)*$E36+$D36*MAX(0,E$15-1)*$E36*Forudsætninger!$C$24)</f>
        <v/>
      </c>
    </row>
    <row r="37" customFormat="false" ht="15" hidden="false" customHeight="false" outlineLevel="0" collapsed="false">
      <c r="B37" s="12" t="str">
        <f aca="false">IF(Kvotefordeling!$B$20="","",Kvotefordeling!$B$20)</f>
        <v/>
      </c>
      <c r="C37" s="48" t="str">
        <f aca="false">IF($B37="","",13-IF(N(Kvotefordeling!$C$20)&lt;1,1,Kvotefordeling!$C$20))</f>
        <v/>
      </c>
      <c r="D37" s="31" t="str">
        <f aca="false">IF($B37="","",Kvotefordeling!$S$20)</f>
        <v/>
      </c>
      <c r="E37" s="47" t="str">
        <f aca="false">IF($B37="","",IFERROR($C$6/Kvotefordeling!$F$20,0))</f>
        <v/>
      </c>
      <c r="F37" s="31" t="str">
        <f aca="false">IF($B37="","",Forudsætninger!$C$22*$C37)</f>
        <v/>
      </c>
      <c r="G37" s="31" t="str">
        <f aca="false">IF($B37="","",$D37*MIN(C$15,1)*$E37+$D37*MAX(0,C$15-1)*$E37*Forudsætninger!$C$24)</f>
        <v/>
      </c>
      <c r="H37" s="31" t="str">
        <f aca="false">IF($B37="","",$D37*MIN(D$15,1)*$E37+$D37*MAX(0,D$15-1)*$E37*Forudsætninger!$C$24)</f>
        <v/>
      </c>
      <c r="I37" s="31" t="str">
        <f aca="false">IF($B37="","",$D37*MIN(E$15,1)*$E37+$D37*MAX(0,E$15-1)*$E37*Forudsætninger!$C$24)</f>
        <v/>
      </c>
    </row>
    <row r="38" customFormat="false" ht="15" hidden="false" customHeight="false" outlineLevel="0" collapsed="false">
      <c r="B38" s="12" t="str">
        <f aca="false">IF(Kvotefordeling!$B$21="","",Kvotefordeling!$B$21)</f>
        <v/>
      </c>
      <c r="C38" s="48" t="str">
        <f aca="false">IF($B38="","",13-IF(N(Kvotefordeling!$C$21)&lt;1,1,Kvotefordeling!$C$21))</f>
        <v/>
      </c>
      <c r="D38" s="31" t="str">
        <f aca="false">IF($B38="","",Kvotefordeling!$S$21)</f>
        <v/>
      </c>
      <c r="E38" s="47" t="str">
        <f aca="false">IF($B38="","",IFERROR($C$6/Kvotefordeling!$F$21,0))</f>
        <v/>
      </c>
      <c r="F38" s="31" t="str">
        <f aca="false">IF($B38="","",Forudsætninger!$C$22*$C38)</f>
        <v/>
      </c>
      <c r="G38" s="31" t="str">
        <f aca="false">IF($B38="","",$D38*MIN(C$15,1)*$E38+$D38*MAX(0,C$15-1)*$E38*Forudsætninger!$C$24)</f>
        <v/>
      </c>
      <c r="H38" s="31" t="str">
        <f aca="false">IF($B38="","",$D38*MIN(D$15,1)*$E38+$D38*MAX(0,D$15-1)*$E38*Forudsætninger!$C$24)</f>
        <v/>
      </c>
      <c r="I38" s="31" t="str">
        <f aca="false">IF($B38="","",$D38*MIN(E$15,1)*$E38+$D38*MAX(0,E$15-1)*$E38*Forudsætninger!$C$24)</f>
        <v/>
      </c>
    </row>
    <row r="39" customFormat="false" ht="15" hidden="false" customHeight="false" outlineLevel="0" collapsed="false">
      <c r="B39" s="12" t="str">
        <f aca="false">IF(Kvotefordeling!$B$22="","",Kvotefordeling!$B$22)</f>
        <v/>
      </c>
      <c r="C39" s="48" t="str">
        <f aca="false">IF($B39="","",13-IF(N(Kvotefordeling!$C$22)&lt;1,1,Kvotefordeling!$C$22))</f>
        <v/>
      </c>
      <c r="D39" s="31" t="str">
        <f aca="false">IF($B39="","",Kvotefordeling!$S$22)</f>
        <v/>
      </c>
      <c r="E39" s="47" t="str">
        <f aca="false">IF($B39="","",IFERROR($C$6/Kvotefordeling!$F$22,0))</f>
        <v/>
      </c>
      <c r="F39" s="31" t="str">
        <f aca="false">IF($B39="","",Forudsætninger!$C$22*$C39)</f>
        <v/>
      </c>
      <c r="G39" s="31" t="str">
        <f aca="false">IF($B39="","",$D39*MIN(C$15,1)*$E39+$D39*MAX(0,C$15-1)*$E39*Forudsætninger!$C$24)</f>
        <v/>
      </c>
      <c r="H39" s="31" t="str">
        <f aca="false">IF($B39="","",$D39*MIN(D$15,1)*$E39+$D39*MAX(0,D$15-1)*$E39*Forudsætninger!$C$24)</f>
        <v/>
      </c>
      <c r="I39" s="31" t="str">
        <f aca="false">IF($B39="","",$D39*MIN(E$15,1)*$E39+$D39*MAX(0,E$15-1)*$E39*Forudsætninger!$C$24)</f>
        <v/>
      </c>
    </row>
    <row r="40" customFormat="false" ht="15" hidden="false" customHeight="false" outlineLevel="0" collapsed="false">
      <c r="B40" s="12" t="str">
        <f aca="false">IF(Kvotefordeling!$B$23="","",Kvotefordeling!$B$23)</f>
        <v/>
      </c>
      <c r="C40" s="48" t="str">
        <f aca="false">IF($B40="","",13-IF(N(Kvotefordeling!$C$23)&lt;1,1,Kvotefordeling!$C$23))</f>
        <v/>
      </c>
      <c r="D40" s="31" t="str">
        <f aca="false">IF($B40="","",Kvotefordeling!$S$23)</f>
        <v/>
      </c>
      <c r="E40" s="47" t="str">
        <f aca="false">IF($B40="","",IFERROR($C$6/Kvotefordeling!$F$23,0))</f>
        <v/>
      </c>
      <c r="F40" s="31" t="str">
        <f aca="false">IF($B40="","",Forudsætninger!$C$22*$C40)</f>
        <v/>
      </c>
      <c r="G40" s="31" t="str">
        <f aca="false">IF($B40="","",$D40*MIN(C$15,1)*$E40+$D40*MAX(0,C$15-1)*$E40*Forudsætninger!$C$24)</f>
        <v/>
      </c>
      <c r="H40" s="31" t="str">
        <f aca="false">IF($B40="","",$D40*MIN(D$15,1)*$E40+$D40*MAX(0,D$15-1)*$E40*Forudsætninger!$C$24)</f>
        <v/>
      </c>
      <c r="I40" s="31" t="str">
        <f aca="false">IF($B40="","",$D40*MIN(E$15,1)*$E40+$D40*MAX(0,E$15-1)*$E40*Forudsætninger!$C$24)</f>
        <v/>
      </c>
    </row>
    <row r="41" customFormat="false" ht="15" hidden="false" customHeight="false" outlineLevel="0" collapsed="false">
      <c r="B41" s="12" t="str">
        <f aca="false">IF(Kvotefordeling!$B$24="","",Kvotefordeling!$B$24)</f>
        <v/>
      </c>
      <c r="C41" s="48" t="str">
        <f aca="false">IF($B41="","",13-IF(N(Kvotefordeling!$C$24)&lt;1,1,Kvotefordeling!$C$24))</f>
        <v/>
      </c>
      <c r="D41" s="31" t="str">
        <f aca="false">IF($B41="","",Kvotefordeling!$S$24)</f>
        <v/>
      </c>
      <c r="E41" s="47" t="str">
        <f aca="false">IF($B41="","",IFERROR($C$6/Kvotefordeling!$F$24,0))</f>
        <v/>
      </c>
      <c r="F41" s="31" t="str">
        <f aca="false">IF($B41="","",Forudsætninger!$C$22*$C41)</f>
        <v/>
      </c>
      <c r="G41" s="31" t="str">
        <f aca="false">IF($B41="","",$D41*MIN(C$15,1)*$E41+$D41*MAX(0,C$15-1)*$E41*Forudsætninger!$C$24)</f>
        <v/>
      </c>
      <c r="H41" s="31" t="str">
        <f aca="false">IF($B41="","",$D41*MIN(D$15,1)*$E41+$D41*MAX(0,D$15-1)*$E41*Forudsætninger!$C$24)</f>
        <v/>
      </c>
      <c r="I41" s="31" t="str">
        <f aca="false">IF($B41="","",$D41*MIN(E$15,1)*$E41+$D41*MAX(0,E$15-1)*$E41*Forudsætninger!$C$24)</f>
        <v/>
      </c>
    </row>
    <row r="42" customFormat="false" ht="15" hidden="false" customHeight="false" outlineLevel="0" collapsed="false">
      <c r="B42" s="12" t="str">
        <f aca="false">IF(Kvotefordeling!$B$25="","",Kvotefordeling!$B$25)</f>
        <v/>
      </c>
      <c r="C42" s="48" t="str">
        <f aca="false">IF($B42="","",13-IF(N(Kvotefordeling!$C$25)&lt;1,1,Kvotefordeling!$C$25))</f>
        <v/>
      </c>
      <c r="D42" s="31" t="str">
        <f aca="false">IF($B42="","",Kvotefordeling!$S$25)</f>
        <v/>
      </c>
      <c r="E42" s="47" t="str">
        <f aca="false">IF($B42="","",IFERROR($C$6/Kvotefordeling!$F$25,0))</f>
        <v/>
      </c>
      <c r="F42" s="31" t="str">
        <f aca="false">IF($B42="","",Forudsætninger!$C$22*$C42)</f>
        <v/>
      </c>
      <c r="G42" s="31" t="str">
        <f aca="false">IF($B42="","",$D42*MIN(C$15,1)*$E42+$D42*MAX(0,C$15-1)*$E42*Forudsætninger!$C$24)</f>
        <v/>
      </c>
      <c r="H42" s="31" t="str">
        <f aca="false">IF($B42="","",$D42*MIN(D$15,1)*$E42+$D42*MAX(0,D$15-1)*$E42*Forudsætninger!$C$24)</f>
        <v/>
      </c>
      <c r="I42" s="31" t="str">
        <f aca="false">IF($B42="","",$D42*MIN(E$15,1)*$E42+$D42*MAX(0,E$15-1)*$E42*Forudsætninger!$C$24)</f>
        <v/>
      </c>
    </row>
    <row r="43" customFormat="false" ht="15" hidden="false" customHeight="false" outlineLevel="0" collapsed="false">
      <c r="B43" s="12" t="str">
        <f aca="false">IF(Kvotefordeling!$B$26="","",Kvotefordeling!$B$26)</f>
        <v/>
      </c>
      <c r="C43" s="48" t="str">
        <f aca="false">IF($B43="","",13-IF(N(Kvotefordeling!$C$26)&lt;1,1,Kvotefordeling!$C$26))</f>
        <v/>
      </c>
      <c r="D43" s="31" t="str">
        <f aca="false">IF($B43="","",Kvotefordeling!$S$26)</f>
        <v/>
      </c>
      <c r="E43" s="47" t="str">
        <f aca="false">IF($B43="","",IFERROR($C$6/Kvotefordeling!$F$26,0))</f>
        <v/>
      </c>
      <c r="F43" s="31" t="str">
        <f aca="false">IF($B43="","",Forudsætninger!$C$22*$C43)</f>
        <v/>
      </c>
      <c r="G43" s="31" t="str">
        <f aca="false">IF($B43="","",$D43*MIN(C$15,1)*$E43+$D43*MAX(0,C$15-1)*$E43*Forudsætninger!$C$24)</f>
        <v/>
      </c>
      <c r="H43" s="31" t="str">
        <f aca="false">IF($B43="","",$D43*MIN(D$15,1)*$E43+$D43*MAX(0,D$15-1)*$E43*Forudsætninger!$C$24)</f>
        <v/>
      </c>
      <c r="I43" s="31" t="str">
        <f aca="false">IF($B43="","",$D43*MIN(E$15,1)*$E43+$D43*MAX(0,E$15-1)*$E43*Forudsætninger!$C$24)</f>
        <v/>
      </c>
    </row>
    <row r="44" customFormat="false" ht="15" hidden="false" customHeight="false" outlineLevel="0" collapsed="false">
      <c r="B44" s="43" t="s">
        <v>99</v>
      </c>
      <c r="C44" s="44"/>
      <c r="D44" s="33" t="n">
        <f aca="false">SUM(D24:D43)</f>
        <v>27630000</v>
      </c>
      <c r="E44" s="44"/>
      <c r="F44" s="33" t="n">
        <f aca="false">SUM(F24:F43)</f>
        <v>4872000</v>
      </c>
      <c r="G44" s="33" t="n">
        <f aca="false">SUM(G24:G43)</f>
        <v>1591488</v>
      </c>
      <c r="H44" s="33" t="n">
        <f aca="false">SUM(H24:H43)</f>
        <v>1989360</v>
      </c>
      <c r="I44" s="33" t="n">
        <f aca="false">SUM(I24:I43)</f>
        <v>2586168</v>
      </c>
    </row>
  </sheetData>
  <dataValidations count="1">
    <dataValidation allowBlank="false" errorStyle="stop" operator="between" showDropDown="false" showErrorMessage="false" showInputMessage="false" sqref="C15:E15" type="decimal">
      <formula1>0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&amp;C&amp;"Arial,Regular"&amp;8 &amp;Ka1a0bdprowi.io · Gratis skabelon fra Prowi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5" min="3" style="0" width="17"/>
    <col collapsed="false" customWidth="true" hidden="false" outlineLevel="0" max="6" min="6" style="0" width="3"/>
  </cols>
  <sheetData>
    <row r="1" customFormat="false" ht="39.75" hidden="false" customHeight="true" outlineLevel="0" collapsed="false">
      <c r="E1" s="1" t="s">
        <v>206</v>
      </c>
    </row>
    <row r="2" customFormat="false" ht="36" hidden="false" customHeight="true" outlineLevel="0" collapsed="false">
      <c r="B2" s="49" t="s">
        <v>1</v>
      </c>
    </row>
    <row r="3" customFormat="false" ht="24" hidden="false" customHeight="true" outlineLevel="0" collapsed="false">
      <c r="B3" s="50" t="str">
        <f aca="false">"Budgetår "&amp;Forudsætninger!$C$6</f>
        <v>Budgetår 2026</v>
      </c>
      <c r="C3" s="51"/>
      <c r="D3" s="51"/>
      <c r="E3" s="51"/>
    </row>
    <row r="5" customFormat="false" ht="15" hidden="false" customHeight="false" outlineLevel="0" collapsed="false">
      <c r="B5" s="7" t="s">
        <v>207</v>
      </c>
    </row>
    <row r="6" customFormat="false" ht="15" hidden="false" customHeight="false" outlineLevel="0" collapsed="false">
      <c r="B6" s="52" t="s">
        <v>103</v>
      </c>
      <c r="C6" s="31" t="n">
        <f aca="false">Forudsætninger!$C$7</f>
        <v>24000000</v>
      </c>
    </row>
    <row r="7" customFormat="false" ht="15" hidden="false" customHeight="false" outlineLevel="0" collapsed="false">
      <c r="B7" s="52" t="s">
        <v>105</v>
      </c>
      <c r="C7" s="32" t="n">
        <f aca="false">Kapacitet!$C$6</f>
        <v>160</v>
      </c>
    </row>
    <row r="8" customFormat="false" ht="15" hidden="false" customHeight="false" outlineLevel="0" collapsed="false">
      <c r="B8" s="52" t="s">
        <v>208</v>
      </c>
      <c r="C8" s="32" t="n">
        <f aca="false">Kapacitet!$C$7</f>
        <v>640</v>
      </c>
    </row>
    <row r="9" customFormat="false" ht="15" hidden="false" customHeight="false" outlineLevel="0" collapsed="false">
      <c r="B9" s="52" t="s">
        <v>109</v>
      </c>
      <c r="C9" s="31" t="n">
        <f aca="false">Kapacitet!$C$8</f>
        <v>96000000</v>
      </c>
    </row>
    <row r="10" customFormat="false" ht="15" hidden="false" customHeight="false" outlineLevel="0" collapsed="false">
      <c r="B10" s="52" t="s">
        <v>111</v>
      </c>
      <c r="C10" s="34" t="n">
        <f aca="false">Kapacitet!$C$9</f>
        <v>4</v>
      </c>
    </row>
    <row r="11" customFormat="false" ht="15" hidden="false" customHeight="false" outlineLevel="0" collapsed="false">
      <c r="B11" s="43" t="s">
        <v>209</v>
      </c>
      <c r="C11" s="28" t="n">
        <f aca="false">Kapacitet!$C$19</f>
        <v>10</v>
      </c>
    </row>
    <row r="12" customFormat="false" ht="15" hidden="false" customHeight="false" outlineLevel="0" collapsed="false">
      <c r="B12" s="52" t="s">
        <v>210</v>
      </c>
      <c r="C12" s="35" t="n">
        <f aca="false">Kapacitet!$C$26</f>
        <v>10</v>
      </c>
    </row>
    <row r="13" customFormat="false" ht="15" hidden="false" customHeight="false" outlineLevel="0" collapsed="false">
      <c r="B13" s="52" t="s">
        <v>211</v>
      </c>
      <c r="C13" s="32" t="n">
        <f aca="false">Kapacitet!$C$23</f>
        <v>4.5</v>
      </c>
    </row>
    <row r="14" customFormat="false" ht="15" hidden="false" customHeight="false" outlineLevel="0" collapsed="false">
      <c r="B14" s="52" t="s">
        <v>212</v>
      </c>
      <c r="C14" s="31" t="n">
        <f aca="false">Kvotefordeling!$S$27</f>
        <v>27630000</v>
      </c>
    </row>
    <row r="15" customFormat="false" ht="15" hidden="false" customHeight="false" outlineLevel="0" collapsed="false">
      <c r="B15" s="52" t="s">
        <v>175</v>
      </c>
      <c r="C15" s="27" t="n">
        <f aca="false">IFERROR(C14/C6,0)</f>
        <v>1.15125</v>
      </c>
    </row>
    <row r="16" customFormat="false" ht="23.85" hidden="false" customHeight="false" outlineLevel="0" collapsed="false">
      <c r="B16" s="43" t="s">
        <v>213</v>
      </c>
      <c r="C16" s="33" t="n">
        <f aca="false">C14*Forudsætninger!$C$15</f>
        <v>24867000</v>
      </c>
    </row>
    <row r="17" customFormat="false" ht="15" hidden="false" customHeight="false" outlineLevel="0" collapsed="false">
      <c r="B17" s="52" t="s">
        <v>214</v>
      </c>
      <c r="C17" s="53" t="n">
        <f aca="false">C16-C6</f>
        <v>867000</v>
      </c>
    </row>
    <row r="19" customFormat="false" ht="15" hidden="false" customHeight="false" outlineLevel="0" collapsed="false">
      <c r="B19" s="7" t="s">
        <v>215</v>
      </c>
    </row>
    <row r="20" customFormat="false" ht="21.75" hidden="false" customHeight="true" outlineLevel="0" collapsed="false">
      <c r="B20" s="25"/>
      <c r="C20" s="25" t="s">
        <v>190</v>
      </c>
      <c r="D20" s="25" t="s">
        <v>191</v>
      </c>
      <c r="E20" s="25" t="s">
        <v>192</v>
      </c>
    </row>
    <row r="21" customFormat="false" ht="15" hidden="false" customHeight="false" outlineLevel="0" collapsed="false">
      <c r="B21" s="52" t="s">
        <v>193</v>
      </c>
      <c r="C21" s="27" t="n">
        <f aca="false">'OTE og provision'!C$15</f>
        <v>0.8</v>
      </c>
      <c r="D21" s="27" t="n">
        <f aca="false">'OTE og provision'!D$15</f>
        <v>1</v>
      </c>
      <c r="E21" s="27" t="n">
        <f aca="false">'OTE og provision'!E$15</f>
        <v>1.2</v>
      </c>
    </row>
    <row r="22" customFormat="false" ht="15" hidden="false" customHeight="false" outlineLevel="0" collapsed="false">
      <c r="B22" s="52" t="s">
        <v>216</v>
      </c>
      <c r="C22" s="31" t="n">
        <f aca="false">$C$14*C21</f>
        <v>22104000</v>
      </c>
      <c r="D22" s="31" t="n">
        <f aca="false">$C$14*D21</f>
        <v>27630000</v>
      </c>
      <c r="E22" s="31" t="n">
        <f aca="false">$C$14*E21</f>
        <v>33156000</v>
      </c>
    </row>
    <row r="23" customFormat="false" ht="15" hidden="false" customHeight="false" outlineLevel="0" collapsed="false">
      <c r="B23" s="52" t="s">
        <v>217</v>
      </c>
      <c r="C23" s="31" t="n">
        <f aca="false">'OTE og provision'!$F$44</f>
        <v>4872000</v>
      </c>
      <c r="D23" s="31" t="n">
        <f aca="false">'OTE og provision'!$F$44</f>
        <v>4872000</v>
      </c>
      <c r="E23" s="31" t="n">
        <f aca="false">'OTE og provision'!$F$44</f>
        <v>4872000</v>
      </c>
    </row>
    <row r="24" customFormat="false" ht="15" hidden="false" customHeight="false" outlineLevel="0" collapsed="false">
      <c r="B24" s="52" t="s">
        <v>218</v>
      </c>
      <c r="C24" s="31" t="n">
        <f aca="false">'OTE og provision'!G$44</f>
        <v>1591488</v>
      </c>
      <c r="D24" s="31" t="n">
        <f aca="false">'OTE og provision'!H$44</f>
        <v>1989360</v>
      </c>
      <c r="E24" s="31" t="n">
        <f aca="false">'OTE og provision'!I$44</f>
        <v>2586168</v>
      </c>
    </row>
    <row r="25" customFormat="false" ht="15" hidden="false" customHeight="false" outlineLevel="0" collapsed="false">
      <c r="B25" s="52" t="s">
        <v>219</v>
      </c>
      <c r="C25" s="31" t="n">
        <f aca="false">(C23+C24)*Forudsætninger!$C$25</f>
        <v>646348.8</v>
      </c>
      <c r="D25" s="31" t="n">
        <f aca="false">(D23+D24)*Forudsætninger!$C$25</f>
        <v>686136</v>
      </c>
      <c r="E25" s="31" t="n">
        <f aca="false">(E23+E24)*Forudsætninger!$C$25</f>
        <v>745816.8</v>
      </c>
    </row>
    <row r="26" customFormat="false" ht="15" hidden="false" customHeight="false" outlineLevel="0" collapsed="false">
      <c r="B26" s="43" t="s">
        <v>220</v>
      </c>
      <c r="C26" s="33" t="n">
        <f aca="false">C23+C24+C25</f>
        <v>7109836.8</v>
      </c>
      <c r="D26" s="33" t="n">
        <f aca="false">D23+D24+D25</f>
        <v>7547496</v>
      </c>
      <c r="E26" s="33" t="n">
        <f aca="false">E23+E24+E25</f>
        <v>8203984.8</v>
      </c>
    </row>
    <row r="27" customFormat="false" ht="15" hidden="false" customHeight="false" outlineLevel="0" collapsed="false">
      <c r="B27" s="43" t="s">
        <v>221</v>
      </c>
      <c r="C27" s="29" t="n">
        <f aca="false">IFERROR(C26/C22,0)</f>
        <v>0.321653854505972</v>
      </c>
      <c r="D27" s="29" t="n">
        <f aca="false">IFERROR(D26/D22,0)</f>
        <v>0.273163083604777</v>
      </c>
      <c r="E27" s="29" t="n">
        <f aca="false">IFERROR(E26/E22,0)</f>
        <v>0.247435903003981</v>
      </c>
    </row>
    <row r="28" customFormat="false" ht="15" hidden="false" customHeight="false" outlineLevel="0" collapsed="false">
      <c r="B28" s="52" t="s">
        <v>222</v>
      </c>
      <c r="C28" s="27" t="n">
        <f aca="false">IFERROR(C24/C22,0)</f>
        <v>0.072</v>
      </c>
      <c r="D28" s="27" t="n">
        <f aca="false">IFERROR(D24/D22,0)</f>
        <v>0.072</v>
      </c>
      <c r="E28" s="27" t="n">
        <f aca="false">IFERROR(E24/E22,0)</f>
        <v>0.078</v>
      </c>
    </row>
    <row r="29" customFormat="false" ht="15" hidden="false" customHeight="false" outlineLevel="0" collapsed="false">
      <c r="B29" s="21" t="s">
        <v>223</v>
      </c>
    </row>
    <row r="31" customFormat="false" ht="15" hidden="false" customHeight="false" outlineLevel="0" collapsed="false">
      <c r="B31" s="7" t="s">
        <v>224</v>
      </c>
    </row>
    <row r="32" customFormat="false" ht="31.5" hidden="false" customHeight="true" outlineLevel="0" collapsed="false">
      <c r="B32" s="25" t="s">
        <v>83</v>
      </c>
      <c r="C32" s="25" t="s">
        <v>212</v>
      </c>
      <c r="D32" s="25" t="s">
        <v>225</v>
      </c>
      <c r="E32" s="25" t="s">
        <v>226</v>
      </c>
    </row>
    <row r="33" customFormat="false" ht="15" hidden="false" customHeight="false" outlineLevel="0" collapsed="false">
      <c r="B33" s="26" t="s">
        <v>86</v>
      </c>
      <c r="C33" s="31" t="n">
        <f aca="false">INDEX(Kvotefordeling!$G$27:$R$27,1)</f>
        <v>1575000</v>
      </c>
      <c r="D33" s="31" t="n">
        <f aca="false">IFERROR(INDEX(Kvotefordeling!$G$27:$R$27,MOD(1-1+Forudsætninger!$C$10,12)+1)/Forudsætninger!$C$9,0)</f>
        <v>8160000</v>
      </c>
      <c r="E33" s="32" t="n">
        <f aca="false">IFERROR(D33/Forudsætninger!$C$8,0)</f>
        <v>54.4</v>
      </c>
    </row>
    <row r="34" customFormat="false" ht="15" hidden="false" customHeight="false" outlineLevel="0" collapsed="false">
      <c r="B34" s="26" t="s">
        <v>87</v>
      </c>
      <c r="C34" s="31" t="n">
        <f aca="false">INDEX(Kvotefordeling!$G$27:$R$27,2)</f>
        <v>1920000</v>
      </c>
      <c r="D34" s="31" t="n">
        <f aca="false">IFERROR(INDEX(Kvotefordeling!$G$27:$R$27,MOD(2-1+Forudsætninger!$C$10,12)+1)/Forudsætninger!$C$9,0)</f>
        <v>9720000</v>
      </c>
      <c r="E34" s="32" t="n">
        <f aca="false">IFERROR(D34/Forudsætninger!$C$8,0)</f>
        <v>64.8</v>
      </c>
    </row>
    <row r="35" customFormat="false" ht="15" hidden="false" customHeight="false" outlineLevel="0" collapsed="false">
      <c r="B35" s="26" t="s">
        <v>88</v>
      </c>
      <c r="C35" s="31" t="n">
        <f aca="false">INDEX(Kvotefordeling!$G$27:$R$27,3)</f>
        <v>2160000</v>
      </c>
      <c r="D35" s="31" t="n">
        <f aca="false">IFERROR(INDEX(Kvotefordeling!$G$27:$R$27,MOD(3-1+Forudsætninger!$C$10,12)+1)/Forudsætninger!$C$9,0)</f>
        <v>10260000</v>
      </c>
      <c r="E35" s="32" t="n">
        <f aca="false">IFERROR(D35/Forudsætninger!$C$8,0)</f>
        <v>68.4</v>
      </c>
    </row>
    <row r="36" customFormat="false" ht="15" hidden="false" customHeight="false" outlineLevel="0" collapsed="false">
      <c r="B36" s="26" t="s">
        <v>89</v>
      </c>
      <c r="C36" s="31" t="n">
        <f aca="false">INDEX(Kvotefordeling!$G$27:$R$27,4)</f>
        <v>2040000</v>
      </c>
      <c r="D36" s="31" t="n">
        <f aca="false">IFERROR(INDEX(Kvotefordeling!$G$27:$R$27,MOD(4-1+Forudsætninger!$C$10,12)+1)/Forudsætninger!$C$9,0)</f>
        <v>4560000</v>
      </c>
      <c r="E36" s="32" t="n">
        <f aca="false">IFERROR(D36/Forudsætninger!$C$8,0)</f>
        <v>30.4</v>
      </c>
    </row>
    <row r="37" customFormat="false" ht="15" hidden="false" customHeight="false" outlineLevel="0" collapsed="false">
      <c r="B37" s="26" t="s">
        <v>90</v>
      </c>
      <c r="C37" s="31" t="n">
        <f aca="false">INDEX(Kvotefordeling!$G$27:$R$27,5)</f>
        <v>2430000</v>
      </c>
      <c r="D37" s="31" t="n">
        <f aca="false">IFERROR(INDEX(Kvotefordeling!$G$27:$R$27,MOD(5-1+Forudsætninger!$C$10,12)+1)/Forudsætninger!$C$9,0)</f>
        <v>8400000</v>
      </c>
      <c r="E37" s="32" t="n">
        <f aca="false">IFERROR(D37/Forudsætninger!$C$8,0)</f>
        <v>56</v>
      </c>
    </row>
    <row r="38" customFormat="false" ht="15" hidden="false" customHeight="false" outlineLevel="0" collapsed="false">
      <c r="B38" s="26" t="s">
        <v>92</v>
      </c>
      <c r="C38" s="31" t="n">
        <f aca="false">INDEX(Kvotefordeling!$G$27:$R$27,6)</f>
        <v>2565000</v>
      </c>
      <c r="D38" s="31" t="n">
        <f aca="false">IFERROR(INDEX(Kvotefordeling!$G$27:$R$27,MOD(6-1+Forudsætninger!$C$10,12)+1)/Forudsætninger!$C$9,0)</f>
        <v>10800000</v>
      </c>
      <c r="E38" s="32" t="n">
        <f aca="false">IFERROR(D38/Forudsætninger!$C$8,0)</f>
        <v>72</v>
      </c>
    </row>
    <row r="39" customFormat="false" ht="15" hidden="false" customHeight="false" outlineLevel="0" collapsed="false">
      <c r="B39" s="26" t="s">
        <v>93</v>
      </c>
      <c r="C39" s="31" t="n">
        <f aca="false">INDEX(Kvotefordeling!$G$27:$R$27,7)</f>
        <v>1140000</v>
      </c>
      <c r="D39" s="31" t="n">
        <f aca="false">IFERROR(INDEX(Kvotefordeling!$G$27:$R$27,MOD(7-1+Forudsætninger!$C$10,12)+1)/Forudsætninger!$C$9,0)</f>
        <v>10800000</v>
      </c>
      <c r="E39" s="32" t="n">
        <f aca="false">IFERROR(D39/Forudsætninger!$C$8,0)</f>
        <v>72</v>
      </c>
    </row>
    <row r="40" customFormat="false" ht="15" hidden="false" customHeight="false" outlineLevel="0" collapsed="false">
      <c r="B40" s="26" t="s">
        <v>94</v>
      </c>
      <c r="C40" s="31" t="n">
        <f aca="false">INDEX(Kvotefordeling!$G$27:$R$27,8)</f>
        <v>2100000</v>
      </c>
      <c r="D40" s="31" t="n">
        <f aca="false">IFERROR(INDEX(Kvotefordeling!$G$27:$R$27,MOD(8-1+Forudsætninger!$C$10,12)+1)/Forudsætninger!$C$9,0)</f>
        <v>12000000</v>
      </c>
      <c r="E40" s="32" t="n">
        <f aca="false">IFERROR(D40/Forudsætninger!$C$8,0)</f>
        <v>80</v>
      </c>
    </row>
    <row r="41" customFormat="false" ht="15" hidden="false" customHeight="false" outlineLevel="0" collapsed="false">
      <c r="B41" s="26" t="s">
        <v>95</v>
      </c>
      <c r="C41" s="31" t="n">
        <f aca="false">INDEX(Kvotefordeling!$G$27:$R$27,9)</f>
        <v>2700000</v>
      </c>
      <c r="D41" s="31" t="n">
        <f aca="false">IFERROR(INDEX(Kvotefordeling!$G$27:$R$27,MOD(9-1+Forudsætninger!$C$10,12)+1)/Forudsætninger!$C$9,0)</f>
        <v>13200000</v>
      </c>
      <c r="E41" s="32" t="n">
        <f aca="false">IFERROR(D41/Forudsætninger!$C$8,0)</f>
        <v>88</v>
      </c>
    </row>
    <row r="42" customFormat="false" ht="15" hidden="false" customHeight="false" outlineLevel="0" collapsed="false">
      <c r="B42" s="26" t="s">
        <v>96</v>
      </c>
      <c r="C42" s="31" t="n">
        <f aca="false">INDEX(Kvotefordeling!$G$27:$R$27,10)</f>
        <v>2700000</v>
      </c>
      <c r="D42" s="31" t="n">
        <f aca="false">IFERROR(INDEX(Kvotefordeling!$G$27:$R$27,MOD(10-1+Forudsætninger!$C$10,12)+1)/Forudsætninger!$C$9,0)</f>
        <v>6300000</v>
      </c>
      <c r="E42" s="32" t="n">
        <f aca="false">IFERROR(D42/Forudsætninger!$C$8,0)</f>
        <v>42</v>
      </c>
    </row>
    <row r="43" customFormat="false" ht="15" hidden="false" customHeight="false" outlineLevel="0" collapsed="false">
      <c r="B43" s="26" t="s">
        <v>97</v>
      </c>
      <c r="C43" s="31" t="n">
        <f aca="false">INDEX(Kvotefordeling!$G$27:$R$27,11)</f>
        <v>3000000</v>
      </c>
      <c r="D43" s="31" t="n">
        <f aca="false">IFERROR(INDEX(Kvotefordeling!$G$27:$R$27,MOD(11-1+Forudsætninger!$C$10,12)+1)/Forudsætninger!$C$9,0)</f>
        <v>7680000</v>
      </c>
      <c r="E43" s="32" t="n">
        <f aca="false">IFERROR(D43/Forudsætninger!$C$8,0)</f>
        <v>51.2</v>
      </c>
    </row>
    <row r="44" customFormat="false" ht="15" hidden="false" customHeight="false" outlineLevel="0" collapsed="false">
      <c r="B44" s="26" t="s">
        <v>98</v>
      </c>
      <c r="C44" s="31" t="n">
        <f aca="false">INDEX(Kvotefordeling!$G$27:$R$27,12)</f>
        <v>3300000</v>
      </c>
      <c r="D44" s="31" t="n">
        <f aca="false">IFERROR(INDEX(Kvotefordeling!$G$27:$R$27,MOD(12-1+Forudsætninger!$C$10,12)+1)/Forudsætninger!$C$9,0)</f>
        <v>8640000</v>
      </c>
      <c r="E44" s="32" t="n">
        <f aca="false">IFERROR(D44/Forudsætninger!$C$8,0)</f>
        <v>57.6</v>
      </c>
    </row>
    <row r="45" customFormat="false" ht="15" hidden="false" customHeight="false" outlineLevel="0" collapsed="false">
      <c r="B45" s="43" t="s">
        <v>99</v>
      </c>
      <c r="C45" s="33" t="n">
        <f aca="false">SUM(C33:C44)</f>
        <v>27630000</v>
      </c>
      <c r="D45" s="33" t="n">
        <f aca="false">SUM(D33:D44)</f>
        <v>110520000</v>
      </c>
      <c r="E45" s="54" t="n">
        <f aca="false">SUM(E33:E44)</f>
        <v>736.8</v>
      </c>
    </row>
    <row r="46" customFormat="false" ht="25.5" hidden="false" customHeight="true" outlineLevel="0" collapsed="false">
      <c r="B46" s="55" t="s">
        <v>227</v>
      </c>
      <c r="C46" s="55"/>
      <c r="D46" s="55"/>
      <c r="E46" s="55"/>
    </row>
    <row r="48" customFormat="false" ht="15" hidden="false" customHeight="false" outlineLevel="0" collapsed="false">
      <c r="B48" s="16" t="s">
        <v>43</v>
      </c>
    </row>
  </sheetData>
  <mergeCells count="1">
    <mergeCell ref="B46:E46"/>
  </mergeCells>
  <conditionalFormatting sqref="C17">
    <cfRule type="cellIs" priority="2" operator="lessThan" aboveAverage="0" equalAverage="0" bottom="0" percent="0" rank="0" text="" dxfId="0">
      <formula>0</formula>
    </cfRule>
  </conditionalFormatting>
  <hyperlinks>
    <hyperlink ref="B48" r:id="rId1" display="prowi.io · Gratis skabelon fra Prowi"/>
  </hyperlinks>
  <printOptions headings="false" gridLines="false" gridLinesSet="true" horizontalCentered="false" verticalCentered="false"/>
  <pageMargins left="0.5" right="0.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&amp;C&amp;"Arial,Regular"&amp;8 &amp;Ka1a0bdprowi.io · Gratis skabelon fra Prowi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2026-10-28T06:29:57Z</dcterms:created>
  <dc:creator>Prowi</dc:creator>
  <dc:description/>
  <dc:language>da-DK</dc:language>
  <cp:lastModifiedBy/>
  <dcterms:modified xsi:type="dcterms:W3CDTF">2026-10-28T06:29:57Z</dcterms:modified>
  <cp:revision>0</cp:revision>
  <dc:subject/>
  <dc:title>Salgsbudget (skabelon)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