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Settings" sheetId="2" state="visible" r:id="rId4"/>
    <sheet name="Sales" sheetId="3" state="visible" r:id="rId5"/>
    <sheet name="Calculation" sheetId="4" state="visible" r:id="rId6"/>
    <sheet name="Payroll" sheetId="5" state="visible" r:id="rId7"/>
    <sheet name="Statement" sheetId="6" state="visible" r:id="rId8"/>
  </sheets>
  <definedNames>
    <definedName function="false" hidden="false" localSheetId="3" name="_xlnm.Print_Titles" vbProcedure="false">Calculation!$5:$5</definedName>
    <definedName function="false" hidden="true" localSheetId="3" name="_xlnm._FilterDatabase" vbProcedure="false">Calculation!$A$5:$U$125</definedName>
    <definedName function="false" hidden="false" localSheetId="0" name="_xlnm.Print_Area" vbProcedure="false">Instructions!$A$1:$D$41</definedName>
    <definedName function="false" hidden="false" localSheetId="2" name="_xlnm.Print_Area" vbProcedure="false">Sales!$A$1:$O$304</definedName>
    <definedName function="false" hidden="false" localSheetId="2" name="_xlnm.Print_Titles" vbProcedure="false">Sales!$4:$4</definedName>
    <definedName function="false" hidden="true" localSheetId="2" name="_xlnm._FilterDatabase" vbProcedure="false">Sales!$A$4:$O$304</definedName>
    <definedName function="false" hidden="false" localSheetId="1" name="_xlnm.Print_Area" vbProcedure="false">Settings!$B$2:$N$30</definedName>
    <definedName function="false" hidden="false" localSheetId="5" name="_xlnm.Print_Area" vbProcedure="false">Statement!$B$1:$G$64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<sst xmlns="http://schemas.openxmlformats.org/spreadsheetml/2006/main" count="328" uniqueCount="210">
  <si>
    <t xml:space="preserve">Free template from Prowi</t>
  </si>
  <si>
    <t xml:space="preserve">Commission template</t>
  </si>
  <si>
    <t xml:space="preserve">How to use the workbook</t>
  </si>
  <si>
    <t xml:space="preserve">The workbook calculates commission per rep per month from your sales, and produces a payroll file and a statement you can give the rep. It contains example data for 3 reps and 20 deals, so you can see how it works before you enter your own numbers. Amounts are plain numbers in your currency; the example uses DKK.</t>
  </si>
  <si>
    <t xml:space="preserve">Step by step</t>
  </si>
  <si>
    <t xml:space="preserve">1. Settings</t>
  </si>
  <si>
    <t xml:space="preserve">Pick the year and the payroll month. Enter the reps (up to 10) and choose model, basis, quota, rates and any cap for each. The pay code for the payroll file also goes here.</t>
  </si>
  <si>
    <t xml:space="preserve">2. Sales</t>
  </si>
  <si>
    <t xml:space="preserve">One row per deal: date, rep, customer, deal ID, amount, gross margin (only needed if commission is paid on margin), status and clawback. The grey columns on the right are calculated.</t>
  </si>
  <si>
    <t xml:space="preserve">3. Calculation</t>
  </si>
  <si>
    <t xml:space="preserve">Shows for each rep and month: sales, attainment, commission under the model, accelerator amount, cap, clawbacks and final commission. You do not type anything here.</t>
  </si>
  <si>
    <t xml:space="preserve">4. Payroll</t>
  </si>
  <si>
    <t xml:space="preserve">One line per rep for the payroll month with pay code and amount. Enter it or import it into your payroll system.</t>
  </si>
  <si>
    <t xml:space="preserve">5. Statement</t>
  </si>
  <si>
    <t xml:space="preserve">Pick a rep and a month in the lavender cells. The sheet is set up to print on one A4 page and can be sent to the rep as a PDF.</t>
  </si>
  <si>
    <t xml:space="preserve">6. New month</t>
  </si>
  <si>
    <t xml:space="preserve">Add the month's deals in Sales, change the payroll month in Settings, check Calculation, and send the payroll file and statements. Save a copy of the file each month so you can document what was paid.</t>
  </si>
  <si>
    <t xml:space="preserve">Colours</t>
  </si>
  <si>
    <t xml:space="preserve">Lavender cell, purple text</t>
  </si>
  <si>
    <t xml:space="preserve">This is where you type. Everything else is formulas.</t>
  </si>
  <si>
    <t xml:space="preserve">Grey cell</t>
  </si>
  <si>
    <t xml:space="preserve">Calculated automatically. Leave the formulas alone unless you know what you are changing.</t>
  </si>
  <si>
    <t xml:space="preserve">Light blue cell</t>
  </si>
  <si>
    <t xml:space="preserve">Final commission and totals.</t>
  </si>
  <si>
    <t xml:space="preserve">How the workbook calculates</t>
  </si>
  <si>
    <t xml:space="preserve">Flat rate</t>
  </si>
  <si>
    <t xml:space="preserve">Commission = basis × rate. Example: 6% of revenue.</t>
  </si>
  <si>
    <t xml:space="preserve">Tiered</t>
  </si>
  <si>
    <t xml:space="preserve">Three tiers, calculated marginally: each unit of currency earns the rate of the tier it falls in. Tier 1 runs from 0 to limit 1, tier 2 from limit 1 to limit 2, and tier 3 is everything above limit 2. The limits apply per month.</t>
  </si>
  <si>
    <t xml:space="preserve">Accelerator</t>
  </si>
  <si>
    <t xml:space="preserve">A base rate up to the monthly quota and a higher accelerator rate on everything above quota. The accelerator amount is shown in its own column.</t>
  </si>
  <si>
    <t xml:space="preserve">Basis</t>
  </si>
  <si>
    <t xml:space="preserve">Choose per rep whether commission is paid on revenue (Amount) or gross margin. Quota and tier limits are entered in the same basis.</t>
  </si>
  <si>
    <t xml:space="preserve">Attainment</t>
  </si>
  <si>
    <t xml:space="preserve">Basis in the month divided by the monthly quota.</t>
  </si>
  <si>
    <t xml:space="preserve">Cap</t>
  </si>
  <si>
    <t xml:space="preserve">Maximum commission per month (before clawbacks). An empty cell means no cap.</t>
  </si>
  <si>
    <t xml:space="preserve">Status and clawback</t>
  </si>
  <si>
    <t xml:space="preserve">Won: the deal counts in the month it was sold. Cancelled + Clawback = No: the deal was cancelled before commission was paid and does not count. Cancelled + Clawback = Yes: commission was paid, so the deal stays in its original month, and the commission is deducted in the month given in Cancelled date.</t>
  </si>
  <si>
    <t xml:space="preserve">Clawback amount</t>
  </si>
  <si>
    <t xml:space="preserve">The basis of the cancelled deal × the rep's effective commission rate in the month the deal originally counted in. If the deal was from an earlier year, the rep's flat rate/base rate or tier 1 rate is used.</t>
  </si>
  <si>
    <t xml:space="preserve">Offsetting</t>
  </si>
  <si>
    <t xml:space="preserve">Clawbacks are only offset against later commission. If a clawback is larger than the month's commission, the rest carries to the next month, so commission never turns negative in the workbook.</t>
  </si>
  <si>
    <t xml:space="preserve">Effective rate</t>
  </si>
  <si>
    <t xml:space="preserve">Final commission before clawbacks divided by the basis. Used for clawbacks and to split commission per deal on the statement.</t>
  </si>
  <si>
    <t xml:space="preserve">Good to know</t>
  </si>
  <si>
    <t xml:space="preserve">•</t>
  </si>
  <si>
    <t xml:space="preserve">The workbook covers one calendar year and up to 10 reps and 300 deals. Use a new copy each year.</t>
  </si>
  <si>
    <t xml:space="preserve">The calculation is a starting point. Check that it matches your commission agreement before you pay. Special rules for holiday, sickness, splits and draws are not included.</t>
  </si>
  <si>
    <t xml:space="preserve">The pay code differs between payroll systems. Find it in your payroll system or ask your payroll provider.</t>
  </si>
  <si>
    <t xml:space="preserve">No macros. Every calculation is an ordinary formula that works in Excel, Google Sheets, Numbers and LibreOffice.</t>
  </si>
  <si>
    <t xml:space="preserve">prowi.io · Free template from Prowi</t>
  </si>
  <si>
    <t xml:space="preserve">Settings</t>
  </si>
  <si>
    <t xml:space="preserve">Year</t>
  </si>
  <si>
    <t xml:space="preserve">The calendar year the workbook covers.</t>
  </si>
  <si>
    <t xml:space="preserve">Payroll month</t>
  </si>
  <si>
    <t xml:space="preserve">March</t>
  </si>
  <si>
    <t xml:space="preserve">The month the payroll file is made for. The statement uses the same month unless you pick another.</t>
  </si>
  <si>
    <t xml:space="preserve">Payroll month no.</t>
  </si>
  <si>
    <t xml:space="preserve">Calculated automatically.</t>
  </si>
  <si>
    <t xml:space="preserve">Pay code for commission</t>
  </si>
  <si>
    <t xml:space="preserve">The pay code comes from your payroll system (for example Danløn, Dataløn, Lessor or Zenegy). Enter it here and it appears in the payroll file.</t>
  </si>
  <si>
    <t xml:space="preserve">Company</t>
  </si>
  <si>
    <t xml:space="preserve">Example ApS</t>
  </si>
  <si>
    <t xml:space="preserve">Shown on the statement.</t>
  </si>
  <si>
    <t xml:space="preserve">Reps and commission model (one row per rep)</t>
  </si>
  <si>
    <t xml:space="preserve">Lists (used by formulas and drop-downs)</t>
  </si>
  <si>
    <t xml:space="preserve">Rep</t>
  </si>
  <si>
    <t xml:space="preserve">Employee no.</t>
  </si>
  <si>
    <t xml:space="preserve">Model</t>
  </si>
  <si>
    <t xml:space="preserve">Monthly quota</t>
  </si>
  <si>
    <t xml:space="preserve">Flat rate / base rate</t>
  </si>
  <si>
    <t xml:space="preserve">Tier 1 up to</t>
  </si>
  <si>
    <t xml:space="preserve">Tier 1 rate</t>
  </si>
  <si>
    <t xml:space="preserve">Tier 2 up to</t>
  </si>
  <si>
    <t xml:space="preserve">Tier 2 rate</t>
  </si>
  <si>
    <t xml:space="preserve">Tier 3 rate (above tier 2)</t>
  </si>
  <si>
    <t xml:space="preserve">Accelerator rate above quota</t>
  </si>
  <si>
    <t xml:space="preserve">Cap per month</t>
  </si>
  <si>
    <t xml:space="preserve">Months</t>
  </si>
  <si>
    <t xml:space="preserve">Models</t>
  </si>
  <si>
    <t xml:space="preserve">Status</t>
  </si>
  <si>
    <t xml:space="preserve">Yes/No</t>
  </si>
  <si>
    <t xml:space="preserve">Anna Holm</t>
  </si>
  <si>
    <t xml:space="preserve">Revenue</t>
  </si>
  <si>
    <t xml:space="preserve">January</t>
  </si>
  <si>
    <t xml:space="preserve">Won</t>
  </si>
  <si>
    <t xml:space="preserve">Yes</t>
  </si>
  <si>
    <t xml:space="preserve">Bo Jensen</t>
  </si>
  <si>
    <t xml:space="preserve">February</t>
  </si>
  <si>
    <t xml:space="preserve">Gross margin</t>
  </si>
  <si>
    <t xml:space="preserve">Cancelled</t>
  </si>
  <si>
    <t xml:space="preserve">No</t>
  </si>
  <si>
    <t xml:space="preserve">Camilla Nørgaard</t>
  </si>
  <si>
    <t xml:space="preserve">April</t>
  </si>
  <si>
    <t xml:space="preserve">May</t>
  </si>
  <si>
    <t xml:space="preserve">June</t>
  </si>
  <si>
    <t xml:space="preserve">July</t>
  </si>
  <si>
    <t xml:space="preserve">August</t>
  </si>
  <si>
    <t xml:space="preserve">September</t>
  </si>
  <si>
    <t xml:space="preserve">October</t>
  </si>
  <si>
    <t xml:space="preserve">November</t>
  </si>
  <si>
    <t xml:space="preserve">Which fields does each model use?</t>
  </si>
  <si>
    <t xml:space="preserve">December</t>
  </si>
  <si>
    <t xml:space="preserve">Flat rate / base rate. Quota is only used to show attainment.</t>
  </si>
  <si>
    <t xml:space="preserve">Tier 1 up to, tier 1 rate, tier 2 up to, tier 2 rate and tier 3 rate. The limits are per month, in the same basis as the commission.</t>
  </si>
  <si>
    <t xml:space="preserve">Monthly quota, flat rate / base rate (up to quota) and accelerator rate (above quota).</t>
  </si>
  <si>
    <t xml:space="preserve">All models</t>
  </si>
  <si>
    <t xml:space="preserve">The cap is optional. Enter rates as percentages, for example 6%. Quota and limits are amounts.</t>
  </si>
  <si>
    <t xml:space="preserve">Sales: one row per deal</t>
  </si>
  <si>
    <t xml:space="preserve">Type in the lavender columns A-I. The grey columns J-O are calculated. Only fill in Cancelled date for a clawback (Status = Cancelled and Clawback = Yes).</t>
  </si>
  <si>
    <t xml:space="preserve">Date</t>
  </si>
  <si>
    <t xml:space="preserve">Customer</t>
  </si>
  <si>
    <t xml:space="preserve">Deal ID</t>
  </si>
  <si>
    <t xml:space="preserve">Amount</t>
  </si>
  <si>
    <t xml:space="preserve">Clawback</t>
  </si>
  <si>
    <t xml:space="preserve">Cancelled date</t>
  </si>
  <si>
    <t xml:space="preserve">Month</t>
  </si>
  <si>
    <t xml:space="preserve">Counts in sales</t>
  </si>
  <si>
    <t xml:space="preserve">Clawback month</t>
  </si>
  <si>
    <t xml:space="preserve">Stmt match</t>
  </si>
  <si>
    <t xml:space="preserve">Stmt no.</t>
  </si>
  <si>
    <t xml:space="preserve">Stmt clawback match</t>
  </si>
  <si>
    <t xml:space="preserve">Stmt clawback no.</t>
  </si>
  <si>
    <t xml:space="preserve">Nordlys ApS</t>
  </si>
  <si>
    <t xml:space="preserve">D-1001</t>
  </si>
  <si>
    <t xml:space="preserve">Fjordtech A/S</t>
  </si>
  <si>
    <t xml:space="preserve">D-1002</t>
  </si>
  <si>
    <t xml:space="preserve">Grønvang Engros</t>
  </si>
  <si>
    <t xml:space="preserve">D-1003</t>
  </si>
  <si>
    <t xml:space="preserve">Kystlinjen ApS</t>
  </si>
  <si>
    <t xml:space="preserve">D-1004</t>
  </si>
  <si>
    <t xml:space="preserve">Hede Logistik ApS</t>
  </si>
  <si>
    <t xml:space="preserve">D-1005</t>
  </si>
  <si>
    <t xml:space="preserve">Bakke &amp; Søn A/S</t>
  </si>
  <si>
    <t xml:space="preserve">D-1006</t>
  </si>
  <si>
    <t xml:space="preserve">Søndergaard Revision</t>
  </si>
  <si>
    <t xml:space="preserve">D-1007</t>
  </si>
  <si>
    <t xml:space="preserve">Vestkyst Byg A/S</t>
  </si>
  <si>
    <t xml:space="preserve">D-1008</t>
  </si>
  <si>
    <t xml:space="preserve">Lindholm Foods ApS</t>
  </si>
  <si>
    <t xml:space="preserve">D-1009</t>
  </si>
  <si>
    <t xml:space="preserve">Østergade Optik</t>
  </si>
  <si>
    <t xml:space="preserve">D-1010</t>
  </si>
  <si>
    <t xml:space="preserve">Mølleparken Ejendomme</t>
  </si>
  <si>
    <t xml:space="preserve">D-1011</t>
  </si>
  <si>
    <t xml:space="preserve">Havnens Fisk ApS</t>
  </si>
  <si>
    <t xml:space="preserve">D-1012</t>
  </si>
  <si>
    <t xml:space="preserve">Birkely Tandklinik</t>
  </si>
  <si>
    <t xml:space="preserve">D-1013</t>
  </si>
  <si>
    <t xml:space="preserve">Skovgaard Maskiner A/S</t>
  </si>
  <si>
    <t xml:space="preserve">D-1014</t>
  </si>
  <si>
    <t xml:space="preserve">Nordhavn Kaffe</t>
  </si>
  <si>
    <t xml:space="preserve">D-1015</t>
  </si>
  <si>
    <t xml:space="preserve">Rosenhøj Boliger</t>
  </si>
  <si>
    <t xml:space="preserve">D-1016</t>
  </si>
  <si>
    <t xml:space="preserve">Aros Elektro ApS</t>
  </si>
  <si>
    <t xml:space="preserve">D-1017</t>
  </si>
  <si>
    <t xml:space="preserve">Kildebakken Gartneri</t>
  </si>
  <si>
    <t xml:space="preserve">D-1018</t>
  </si>
  <si>
    <t xml:space="preserve">Fyrtårnet Event ApS</t>
  </si>
  <si>
    <t xml:space="preserve">D-1019</t>
  </si>
  <si>
    <t xml:space="preserve">Dalgaard Transport</t>
  </si>
  <si>
    <t xml:space="preserve">D-1020</t>
  </si>
  <si>
    <t xml:space="preserve">Calculation per rep per month</t>
  </si>
  <si>
    <t xml:space="preserve">Everything on this sheet is formulas. Empty rep rows in Settings give empty rows here. Use the filter in the header to see one rep or one month.</t>
  </si>
  <si>
    <t xml:space="preserve">Order: commission under the model → cap → clawback offset → final commission.</t>
  </si>
  <si>
    <t xml:space="preserve">Month no.</t>
  </si>
  <si>
    <t xml:space="preserve">Sales, revenue</t>
  </si>
  <si>
    <t xml:space="preserve">Quota</t>
  </si>
  <si>
    <t xml:space="preserve">Commission flat rate</t>
  </si>
  <si>
    <t xml:space="preserve">Commission tiered</t>
  </si>
  <si>
    <t xml:space="preserve">Commission base up to quota</t>
  </si>
  <si>
    <t xml:space="preserve">Accelerator amount above quota</t>
  </si>
  <si>
    <t xml:space="preserve">Commission before cap</t>
  </si>
  <si>
    <t xml:space="preserve">Commission after cap</t>
  </si>
  <si>
    <t xml:space="preserve">Clawback in month</t>
  </si>
  <si>
    <t xml:space="preserve">Clawback carried in</t>
  </si>
  <si>
    <t xml:space="preserve">Clawback offset</t>
  </si>
  <si>
    <t xml:space="preserve">Clawback to next month</t>
  </si>
  <si>
    <t xml:space="preserve">Final commission</t>
  </si>
  <si>
    <t xml:space="preserve">Payroll file: commission for the payroll system</t>
  </si>
  <si>
    <t xml:space="preserve">The pay code comes from your payroll system. Enter it in Settings (cell C7). Columns A-E can be typed or copied into the payroll system's import. If the system needs a CSV file, copy the table to an empty sheet and save it as CSV.</t>
  </si>
  <si>
    <t xml:space="preserve">Check with your payroll system or provider how the pay code is set up (tax, labour market contribution, pension and holiday pay).</t>
  </si>
  <si>
    <t xml:space="preserve">Name</t>
  </si>
  <si>
    <t xml:space="preserve">Pay code</t>
  </si>
  <si>
    <t xml:space="preserve">Description</t>
  </si>
  <si>
    <t xml:space="preserve">Commission month</t>
  </si>
  <si>
    <t xml:space="preserve">Total</t>
  </si>
  <si>
    <t xml:space="preserve">The amounts are final commission after cap and clawbacks. Approve them before they go to the payroll system.</t>
  </si>
  <si>
    <t xml:space="preserve">prowi.io</t>
  </si>
  <si>
    <t xml:space="preserve">Commission statement</t>
  </si>
  <si>
    <t xml:space="preserve">Pick rep and month in the lavender cells.</t>
  </si>
  <si>
    <t xml:space="preserve">Helper cells (not printed)</t>
  </si>
  <si>
    <t xml:space="preserve">Row in Calculation</t>
  </si>
  <si>
    <t xml:space="preserve">Summary</t>
  </si>
  <si>
    <t xml:space="preserve">Sales in the month (revenue)</t>
  </si>
  <si>
    <t xml:space="preserve">Commission basis</t>
  </si>
  <si>
    <t xml:space="preserve">  of which accelerator amount</t>
  </si>
  <si>
    <t xml:space="preserve">Final commission payable</t>
  </si>
  <si>
    <t xml:space="preserve">Clawback carried to next month</t>
  </si>
  <si>
    <t xml:space="preserve">Deals that count in the month</t>
  </si>
  <si>
    <t xml:space="preserve">Commission (share)</t>
  </si>
  <si>
    <t xml:space="preserve">Commission (share) = the deal's basis × the month's effective rate. The sum equals commission after cap. Shows up to 20 deals.</t>
  </si>
  <si>
    <t xml:space="preserve">Clawbacks in the month (cancelled deals where commission had been paid)</t>
  </si>
  <si>
    <t xml:space="preserve">Original month</t>
  </si>
  <si>
    <t xml:space="preserve">Clawbacks are only offset against commission. If a clawback is larger than the month's commission, the rest carries to the next month.</t>
  </si>
  <si>
    <t xml:space="preserve">If you have questions about the statement, or think something is wrong, contact your manager as soon as possible. You can always ask to see the basis for the calculation.</t>
  </si>
  <si>
    <t xml:space="preserve">Approved by: ______________________</t>
  </si>
  <si>
    <t xml:space="preserve">Date: ______________</t>
  </si>
</sst>
</file>

<file path=xl/styles.xml><?xml version="1.0" encoding="utf-8"?>
<styleSheet xmlns="http://schemas.openxmlformats.org/spreadsheetml/2006/main">
  <numFmts count="12">
    <numFmt numFmtId="164" formatCode="General"/>
    <numFmt numFmtId="165" formatCode="0"/>
    <numFmt numFmtId="166" formatCode="#,##0;\-#,##0;\–"/>
    <numFmt numFmtId="167" formatCode="0.0%"/>
    <numFmt numFmtId="168" formatCode="yyyy\-mm\-dd"/>
    <numFmt numFmtId="169" formatCode="General"/>
    <numFmt numFmtId="170" formatCode="0.00%;\-0.00%;&quot;&quot;"/>
    <numFmt numFmtId="171" formatCode="0.0%;\-0.0%;\–"/>
    <numFmt numFmtId="172" formatCode="#,##0.00;\-#,##0.00;0.00"/>
    <numFmt numFmtId="173" formatCode="yyyy\-mm"/>
    <numFmt numFmtId="174" formatCode="#,##0.00"/>
    <numFmt numFmtId="175" formatCode="#,##0;\-#,##0;\0"/>
  </numFmts>
  <fonts count="18">
    <font>
      <sz val="11"/>
      <color theme="1"/>
      <name val="Calibri"/>
      <family val="2"/>
      <charset val="1"/>
    </font>
    <font>
      <sz val="10"/>
      <name val="Arial"/>
      <family val="0"/>
    </font>
    <font>
      <sz val="10"/>
      <name val="Arial"/>
      <family val="0"/>
    </font>
    <font>
      <sz val="10"/>
      <name val="Arial"/>
      <family val="0"/>
    </font>
    <font>
      <sz val="9"/>
      <color rgb="FFA1A0BD"/>
      <name val="Arial"/>
      <family val="0"/>
      <charset val="1"/>
    </font>
    <font>
      <sz val="24"/>
      <color rgb="FF110663"/>
      <name val="Arial"/>
      <family val="0"/>
      <charset val="1"/>
    </font>
    <font>
      <sz val="12"/>
      <color rgb="FF4C39CA"/>
      <name val="Arial"/>
      <family val="0"/>
      <charset val="1"/>
    </font>
    <font>
      <sz val="10"/>
      <color rgb="FF110663"/>
      <name val="Arial"/>
      <family val="0"/>
      <charset val="1"/>
    </font>
    <font>
      <b val="true"/>
      <sz val="12"/>
      <color rgb="FF110663"/>
      <name val="Arial"/>
      <family val="0"/>
      <charset val="1"/>
    </font>
    <font>
      <b val="true"/>
      <sz val="10"/>
      <color rgb="FF110663"/>
      <name val="Arial"/>
      <family val="0"/>
      <charset val="1"/>
    </font>
    <font>
      <sz val="10"/>
      <color rgb="FF4C39CA"/>
      <name val="Arial"/>
      <family val="0"/>
      <charset val="1"/>
    </font>
    <font>
      <sz val="20"/>
      <color rgb="FF110663"/>
      <name val="Arial"/>
      <family val="0"/>
      <charset val="1"/>
    </font>
    <font>
      <i val="true"/>
      <sz val="9"/>
      <color rgb="FF6B6893"/>
      <name val="Arial"/>
      <family val="0"/>
      <charset val="1"/>
    </font>
    <font>
      <b val="true"/>
      <sz val="10"/>
      <color rgb="FFFFFFFF"/>
      <name val="Arial"/>
      <family val="0"/>
      <charset val="1"/>
    </font>
    <font>
      <sz val="10"/>
      <color rgb="FF6B6893"/>
      <name val="Arial"/>
      <family val="0"/>
      <charset val="1"/>
    </font>
    <font>
      <b val="true"/>
      <sz val="13"/>
      <color rgb="FF4C39CA"/>
      <name val="Arial"/>
      <family val="0"/>
      <charset val="1"/>
    </font>
    <font>
      <sz val="8"/>
      <color rgb="FFA1A0BD"/>
      <name val="Arial"/>
      <family val="0"/>
      <charset val="1"/>
    </font>
    <font>
      <sz val="8"/>
      <color rgb="FFFFFFFF"/>
      <name val="Arial"/>
      <family val="0"/>
      <charset val="1"/>
    </font>
  </fonts>
  <fills count="7">
    <fill>
      <patternFill patternType="none"/>
    </fill>
    <fill>
      <patternFill patternType="gray125"/>
    </fill>
    <fill>
      <patternFill patternType="solid">
        <fgColor rgb="FFF4F1FE"/>
        <bgColor rgb="FFF6F4F3"/>
      </patternFill>
    </fill>
    <fill>
      <patternFill patternType="solid">
        <fgColor rgb="FFF6F4F3"/>
        <bgColor rgb="FFF4F1FE"/>
      </patternFill>
    </fill>
    <fill>
      <patternFill patternType="solid">
        <fgColor rgb="FFE8F8FD"/>
        <bgColor rgb="FFF4F1FE"/>
      </patternFill>
    </fill>
    <fill>
      <patternFill patternType="solid">
        <fgColor rgb="FF110663"/>
        <bgColor rgb="FF000080"/>
      </patternFill>
    </fill>
    <fill>
      <patternFill patternType="solid">
        <fgColor rgb="FF4C39CA"/>
        <bgColor rgb="FF3366FF"/>
      </patternFill>
    </fill>
  </fills>
  <borders count="7">
    <border diagonalUp="false" diagonalDown="false">
      <left/>
      <right/>
      <top/>
      <bottom/>
      <diagonal/>
    </border>
    <border diagonalUp="false" diagonalDown="false">
      <left/>
      <right/>
      <top/>
      <bottom style="medium">
        <color rgb="FF46D3F7"/>
      </bottom>
      <diagonal/>
    </border>
    <border diagonalUp="false" diagonalDown="false">
      <left style="thin">
        <color rgb="FF4C39CA"/>
      </left>
      <right style="thin">
        <color rgb="FF4C39CA"/>
      </right>
      <top style="thin">
        <color rgb="FF4C39CA"/>
      </top>
      <bottom style="thin">
        <color rgb="FF4C39CA"/>
      </bottom>
      <diagonal/>
    </border>
    <border diagonalUp="false" diagonalDown="false">
      <left style="thin">
        <color rgb="FFDCD8EC"/>
      </left>
      <right style="thin">
        <color rgb="FFDCD8EC"/>
      </right>
      <top style="thin">
        <color rgb="FFDCD8EC"/>
      </top>
      <bottom style="thin">
        <color rgb="FFDCD8EC"/>
      </bottom>
      <diagonal/>
    </border>
    <border diagonalUp="false" diagonalDown="false">
      <left/>
      <right/>
      <top/>
      <bottom style="thin">
        <color rgb="FFDCD8EC"/>
      </bottom>
      <diagonal/>
    </border>
    <border diagonalUp="false" diagonalDown="false">
      <left style="thin">
        <color rgb="FFDCD8EC"/>
      </left>
      <right style="thin">
        <color rgb="FFDCD8EC"/>
      </right>
      <top style="thin">
        <color rgb="FFDCD8EC"/>
      </top>
      <bottom style="thin">
        <color rgb="FF110663"/>
      </bottom>
      <diagonal/>
    </border>
    <border diagonalUp="false" diagonalDown="false">
      <left style="thin">
        <color rgb="FFDCD8EC"/>
      </left>
      <right style="thin">
        <color rgb="FFDCD8EC"/>
      </right>
      <top style="thin">
        <color rgb="FF110663"/>
      </top>
      <bottom style="thin">
        <color rgb="FF11066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false" indent="1"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2"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7" fillId="3" borderId="3" xfId="0" applyFont="true" applyBorder="true" applyAlignment="false" applyProtection="false">
      <alignment horizontal="general" vertical="bottom" textRotation="0" wrapText="false" indent="0" shrinkToFit="false"/>
      <protection locked="true" hidden="false"/>
    </xf>
    <xf numFmtId="164" fontId="9" fillId="4" borderId="3"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0" fillId="2" borderId="2"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7" fillId="3" borderId="3" xfId="0" applyFont="true" applyBorder="true" applyAlignment="false" applyProtection="false">
      <alignment horizontal="general" vertical="bottom" textRotation="0" wrapText="false" indent="0" shrinkToFit="false"/>
      <protection locked="true" hidden="false"/>
    </xf>
    <xf numFmtId="164" fontId="13" fillId="5" borderId="3" xfId="0" applyFont="true" applyBorder="true" applyAlignment="true" applyProtection="false">
      <alignment horizontal="center" vertical="center" textRotation="0" wrapText="true" indent="0" shrinkToFit="false"/>
      <protection locked="true" hidden="false"/>
    </xf>
    <xf numFmtId="166" fontId="10" fillId="2" borderId="2" xfId="0" applyFont="true" applyBorder="true" applyAlignment="false" applyProtection="false">
      <alignment horizontal="general" vertical="bottom" textRotation="0" wrapText="false" indent="0" shrinkToFit="false"/>
      <protection locked="true" hidden="false"/>
    </xf>
    <xf numFmtId="167" fontId="10" fillId="2" borderId="2" xfId="0" applyFont="true" applyBorder="tru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3" fillId="6" borderId="3" xfId="0" applyFont="true" applyBorder="true" applyAlignment="true" applyProtection="false">
      <alignment horizontal="center" vertical="center" textRotation="0" wrapText="true" indent="0" shrinkToFit="false"/>
      <protection locked="true" hidden="false"/>
    </xf>
    <xf numFmtId="168" fontId="10" fillId="2" borderId="2" xfId="0" applyFont="true" applyBorder="true" applyAlignment="false" applyProtection="false">
      <alignment horizontal="general" vertical="bottom" textRotation="0" wrapText="false" indent="0" shrinkToFit="false"/>
      <protection locked="true" hidden="false"/>
    </xf>
    <xf numFmtId="169" fontId="7" fillId="3" borderId="3" xfId="0" applyFont="true" applyBorder="true" applyAlignment="true" applyProtection="false">
      <alignment horizontal="center" vertical="bottom" textRotation="0" wrapText="false" indent="0" shrinkToFit="false"/>
      <protection locked="true" hidden="false"/>
    </xf>
    <xf numFmtId="166" fontId="7" fillId="3" borderId="3" xfId="0" applyFont="true" applyBorder="true" applyAlignment="false" applyProtection="false">
      <alignment horizontal="general" vertical="bottom" textRotation="0" wrapText="false" indent="0" shrinkToFit="false"/>
      <protection locked="true" hidden="false"/>
    </xf>
    <xf numFmtId="170" fontId="7" fillId="3"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9" fontId="7" fillId="0" borderId="3" xfId="0" applyFont="true" applyBorder="true" applyAlignment="true" applyProtection="false">
      <alignment horizontal="center" vertical="bottom" textRotation="0" wrapText="false" indent="0" shrinkToFit="false"/>
      <protection locked="true" hidden="false"/>
    </xf>
    <xf numFmtId="166" fontId="7" fillId="0" borderId="3" xfId="0" applyFont="true" applyBorder="true" applyAlignment="false" applyProtection="false">
      <alignment horizontal="general" vertical="bottom" textRotation="0" wrapText="false" indent="0" shrinkToFit="false"/>
      <protection locked="true" hidden="false"/>
    </xf>
    <xf numFmtId="171" fontId="7" fillId="0" borderId="3" xfId="0" applyFont="true" applyBorder="true" applyAlignment="false" applyProtection="false">
      <alignment horizontal="general" vertical="bottom" textRotation="0" wrapText="false" indent="0" shrinkToFit="false"/>
      <protection locked="true" hidden="false"/>
    </xf>
    <xf numFmtId="166" fontId="9" fillId="4" borderId="3" xfId="0" applyFont="true" applyBorder="true" applyAlignment="false" applyProtection="false">
      <alignment horizontal="general" vertical="bottom" textRotation="0" wrapText="false" indent="0" shrinkToFit="false"/>
      <protection locked="true" hidden="false"/>
    </xf>
    <xf numFmtId="164" fontId="7" fillId="0" borderId="5" xfId="0" applyFont="true" applyBorder="true" applyAlignment="false" applyProtection="false">
      <alignment horizontal="general" vertical="bottom" textRotation="0" wrapText="false" indent="0" shrinkToFit="false"/>
      <protection locked="true" hidden="false"/>
    </xf>
    <xf numFmtId="169" fontId="7" fillId="0" borderId="5" xfId="0" applyFont="true" applyBorder="true" applyAlignment="true" applyProtection="false">
      <alignment horizontal="center" vertical="bottom" textRotation="0" wrapText="false" indent="0" shrinkToFit="false"/>
      <protection locked="true" hidden="false"/>
    </xf>
    <xf numFmtId="166" fontId="7" fillId="0" borderId="5" xfId="0" applyFont="true" applyBorder="true" applyAlignment="false" applyProtection="false">
      <alignment horizontal="general" vertical="bottom" textRotation="0" wrapText="false" indent="0" shrinkToFit="false"/>
      <protection locked="true" hidden="false"/>
    </xf>
    <xf numFmtId="171" fontId="7" fillId="0" borderId="5" xfId="0" applyFont="true" applyBorder="true" applyAlignment="false" applyProtection="false">
      <alignment horizontal="general" vertical="bottom" textRotation="0" wrapText="false" indent="0" shrinkToFit="false"/>
      <protection locked="true" hidden="false"/>
    </xf>
    <xf numFmtId="166" fontId="9" fillId="4" borderId="5"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5" fontId="7" fillId="0" borderId="3" xfId="0" applyFont="true" applyBorder="true" applyAlignment="true" applyProtection="false">
      <alignment horizontal="center" vertical="bottom" textRotation="0" wrapText="false" indent="0" shrinkToFit="false"/>
      <protection locked="true" hidden="false"/>
    </xf>
    <xf numFmtId="164" fontId="7" fillId="0" borderId="3" xfId="0" applyFont="true" applyBorder="true" applyAlignment="true" applyProtection="false">
      <alignment horizontal="center" vertical="bottom" textRotation="0" wrapText="false" indent="0" shrinkToFit="false"/>
      <protection locked="true" hidden="false"/>
    </xf>
    <xf numFmtId="172" fontId="7" fillId="0" borderId="3" xfId="0" applyFont="true" applyBorder="true" applyAlignment="false" applyProtection="false">
      <alignment horizontal="general" vertical="bottom" textRotation="0" wrapText="false" indent="0" shrinkToFit="false"/>
      <protection locked="true" hidden="false"/>
    </xf>
    <xf numFmtId="173" fontId="7" fillId="0" borderId="3" xfId="0" applyFont="true" applyBorder="true" applyAlignment="true" applyProtection="false">
      <alignment horizontal="center" vertical="bottom" textRotation="0" wrapText="false" indent="0" shrinkToFit="false"/>
      <protection locked="true" hidden="false"/>
    </xf>
    <xf numFmtId="164" fontId="0" fillId="4" borderId="6" xfId="0" applyFont="false" applyBorder="true" applyAlignment="false" applyProtection="false">
      <alignment horizontal="general" vertical="bottom" textRotation="0" wrapText="false" indent="0" shrinkToFit="false"/>
      <protection locked="true" hidden="false"/>
    </xf>
    <xf numFmtId="164" fontId="9" fillId="4" borderId="6" xfId="0" applyFont="true" applyBorder="true" applyAlignment="false" applyProtection="false">
      <alignment horizontal="general" vertical="bottom" textRotation="0" wrapText="false" indent="0" shrinkToFit="false"/>
      <protection locked="true" hidden="false"/>
    </xf>
    <xf numFmtId="174" fontId="9" fillId="4" borderId="6"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general" vertical="center"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left" vertical="bottom" textRotation="0" wrapText="false" indent="0" shrinkToFit="false"/>
      <protection locked="true" hidden="false"/>
    </xf>
    <xf numFmtId="169" fontId="1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left" vertical="bottom" textRotation="0" wrapText="false" indent="0" shrinkToFit="false"/>
      <protection locked="true" hidden="false"/>
    </xf>
    <xf numFmtId="164" fontId="7" fillId="0" borderId="0" xfId="0" applyFont="true" applyBorder="false" applyAlignment="true" applyProtection="false">
      <alignment horizontal="left" vertical="bottom" textRotation="0" wrapText="false" indent="0" shrinkToFit="false"/>
      <protection locked="true" hidden="false"/>
    </xf>
    <xf numFmtId="175" fontId="7" fillId="0" borderId="3" xfId="0" applyFont="true" applyBorder="true" applyAlignment="false" applyProtection="false">
      <alignment horizontal="general" vertical="bottom" textRotation="0" wrapText="false" indent="0" shrinkToFit="false"/>
      <protection locked="true" hidden="false"/>
    </xf>
    <xf numFmtId="167" fontId="7" fillId="0" borderId="3" xfId="0" applyFont="true" applyBorder="true" applyAlignment="false" applyProtection="false">
      <alignment horizontal="general" vertical="bottom" textRotation="0" wrapText="false" indent="0" shrinkToFit="false"/>
      <protection locked="true" hidden="false"/>
    </xf>
    <xf numFmtId="166" fontId="7" fillId="0" borderId="3" xfId="0" applyFont="true" applyBorder="true" applyAlignment="true" applyProtection="false">
      <alignment horizontal="right" vertical="bottom" textRotation="0" wrapText="false" indent="0" shrinkToFit="false"/>
      <protection locked="true" hidden="false"/>
    </xf>
    <xf numFmtId="175" fontId="9" fillId="4" borderId="6" xfId="0" applyFont="true" applyBorder="true" applyAlignment="false" applyProtection="false">
      <alignment horizontal="general" vertical="bottom" textRotation="0" wrapText="false" indent="0" shrinkToFit="false"/>
      <protection locked="true" hidden="false"/>
    </xf>
    <xf numFmtId="168" fontId="7" fillId="0" borderId="3"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110663"/>
          <bgColor rgb="FF000000"/>
        </patternFill>
      </fill>
    </dxf>
    <dxf>
      <fill>
        <patternFill patternType="solid">
          <fgColor rgb="FFF4F1FE"/>
          <bgColor rgb="FF000000"/>
        </patternFill>
      </fill>
    </dxf>
    <dxf>
      <fill>
        <patternFill patternType="solid">
          <fgColor rgb="FF4C39CA"/>
          <bgColor rgb="FF000000"/>
        </patternFill>
      </fill>
    </dxf>
    <dxf>
      <fill>
        <patternFill patternType="solid">
          <fgColor rgb="FFFFFFFF"/>
          <bgColor rgb="FF000000"/>
        </patternFill>
      </fill>
    </dxf>
    <dxf>
      <fill>
        <patternFill patternType="solid">
          <fgColor rgb="FFF6F4F3"/>
          <bgColor rgb="FF000000"/>
        </patternFill>
      </fill>
    </dxf>
    <dxf>
      <fill>
        <patternFill patternType="solid">
          <bgColor rgb="FF000000"/>
        </patternFill>
      </fill>
    </dxf>
    <dxf>
      <fill>
        <patternFill patternType="solid">
          <fgColor rgb="FFE8F8FD"/>
          <bgColor rgb="FF000000"/>
        </patternFill>
      </fill>
    </dxf>
    <dxf>
      <font>
        <name val="Arial"/>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110663"/>
      <rgbColor rgb="FF808000"/>
      <rgbColor rgb="FF800080"/>
      <rgbColor rgb="FF008080"/>
      <rgbColor rgb="FFC0C0C0"/>
      <rgbColor rgb="FF808080"/>
      <rgbColor rgb="FF9999FF"/>
      <rgbColor rgb="FF993366"/>
      <rgbColor rgb="FFF6F4F3"/>
      <rgbColor rgb="FFE8F8FD"/>
      <rgbColor rgb="FF660066"/>
      <rgbColor rgb="FFFF8080"/>
      <rgbColor rgb="FF0066CC"/>
      <rgbColor rgb="FFDCD8EC"/>
      <rgbColor rgb="FF000080"/>
      <rgbColor rgb="FFFF00FF"/>
      <rgbColor rgb="FFFFFF00"/>
      <rgbColor rgb="FF00FFFF"/>
      <rgbColor rgb="FF800080"/>
      <rgbColor rgb="FF800000"/>
      <rgbColor rgb="FF008080"/>
      <rgbColor rgb="FF0000FF"/>
      <rgbColor rgb="FF00CCFF"/>
      <rgbColor rgb="FFF4F1FE"/>
      <rgbColor rgb="FFCCFFCC"/>
      <rgbColor rgb="FFFFFF99"/>
      <rgbColor rgb="FF99CCFF"/>
      <rgbColor rgb="FFFF99CC"/>
      <rgbColor rgb="FFCC99FF"/>
      <rgbColor rgb="FFFFCC99"/>
      <rgbColor rgb="FF3366FF"/>
      <rgbColor rgb="FF46D3F7"/>
      <rgbColor rgb="FF99CC00"/>
      <rgbColor rgb="FFFFCC00"/>
      <rgbColor rgb="FFFF9900"/>
      <rgbColor rgb="FFFF6600"/>
      <rgbColor rgb="FF6B6893"/>
      <rgbColor rgb="FFA1A0BD"/>
      <rgbColor rgb="FF003366"/>
      <rgbColor rgb="FF339966"/>
      <rgbColor rgb="FF003300"/>
      <rgbColor rgb="FF333300"/>
      <rgbColor rgb="FF993300"/>
      <rgbColor rgb="FF993366"/>
      <rgbColor rgb="FF4C39CA"/>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1238040</xdr:colOff>
      <xdr:row>1</xdr:row>
      <xdr:rowOff>380520</xdr:rowOff>
    </xdr:to>
    <xdr:pic>
      <xdr:nvPicPr>
        <xdr:cNvPr id="0" name="Image 1" descr="Picture"/>
        <xdr:cNvPicPr/>
      </xdr:nvPicPr>
      <xdr:blipFill>
        <a:blip r:embed="rId1"/>
        <a:stretch/>
      </xdr:blipFill>
      <xdr:spPr>
        <a:xfrm>
          <a:off x="211320" y="152280"/>
          <a:ext cx="1238040" cy="380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2</xdr:col>
      <xdr:colOff>114120</xdr:colOff>
      <xdr:row>0</xdr:row>
      <xdr:rowOff>361440</xdr:rowOff>
    </xdr:to>
    <xdr:pic>
      <xdr:nvPicPr>
        <xdr:cNvPr id="1" name="Image 1" descr="Picture"/>
        <xdr:cNvPicPr/>
      </xdr:nvPicPr>
      <xdr:blipFill>
        <a:blip r:embed="rId1"/>
        <a:stretch/>
      </xdr:blipFill>
      <xdr:spPr>
        <a:xfrm>
          <a:off x="141120" y="0"/>
          <a:ext cx="1171080" cy="3614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prowi.io/" TargetMode="External"/><Relationship Id="rId2"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80"/>
    <col collapsed="false" customWidth="true" hidden="false" outlineLevel="0" max="4" min="4" style="0" width="3"/>
  </cols>
  <sheetData>
    <row r="1" customFormat="false" ht="12" hidden="false" customHeight="true" outlineLevel="0" collapsed="false"/>
    <row r="2" customFormat="false" ht="39.75" hidden="false" customHeight="true" outlineLevel="0" collapsed="false">
      <c r="C2" s="1" t="s">
        <v>0</v>
      </c>
    </row>
    <row r="3" customFormat="false" ht="12" hidden="false" customHeight="true" outlineLevel="0" collapsed="false"/>
    <row r="4" customFormat="false" ht="43.5" hidden="false" customHeight="true" outlineLevel="0" collapsed="false">
      <c r="B4" s="2" t="s">
        <v>1</v>
      </c>
      <c r="C4" s="3"/>
    </row>
    <row r="5" customFormat="false" ht="25.5" hidden="false" customHeight="true" outlineLevel="0" collapsed="false">
      <c r="B5" s="4" t="s">
        <v>2</v>
      </c>
      <c r="C5" s="5"/>
    </row>
    <row r="7" customFormat="false" ht="42" hidden="false" customHeight="true" outlineLevel="0" collapsed="false">
      <c r="B7" s="6" t="s">
        <v>3</v>
      </c>
      <c r="C7" s="6"/>
    </row>
    <row r="9" customFormat="false" ht="15" hidden="false" customHeight="false" outlineLevel="0" collapsed="false">
      <c r="B9" s="7" t="s">
        <v>4</v>
      </c>
    </row>
    <row r="10" customFormat="false" ht="30" hidden="false" customHeight="true" outlineLevel="0" collapsed="false">
      <c r="B10" s="8" t="s">
        <v>5</v>
      </c>
      <c r="C10" s="9" t="s">
        <v>6</v>
      </c>
    </row>
    <row r="11" customFormat="false" ht="30" hidden="false" customHeight="true" outlineLevel="0" collapsed="false">
      <c r="B11" s="8" t="s">
        <v>7</v>
      </c>
      <c r="C11" s="9" t="s">
        <v>8</v>
      </c>
    </row>
    <row r="12" customFormat="false" ht="30" hidden="false" customHeight="true" outlineLevel="0" collapsed="false">
      <c r="B12" s="8" t="s">
        <v>9</v>
      </c>
      <c r="C12" s="9" t="s">
        <v>10</v>
      </c>
    </row>
    <row r="13" customFormat="false" ht="30" hidden="false" customHeight="true" outlineLevel="0" collapsed="false">
      <c r="B13" s="8" t="s">
        <v>11</v>
      </c>
      <c r="C13" s="9" t="s">
        <v>12</v>
      </c>
    </row>
    <row r="14" customFormat="false" ht="30" hidden="false" customHeight="true" outlineLevel="0" collapsed="false">
      <c r="B14" s="8" t="s">
        <v>13</v>
      </c>
      <c r="C14" s="9" t="s">
        <v>14</v>
      </c>
    </row>
    <row r="15" customFormat="false" ht="30" hidden="false" customHeight="true" outlineLevel="0" collapsed="false">
      <c r="B15" s="8" t="s">
        <v>15</v>
      </c>
      <c r="C15" s="9" t="s">
        <v>16</v>
      </c>
    </row>
    <row r="17" customFormat="false" ht="15" hidden="false" customHeight="false" outlineLevel="0" collapsed="false">
      <c r="B17" s="7" t="s">
        <v>17</v>
      </c>
    </row>
    <row r="18" customFormat="false" ht="18" hidden="false" customHeight="true" outlineLevel="0" collapsed="false">
      <c r="B18" s="10" t="s">
        <v>18</v>
      </c>
      <c r="C18" s="11" t="s">
        <v>19</v>
      </c>
    </row>
    <row r="19" customFormat="false" ht="18" hidden="false" customHeight="true" outlineLevel="0" collapsed="false">
      <c r="B19" s="12" t="s">
        <v>20</v>
      </c>
      <c r="C19" s="11" t="s">
        <v>21</v>
      </c>
    </row>
    <row r="20" customFormat="false" ht="18" hidden="false" customHeight="true" outlineLevel="0" collapsed="false">
      <c r="B20" s="13" t="s">
        <v>22</v>
      </c>
      <c r="C20" s="11" t="s">
        <v>23</v>
      </c>
    </row>
    <row r="22" customFormat="false" ht="15" hidden="false" customHeight="false" outlineLevel="0" collapsed="false">
      <c r="B22" s="7" t="s">
        <v>24</v>
      </c>
    </row>
    <row r="23" customFormat="false" ht="15" hidden="false" customHeight="true" outlineLevel="0" collapsed="false">
      <c r="B23" s="8" t="s">
        <v>25</v>
      </c>
      <c r="C23" s="9" t="s">
        <v>26</v>
      </c>
    </row>
    <row r="24" customFormat="false" ht="45" hidden="false" customHeight="true" outlineLevel="0" collapsed="false">
      <c r="B24" s="8" t="s">
        <v>27</v>
      </c>
      <c r="C24" s="9" t="s">
        <v>28</v>
      </c>
    </row>
    <row r="25" customFormat="false" ht="30" hidden="false" customHeight="true" outlineLevel="0" collapsed="false">
      <c r="B25" s="8" t="s">
        <v>29</v>
      </c>
      <c r="C25" s="9" t="s">
        <v>30</v>
      </c>
    </row>
    <row r="26" customFormat="false" ht="30" hidden="false" customHeight="true" outlineLevel="0" collapsed="false">
      <c r="B26" s="8" t="s">
        <v>31</v>
      </c>
      <c r="C26" s="9" t="s">
        <v>32</v>
      </c>
    </row>
    <row r="27" customFormat="false" ht="15" hidden="false" customHeight="true" outlineLevel="0" collapsed="false">
      <c r="B27" s="8" t="s">
        <v>33</v>
      </c>
      <c r="C27" s="9" t="s">
        <v>34</v>
      </c>
    </row>
    <row r="28" customFormat="false" ht="15" hidden="false" customHeight="true" outlineLevel="0" collapsed="false">
      <c r="B28" s="8" t="s">
        <v>35</v>
      </c>
      <c r="C28" s="9" t="s">
        <v>36</v>
      </c>
    </row>
    <row r="29" customFormat="false" ht="60" hidden="false" customHeight="true" outlineLevel="0" collapsed="false">
      <c r="B29" s="8" t="s">
        <v>37</v>
      </c>
      <c r="C29" s="9" t="s">
        <v>38</v>
      </c>
    </row>
    <row r="30" customFormat="false" ht="45" hidden="false" customHeight="true" outlineLevel="0" collapsed="false">
      <c r="B30" s="8" t="s">
        <v>39</v>
      </c>
      <c r="C30" s="9" t="s">
        <v>40</v>
      </c>
    </row>
    <row r="31" customFormat="false" ht="45" hidden="false" customHeight="true" outlineLevel="0" collapsed="false">
      <c r="B31" s="8" t="s">
        <v>41</v>
      </c>
      <c r="C31" s="9" t="s">
        <v>42</v>
      </c>
    </row>
    <row r="32" customFormat="false" ht="30" hidden="false" customHeight="true" outlineLevel="0" collapsed="false">
      <c r="B32" s="8" t="s">
        <v>43</v>
      </c>
      <c r="C32" s="9" t="s">
        <v>44</v>
      </c>
    </row>
    <row r="34" customFormat="false" ht="15" hidden="false" customHeight="false" outlineLevel="0" collapsed="false">
      <c r="B34" s="7" t="s">
        <v>45</v>
      </c>
    </row>
    <row r="35" customFormat="false" ht="30" hidden="false" customHeight="true" outlineLevel="0" collapsed="false">
      <c r="B35" s="14" t="s">
        <v>46</v>
      </c>
      <c r="C35" s="9" t="s">
        <v>47</v>
      </c>
    </row>
    <row r="36" customFormat="false" ht="30" hidden="false" customHeight="true" outlineLevel="0" collapsed="false">
      <c r="B36" s="14" t="s">
        <v>46</v>
      </c>
      <c r="C36" s="9" t="s">
        <v>48</v>
      </c>
    </row>
    <row r="37" customFormat="false" ht="30" hidden="false" customHeight="true" outlineLevel="0" collapsed="false">
      <c r="B37" s="14" t="s">
        <v>46</v>
      </c>
      <c r="C37" s="9" t="s">
        <v>49</v>
      </c>
    </row>
    <row r="38" customFormat="false" ht="30" hidden="false" customHeight="true" outlineLevel="0" collapsed="false">
      <c r="B38" s="14" t="s">
        <v>46</v>
      </c>
      <c r="C38" s="9" t="s">
        <v>50</v>
      </c>
    </row>
    <row r="40" customFormat="false" ht="15" hidden="false" customHeight="false" outlineLevel="0" collapsed="false">
      <c r="B40" s="15"/>
      <c r="C40" s="15"/>
    </row>
    <row r="41" customFormat="false" ht="15" hidden="false" customHeight="false" outlineLevel="0" collapsed="false">
      <c r="B41" s="16" t="s">
        <v>51</v>
      </c>
    </row>
  </sheetData>
  <mergeCells count="1">
    <mergeCell ref="B7:C7"/>
  </mergeCells>
  <hyperlinks>
    <hyperlink ref="B41" r:id="rId1" display="prowi.io · Free template from Prowi"/>
  </hyperlink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U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0"/>
    <col collapsed="false" customWidth="true" hidden="false" outlineLevel="0" max="3" min="3" style="0" width="13"/>
    <col collapsed="false" customWidth="true" hidden="false" outlineLevel="0" max="4" min="4" style="0" width="14"/>
    <col collapsed="false" customWidth="true" hidden="false" outlineLevel="0" max="5" min="5" style="0" width="15"/>
    <col collapsed="false" customWidth="true" hidden="false" outlineLevel="0" max="6" min="6" style="0" width="14"/>
    <col collapsed="false" customWidth="true" hidden="false" outlineLevel="0" max="7" min="7" style="0" width="12"/>
    <col collapsed="false" customWidth="true" hidden="false" outlineLevel="0" max="8" min="8" style="0" width="14"/>
    <col collapsed="false" customWidth="true" hidden="false" outlineLevel="0" max="9" min="9" style="0" width="10"/>
    <col collapsed="false" customWidth="true" hidden="false" outlineLevel="0" max="10" min="10" style="0" width="14"/>
    <col collapsed="false" customWidth="true" hidden="false" outlineLevel="0" max="11" min="11" style="0" width="10"/>
    <col collapsed="false" customWidth="true" hidden="false" outlineLevel="0" max="12" min="12" style="0" width="12"/>
    <col collapsed="false" customWidth="true" hidden="false" outlineLevel="0" max="13" min="13" style="0" width="13"/>
    <col collapsed="false" customWidth="true" hidden="false" outlineLevel="0" max="14" min="14" style="0" width="14"/>
    <col collapsed="false" customWidth="true" hidden="false" outlineLevel="0" max="16" min="15" style="0" width="3"/>
    <col collapsed="false" customWidth="true" hidden="false" outlineLevel="0" max="18" min="17" style="0" width="13"/>
    <col collapsed="false" customWidth="true" hidden="false" outlineLevel="0" max="19" min="19" style="0" width="15"/>
    <col collapsed="false" customWidth="true" hidden="false" outlineLevel="0" max="20" min="20" style="0" width="12"/>
    <col collapsed="false" customWidth="true" hidden="false" outlineLevel="0" max="21" min="21" style="0" width="8"/>
  </cols>
  <sheetData>
    <row r="2" customFormat="false" ht="30" hidden="false" customHeight="true" outlineLevel="0" collapsed="false">
      <c r="B2" s="17" t="s">
        <v>52</v>
      </c>
    </row>
    <row r="4" customFormat="false" ht="15" hidden="false" customHeight="false" outlineLevel="0" collapsed="false">
      <c r="B4" s="18" t="s">
        <v>53</v>
      </c>
      <c r="C4" s="19" t="n">
        <v>2026</v>
      </c>
      <c r="D4" s="20" t="s">
        <v>54</v>
      </c>
    </row>
    <row r="5" customFormat="false" ht="15" hidden="false" customHeight="false" outlineLevel="0" collapsed="false">
      <c r="B5" s="18" t="s">
        <v>55</v>
      </c>
      <c r="C5" s="10" t="s">
        <v>56</v>
      </c>
      <c r="D5" s="20" t="s">
        <v>57</v>
      </c>
    </row>
    <row r="6" customFormat="false" ht="15" hidden="false" customHeight="false" outlineLevel="0" collapsed="false">
      <c r="B6" s="18" t="s">
        <v>58</v>
      </c>
      <c r="C6" s="21" t="n">
        <f aca="false">MATCH(C5,Settings!$Q$12:$Q$23,0)</f>
        <v>3</v>
      </c>
      <c r="D6" s="20" t="s">
        <v>59</v>
      </c>
    </row>
    <row r="7" customFormat="false" ht="15" hidden="false" customHeight="false" outlineLevel="0" collapsed="false">
      <c r="B7" s="18" t="s">
        <v>60</v>
      </c>
      <c r="C7" s="10"/>
      <c r="D7" s="20" t="s">
        <v>61</v>
      </c>
    </row>
    <row r="8" customFormat="false" ht="15" hidden="false" customHeight="false" outlineLevel="0" collapsed="false">
      <c r="B8" s="18" t="s">
        <v>62</v>
      </c>
      <c r="C8" s="10" t="s">
        <v>63</v>
      </c>
      <c r="D8" s="20" t="s">
        <v>64</v>
      </c>
    </row>
    <row r="10" customFormat="false" ht="15" hidden="false" customHeight="false" outlineLevel="0" collapsed="false">
      <c r="B10" s="7" t="s">
        <v>65</v>
      </c>
      <c r="Q10" s="20" t="s">
        <v>66</v>
      </c>
    </row>
    <row r="11" customFormat="false" ht="42" hidden="false" customHeight="true" outlineLevel="0" collapsed="false">
      <c r="B11" s="22" t="s">
        <v>67</v>
      </c>
      <c r="C11" s="22" t="s">
        <v>68</v>
      </c>
      <c r="D11" s="22" t="s">
        <v>69</v>
      </c>
      <c r="E11" s="22" t="s">
        <v>31</v>
      </c>
      <c r="F11" s="22" t="s">
        <v>70</v>
      </c>
      <c r="G11" s="22" t="s">
        <v>71</v>
      </c>
      <c r="H11" s="22" t="s">
        <v>72</v>
      </c>
      <c r="I11" s="22" t="s">
        <v>73</v>
      </c>
      <c r="J11" s="22" t="s">
        <v>74</v>
      </c>
      <c r="K11" s="22" t="s">
        <v>75</v>
      </c>
      <c r="L11" s="22" t="s">
        <v>76</v>
      </c>
      <c r="M11" s="22" t="s">
        <v>77</v>
      </c>
      <c r="N11" s="22" t="s">
        <v>78</v>
      </c>
      <c r="Q11" s="22" t="s">
        <v>79</v>
      </c>
      <c r="R11" s="22" t="s">
        <v>80</v>
      </c>
      <c r="S11" s="22" t="s">
        <v>31</v>
      </c>
      <c r="T11" s="22" t="s">
        <v>81</v>
      </c>
      <c r="U11" s="22" t="s">
        <v>82</v>
      </c>
    </row>
    <row r="12" customFormat="false" ht="15" hidden="false" customHeight="false" outlineLevel="0" collapsed="false">
      <c r="B12" s="10" t="s">
        <v>83</v>
      </c>
      <c r="C12" s="19" t="n">
        <v>101</v>
      </c>
      <c r="D12" s="10" t="s">
        <v>25</v>
      </c>
      <c r="E12" s="10" t="s">
        <v>84</v>
      </c>
      <c r="F12" s="23" t="n">
        <v>250000</v>
      </c>
      <c r="G12" s="24" t="n">
        <v>0.06</v>
      </c>
      <c r="H12" s="23"/>
      <c r="I12" s="24"/>
      <c r="J12" s="23"/>
      <c r="K12" s="24"/>
      <c r="L12" s="24"/>
      <c r="M12" s="24"/>
      <c r="N12" s="23"/>
      <c r="Q12" s="25" t="s">
        <v>85</v>
      </c>
      <c r="R12" s="25" t="s">
        <v>25</v>
      </c>
      <c r="S12" s="25" t="s">
        <v>84</v>
      </c>
      <c r="T12" s="25" t="s">
        <v>86</v>
      </c>
      <c r="U12" s="25" t="s">
        <v>87</v>
      </c>
    </row>
    <row r="13" customFormat="false" ht="15" hidden="false" customHeight="false" outlineLevel="0" collapsed="false">
      <c r="B13" s="10" t="s">
        <v>88</v>
      </c>
      <c r="C13" s="19" t="n">
        <v>102</v>
      </c>
      <c r="D13" s="10" t="s">
        <v>27</v>
      </c>
      <c r="E13" s="10" t="s">
        <v>84</v>
      </c>
      <c r="F13" s="23" t="n">
        <v>300000</v>
      </c>
      <c r="G13" s="24"/>
      <c r="H13" s="23" t="n">
        <v>150000</v>
      </c>
      <c r="I13" s="24" t="n">
        <v>0.04</v>
      </c>
      <c r="J13" s="23" t="n">
        <v>300000</v>
      </c>
      <c r="K13" s="24" t="n">
        <v>0.07</v>
      </c>
      <c r="L13" s="24" t="n">
        <v>0.1</v>
      </c>
      <c r="M13" s="24"/>
      <c r="N13" s="23" t="n">
        <v>25000</v>
      </c>
      <c r="Q13" s="25" t="s">
        <v>89</v>
      </c>
      <c r="R13" s="25" t="s">
        <v>27</v>
      </c>
      <c r="S13" s="25" t="s">
        <v>90</v>
      </c>
      <c r="T13" s="25" t="s">
        <v>91</v>
      </c>
      <c r="U13" s="25" t="s">
        <v>92</v>
      </c>
    </row>
    <row r="14" customFormat="false" ht="15" hidden="false" customHeight="false" outlineLevel="0" collapsed="false">
      <c r="B14" s="10" t="s">
        <v>93</v>
      </c>
      <c r="C14" s="19" t="n">
        <v>103</v>
      </c>
      <c r="D14" s="10" t="s">
        <v>29</v>
      </c>
      <c r="E14" s="10" t="s">
        <v>90</v>
      </c>
      <c r="F14" s="23" t="n">
        <v>120000</v>
      </c>
      <c r="G14" s="24" t="n">
        <v>0.15</v>
      </c>
      <c r="H14" s="23"/>
      <c r="I14" s="24"/>
      <c r="J14" s="23"/>
      <c r="K14" s="24"/>
      <c r="L14" s="24"/>
      <c r="M14" s="24" t="n">
        <v>0.25</v>
      </c>
      <c r="N14" s="23" t="n">
        <v>35000</v>
      </c>
      <c r="Q14" s="25" t="s">
        <v>56</v>
      </c>
      <c r="R14" s="25" t="s">
        <v>29</v>
      </c>
    </row>
    <row r="15" customFormat="false" ht="15" hidden="false" customHeight="false" outlineLevel="0" collapsed="false">
      <c r="B15" s="10"/>
      <c r="C15" s="19"/>
      <c r="D15" s="10"/>
      <c r="E15" s="10"/>
      <c r="F15" s="23"/>
      <c r="G15" s="24"/>
      <c r="H15" s="23"/>
      <c r="I15" s="24"/>
      <c r="J15" s="23"/>
      <c r="K15" s="24"/>
      <c r="L15" s="24"/>
      <c r="M15" s="24"/>
      <c r="N15" s="23"/>
      <c r="Q15" s="25" t="s">
        <v>94</v>
      </c>
    </row>
    <row r="16" customFormat="false" ht="15" hidden="false" customHeight="false" outlineLevel="0" collapsed="false">
      <c r="B16" s="10"/>
      <c r="C16" s="19"/>
      <c r="D16" s="10"/>
      <c r="E16" s="10"/>
      <c r="F16" s="23"/>
      <c r="G16" s="24"/>
      <c r="H16" s="23"/>
      <c r="I16" s="24"/>
      <c r="J16" s="23"/>
      <c r="K16" s="24"/>
      <c r="L16" s="24"/>
      <c r="M16" s="24"/>
      <c r="N16" s="23"/>
      <c r="Q16" s="25" t="s">
        <v>95</v>
      </c>
    </row>
    <row r="17" customFormat="false" ht="15" hidden="false" customHeight="false" outlineLevel="0" collapsed="false">
      <c r="B17" s="10"/>
      <c r="C17" s="19"/>
      <c r="D17" s="10"/>
      <c r="E17" s="10"/>
      <c r="F17" s="23"/>
      <c r="G17" s="24"/>
      <c r="H17" s="23"/>
      <c r="I17" s="24"/>
      <c r="J17" s="23"/>
      <c r="K17" s="24"/>
      <c r="L17" s="24"/>
      <c r="M17" s="24"/>
      <c r="N17" s="23"/>
      <c r="Q17" s="25" t="s">
        <v>96</v>
      </c>
    </row>
    <row r="18" customFormat="false" ht="15" hidden="false" customHeight="false" outlineLevel="0" collapsed="false">
      <c r="B18" s="10"/>
      <c r="C18" s="19"/>
      <c r="D18" s="10"/>
      <c r="E18" s="10"/>
      <c r="F18" s="23"/>
      <c r="G18" s="24"/>
      <c r="H18" s="23"/>
      <c r="I18" s="24"/>
      <c r="J18" s="23"/>
      <c r="K18" s="24"/>
      <c r="L18" s="24"/>
      <c r="M18" s="24"/>
      <c r="N18" s="23"/>
      <c r="Q18" s="25" t="s">
        <v>97</v>
      </c>
    </row>
    <row r="19" customFormat="false" ht="15" hidden="false" customHeight="false" outlineLevel="0" collapsed="false">
      <c r="B19" s="10"/>
      <c r="C19" s="19"/>
      <c r="D19" s="10"/>
      <c r="E19" s="10"/>
      <c r="F19" s="23"/>
      <c r="G19" s="24"/>
      <c r="H19" s="23"/>
      <c r="I19" s="24"/>
      <c r="J19" s="23"/>
      <c r="K19" s="24"/>
      <c r="L19" s="24"/>
      <c r="M19" s="24"/>
      <c r="N19" s="23"/>
      <c r="Q19" s="25" t="s">
        <v>98</v>
      </c>
    </row>
    <row r="20" customFormat="false" ht="15" hidden="false" customHeight="false" outlineLevel="0" collapsed="false">
      <c r="B20" s="10"/>
      <c r="C20" s="19"/>
      <c r="D20" s="10"/>
      <c r="E20" s="10"/>
      <c r="F20" s="23"/>
      <c r="G20" s="24"/>
      <c r="H20" s="23"/>
      <c r="I20" s="24"/>
      <c r="J20" s="23"/>
      <c r="K20" s="24"/>
      <c r="L20" s="24"/>
      <c r="M20" s="24"/>
      <c r="N20" s="23"/>
      <c r="Q20" s="25" t="s">
        <v>99</v>
      </c>
    </row>
    <row r="21" customFormat="false" ht="15" hidden="false" customHeight="false" outlineLevel="0" collapsed="false">
      <c r="B21" s="10"/>
      <c r="C21" s="19"/>
      <c r="D21" s="10"/>
      <c r="E21" s="10"/>
      <c r="F21" s="23"/>
      <c r="G21" s="24"/>
      <c r="H21" s="23"/>
      <c r="I21" s="24"/>
      <c r="J21" s="23"/>
      <c r="K21" s="24"/>
      <c r="L21" s="24"/>
      <c r="M21" s="24"/>
      <c r="N21" s="23"/>
      <c r="Q21" s="25" t="s">
        <v>100</v>
      </c>
    </row>
    <row r="22" customFormat="false" ht="15" hidden="false" customHeight="false" outlineLevel="0" collapsed="false">
      <c r="Q22" s="25" t="s">
        <v>101</v>
      </c>
    </row>
    <row r="23" customFormat="false" ht="15" hidden="false" customHeight="false" outlineLevel="0" collapsed="false">
      <c r="B23" s="7" t="s">
        <v>102</v>
      </c>
      <c r="Q23" s="25" t="s">
        <v>103</v>
      </c>
    </row>
    <row r="24" customFormat="false" ht="15" hidden="false" customHeight="false" outlineLevel="0" collapsed="false">
      <c r="B24" s="18" t="s">
        <v>25</v>
      </c>
      <c r="C24" s="26" t="s">
        <v>104</v>
      </c>
    </row>
    <row r="25" customFormat="false" ht="15" hidden="false" customHeight="false" outlineLevel="0" collapsed="false">
      <c r="B25" s="18" t="s">
        <v>27</v>
      </c>
      <c r="C25" s="26" t="s">
        <v>105</v>
      </c>
    </row>
    <row r="26" customFormat="false" ht="15" hidden="false" customHeight="false" outlineLevel="0" collapsed="false">
      <c r="B26" s="18" t="s">
        <v>29</v>
      </c>
      <c r="C26" s="26" t="s">
        <v>106</v>
      </c>
    </row>
    <row r="27" customFormat="false" ht="15" hidden="false" customHeight="false" outlineLevel="0" collapsed="false">
      <c r="B27" s="18" t="s">
        <v>107</v>
      </c>
      <c r="C27" s="26" t="s">
        <v>108</v>
      </c>
    </row>
  </sheetData>
  <dataValidations count="3">
    <dataValidation allowBlank="true" errorStyle="stop" operator="between" showDropDown="false" showErrorMessage="false" showInputMessage="false" sqref="D12:D21" type="list">
      <formula1>"Flat rate,Tiered,Accelerator"</formula1>
      <formula2>0</formula2>
    </dataValidation>
    <dataValidation allowBlank="true" errorStyle="stop" operator="between" showDropDown="false" showErrorMessage="false" showInputMessage="false" sqref="E12:E21" type="list">
      <formula1>"Revenue,Gross margin"</formula1>
      <formula2>0</formula2>
    </dataValidation>
    <dataValidation allowBlank="false" errorStyle="stop" operator="between" showDropDown="false" showErrorMessage="false" showInputMessage="false" sqref="C5" type="list">
      <formula1>$Q$12:$Q$23</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3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8"/>
    <col collapsed="false" customWidth="true" hidden="false" outlineLevel="0" max="3" min="3" style="0" width="24"/>
    <col collapsed="false" customWidth="true" hidden="false" outlineLevel="0" max="4" min="4" style="0" width="10"/>
    <col collapsed="false" customWidth="true" hidden="false" outlineLevel="0" max="5" min="5" style="0" width="13"/>
    <col collapsed="false" customWidth="true" hidden="false" outlineLevel="0" max="6" min="6" style="0" width="15"/>
    <col collapsed="false" customWidth="true" hidden="false" outlineLevel="0" max="7" min="7" style="0" width="12"/>
    <col collapsed="false" customWidth="true" hidden="false" outlineLevel="0" max="8" min="8" style="0" width="10"/>
    <col collapsed="false" customWidth="true" hidden="false" outlineLevel="0" max="9" min="9" style="0" width="13"/>
    <col collapsed="false" customWidth="true" hidden="false" outlineLevel="0" max="10" min="10" style="0" width="8"/>
    <col collapsed="false" customWidth="true" hidden="false" outlineLevel="0" max="11" min="11" style="0" width="9"/>
    <col collapsed="false" customWidth="true" hidden="false" outlineLevel="0" max="12" min="12" style="0" width="13"/>
    <col collapsed="false" customWidth="true" hidden="false" outlineLevel="0" max="13" min="13" style="0" width="10"/>
    <col collapsed="false" customWidth="true" hidden="false" outlineLevel="0" max="14" min="14" style="0" width="9"/>
    <col collapsed="false" customWidth="true" hidden="false" outlineLevel="0" max="15" min="15" style="0" width="14"/>
    <col collapsed="false" customWidth="true" hidden="true" outlineLevel="0" max="19" min="16" style="0" width="8"/>
  </cols>
  <sheetData>
    <row r="1" customFormat="false" ht="30" hidden="false" customHeight="true" outlineLevel="0" collapsed="false">
      <c r="A1" s="17" t="s">
        <v>109</v>
      </c>
    </row>
    <row r="2" customFormat="false" ht="15" hidden="false" customHeight="false" outlineLevel="0" collapsed="false">
      <c r="A2" s="20" t="s">
        <v>110</v>
      </c>
    </row>
    <row r="4" customFormat="false" ht="31.5" hidden="false" customHeight="true" outlineLevel="0" collapsed="false">
      <c r="A4" s="22" t="s">
        <v>111</v>
      </c>
      <c r="B4" s="22" t="s">
        <v>67</v>
      </c>
      <c r="C4" s="22" t="s">
        <v>112</v>
      </c>
      <c r="D4" s="22" t="s">
        <v>113</v>
      </c>
      <c r="E4" s="22" t="s">
        <v>114</v>
      </c>
      <c r="F4" s="22" t="s">
        <v>90</v>
      </c>
      <c r="G4" s="22" t="s">
        <v>81</v>
      </c>
      <c r="H4" s="22" t="s">
        <v>115</v>
      </c>
      <c r="I4" s="22" t="s">
        <v>116</v>
      </c>
      <c r="J4" s="27" t="s">
        <v>117</v>
      </c>
      <c r="K4" s="27" t="s">
        <v>118</v>
      </c>
      <c r="L4" s="27" t="s">
        <v>31</v>
      </c>
      <c r="M4" s="27" t="s">
        <v>119</v>
      </c>
      <c r="N4" s="27" t="s">
        <v>43</v>
      </c>
      <c r="O4" s="27" t="s">
        <v>39</v>
      </c>
      <c r="P4" s="27" t="s">
        <v>120</v>
      </c>
      <c r="Q4" s="27" t="s">
        <v>121</v>
      </c>
      <c r="R4" s="27" t="s">
        <v>122</v>
      </c>
      <c r="S4" s="27" t="s">
        <v>123</v>
      </c>
    </row>
    <row r="5" customFormat="false" ht="15" hidden="false" customHeight="false" outlineLevel="0" collapsed="false">
      <c r="A5" s="28" t="n">
        <v>46028</v>
      </c>
      <c r="B5" s="10" t="s">
        <v>83</v>
      </c>
      <c r="C5" s="10" t="s">
        <v>124</v>
      </c>
      <c r="D5" s="10" t="s">
        <v>125</v>
      </c>
      <c r="E5" s="23" t="n">
        <v>85000</v>
      </c>
      <c r="F5" s="23" t="n">
        <v>34000</v>
      </c>
      <c r="G5" s="10" t="s">
        <v>86</v>
      </c>
      <c r="H5" s="10" t="s">
        <v>92</v>
      </c>
      <c r="I5" s="28"/>
      <c r="J5" s="29" t="n">
        <f aca="false">IF(OR($A5="",$B5=""),"",IF(YEAR($A5)=Settings!$C$4,MONTH($A5),""))</f>
        <v>1</v>
      </c>
      <c r="K5" s="29" t="n">
        <f aca="false">IF($A5="","",IF(OR($J5="",$B5=""),0,IF(OR($G5="Won",$H5="Yes"),1,0)))</f>
        <v>1</v>
      </c>
      <c r="L5" s="30" t="n">
        <f aca="false">IF($B5="","",IFERROR(IF(INDEX(Settings!$E$12:$E$21,MATCH($B5,Settings!$B$12:$B$21,0))="Gross margin",N($F5),N($E5)),""))</f>
        <v>85000</v>
      </c>
      <c r="M5" s="29" t="str">
        <f aca="false">IF(AND($G5="Cancelled",$H5="Yes",$I5&lt;&gt;""),IF(YEAR($I5)=Settings!$C$4,MONTH($I5),""),"")</f>
        <v/>
      </c>
      <c r="N5" s="31" t="str">
        <f aca="false">IF($M5="","",IFERROR(IF($J5="",IF(INDEX(Settings!$D$12:$D$21,MATCH($B5,Settings!$B$12:$B$21,0))="Tiered",INDEX(Settings!$I$12:$I$21,MATCH($B5,Settings!$B$12:$B$21,0)),INDEX(Settings!$G$12:$G$21,MATCH($B5,Settings!$B$12:$B$21,0))),INDEX(Calculation!$U$6:$U$125,(MATCH($B5,Settings!$B$12:$B$21,0)-1)*12+$J5)),0))</f>
        <v/>
      </c>
      <c r="O5" s="30" t="n">
        <f aca="false">IF($M5="",0,N($L5)*N($N5))</f>
        <v>0</v>
      </c>
      <c r="P5" s="29" t="n">
        <f aca="false">IF(AND($B5&lt;&gt;"",$B5=Statement!$C$6,$J5=Statement!$C$8,$K5=1),1,0)</f>
        <v>0</v>
      </c>
      <c r="Q5" s="29" t="str">
        <f aca="false">IF($P5=1,SUM($P$5:$P5),"")</f>
        <v/>
      </c>
      <c r="R5" s="29" t="n">
        <f aca="false">IF(AND($B5&lt;&gt;"",$B5=Statement!$C$6,$M5=Statement!$C$8),1,0)</f>
        <v>0</v>
      </c>
      <c r="S5" s="29" t="str">
        <f aca="false">IF($R5=1,SUM($R$5:$R5),"")</f>
        <v/>
      </c>
    </row>
    <row r="6" customFormat="false" ht="15" hidden="false" customHeight="false" outlineLevel="0" collapsed="false">
      <c r="A6" s="28" t="n">
        <v>46036</v>
      </c>
      <c r="B6" s="10" t="s">
        <v>88</v>
      </c>
      <c r="C6" s="10" t="s">
        <v>126</v>
      </c>
      <c r="D6" s="10" t="s">
        <v>127</v>
      </c>
      <c r="E6" s="23" t="n">
        <v>120000</v>
      </c>
      <c r="F6" s="23" t="n">
        <v>42000</v>
      </c>
      <c r="G6" s="10" t="s">
        <v>86</v>
      </c>
      <c r="H6" s="10" t="s">
        <v>92</v>
      </c>
      <c r="I6" s="28"/>
      <c r="J6" s="29" t="n">
        <f aca="false">IF(OR($A6="",$B6=""),"",IF(YEAR($A6)=Settings!$C$4,MONTH($A6),""))</f>
        <v>1</v>
      </c>
      <c r="K6" s="29" t="n">
        <f aca="false">IF($A6="","",IF(OR($J6="",$B6=""),0,IF(OR($G6="Won",$H6="Yes"),1,0)))</f>
        <v>1</v>
      </c>
      <c r="L6" s="30" t="n">
        <f aca="false">IF($B6="","",IFERROR(IF(INDEX(Settings!$E$12:$E$21,MATCH($B6,Settings!$B$12:$B$21,0))="Gross margin",N($F6),N($E6)),""))</f>
        <v>120000</v>
      </c>
      <c r="M6" s="29" t="str">
        <f aca="false">IF(AND($G6="Cancelled",$H6="Yes",$I6&lt;&gt;""),IF(YEAR($I6)=Settings!$C$4,MONTH($I6),""),"")</f>
        <v/>
      </c>
      <c r="N6" s="31" t="str">
        <f aca="false">IF($M6="","",IFERROR(IF($J6="",IF(INDEX(Settings!$D$12:$D$21,MATCH($B6,Settings!$B$12:$B$21,0))="Tiered",INDEX(Settings!$I$12:$I$21,MATCH($B6,Settings!$B$12:$B$21,0)),INDEX(Settings!$G$12:$G$21,MATCH($B6,Settings!$B$12:$B$21,0))),INDEX(Calculation!$U$6:$U$125,(MATCH($B6,Settings!$B$12:$B$21,0)-1)*12+$J6)),0))</f>
        <v/>
      </c>
      <c r="O6" s="30" t="n">
        <f aca="false">IF($M6="",0,N($L6)*N($N6))</f>
        <v>0</v>
      </c>
      <c r="P6" s="29" t="n">
        <f aca="false">IF(AND($B6&lt;&gt;"",$B6=Statement!$C$6,$J6=Statement!$C$8,$K6=1),1,0)</f>
        <v>0</v>
      </c>
      <c r="Q6" s="29" t="str">
        <f aca="false">IF($P6=1,SUM($P$5:$P6),"")</f>
        <v/>
      </c>
      <c r="R6" s="29" t="n">
        <f aca="false">IF(AND($B6&lt;&gt;"",$B6=Statement!$C$6,$M6=Statement!$C$8),1,0)</f>
        <v>0</v>
      </c>
      <c r="S6" s="29" t="str">
        <f aca="false">IF($R6=1,SUM($R$5:$R6),"")</f>
        <v/>
      </c>
    </row>
    <row r="7" customFormat="false" ht="15" hidden="false" customHeight="false" outlineLevel="0" collapsed="false">
      <c r="A7" s="28" t="n">
        <v>46042</v>
      </c>
      <c r="B7" s="10" t="s">
        <v>93</v>
      </c>
      <c r="C7" s="10" t="s">
        <v>128</v>
      </c>
      <c r="D7" s="10" t="s">
        <v>129</v>
      </c>
      <c r="E7" s="23" t="n">
        <v>210000</v>
      </c>
      <c r="F7" s="23" t="n">
        <v>63000</v>
      </c>
      <c r="G7" s="10" t="s">
        <v>86</v>
      </c>
      <c r="H7" s="10" t="s">
        <v>92</v>
      </c>
      <c r="I7" s="28"/>
      <c r="J7" s="29" t="n">
        <f aca="false">IF(OR($A7="",$B7=""),"",IF(YEAR($A7)=Settings!$C$4,MONTH($A7),""))</f>
        <v>1</v>
      </c>
      <c r="K7" s="29" t="n">
        <f aca="false">IF($A7="","",IF(OR($J7="",$B7=""),0,IF(OR($G7="Won",$H7="Yes"),1,0)))</f>
        <v>1</v>
      </c>
      <c r="L7" s="30" t="n">
        <f aca="false">IF($B7="","",IFERROR(IF(INDEX(Settings!$E$12:$E$21,MATCH($B7,Settings!$B$12:$B$21,0))="Gross margin",N($F7),N($E7)),""))</f>
        <v>63000</v>
      </c>
      <c r="M7" s="29" t="str">
        <f aca="false">IF(AND($G7="Cancelled",$H7="Yes",$I7&lt;&gt;""),IF(YEAR($I7)=Settings!$C$4,MONTH($I7),""),"")</f>
        <v/>
      </c>
      <c r="N7" s="31" t="str">
        <f aca="false">IF($M7="","",IFERROR(IF($J7="",IF(INDEX(Settings!$D$12:$D$21,MATCH($B7,Settings!$B$12:$B$21,0))="Tiered",INDEX(Settings!$I$12:$I$21,MATCH($B7,Settings!$B$12:$B$21,0)),INDEX(Settings!$G$12:$G$21,MATCH($B7,Settings!$B$12:$B$21,0))),INDEX(Calculation!$U$6:$U$125,(MATCH($B7,Settings!$B$12:$B$21,0)-1)*12+$J7)),0))</f>
        <v/>
      </c>
      <c r="O7" s="30" t="n">
        <f aca="false">IF($M7="",0,N($L7)*N($N7))</f>
        <v>0</v>
      </c>
      <c r="P7" s="29" t="n">
        <f aca="false">IF(AND($B7&lt;&gt;"",$B7=Statement!$C$6,$J7=Statement!$C$8,$K7=1),1,0)</f>
        <v>0</v>
      </c>
      <c r="Q7" s="29" t="str">
        <f aca="false">IF($P7=1,SUM($P$5:$P7),"")</f>
        <v/>
      </c>
      <c r="R7" s="29" t="n">
        <f aca="false">IF(AND($B7&lt;&gt;"",$B7=Statement!$C$6,$M7=Statement!$C$8),1,0)</f>
        <v>0</v>
      </c>
      <c r="S7" s="29" t="str">
        <f aca="false">IF($R7=1,SUM($R$5:$R7),"")</f>
        <v/>
      </c>
    </row>
    <row r="8" customFormat="false" ht="15" hidden="false" customHeight="false" outlineLevel="0" collapsed="false">
      <c r="A8" s="28" t="n">
        <v>46044</v>
      </c>
      <c r="B8" s="10" t="s">
        <v>83</v>
      </c>
      <c r="C8" s="10" t="s">
        <v>130</v>
      </c>
      <c r="D8" s="10" t="s">
        <v>131</v>
      </c>
      <c r="E8" s="23" t="n">
        <v>60000</v>
      </c>
      <c r="F8" s="23" t="n">
        <v>21000</v>
      </c>
      <c r="G8" s="10" t="s">
        <v>91</v>
      </c>
      <c r="H8" s="10" t="s">
        <v>87</v>
      </c>
      <c r="I8" s="28" t="n">
        <v>46093</v>
      </c>
      <c r="J8" s="29" t="n">
        <f aca="false">IF(OR($A8="",$B8=""),"",IF(YEAR($A8)=Settings!$C$4,MONTH($A8),""))</f>
        <v>1</v>
      </c>
      <c r="K8" s="29" t="n">
        <f aca="false">IF($A8="","",IF(OR($J8="",$B8=""),0,IF(OR($G8="Won",$H8="Yes"),1,0)))</f>
        <v>1</v>
      </c>
      <c r="L8" s="30" t="n">
        <f aca="false">IF($B8="","",IFERROR(IF(INDEX(Settings!$E$12:$E$21,MATCH($B8,Settings!$B$12:$B$21,0))="Gross margin",N($F8),N($E8)),""))</f>
        <v>60000</v>
      </c>
      <c r="M8" s="29" t="n">
        <f aca="false">IF(AND($G8="Cancelled",$H8="Yes",$I8&lt;&gt;""),IF(YEAR($I8)=Settings!$C$4,MONTH($I8),""),"")</f>
        <v>3</v>
      </c>
      <c r="N8" s="31" t="n">
        <f aca="false">IF($M8="","",IFERROR(IF($J8="",IF(INDEX(Settings!$D$12:$D$21,MATCH($B8,Settings!$B$12:$B$21,0))="Tiered",INDEX(Settings!$I$12:$I$21,MATCH($B8,Settings!$B$12:$B$21,0)),INDEX(Settings!$G$12:$G$21,MATCH($B8,Settings!$B$12:$B$21,0))),INDEX(Calculation!$U$6:$U$125,(MATCH($B8,Settings!$B$12:$B$21,0)-1)*12+$J8)),0))</f>
        <v>0.06</v>
      </c>
      <c r="O8" s="30" t="n">
        <f aca="false">IF($M8="",0,N($L8)*N($N8))</f>
        <v>3600</v>
      </c>
      <c r="P8" s="29" t="n">
        <f aca="false">IF(AND($B8&lt;&gt;"",$B8=Statement!$C$6,$J8=Statement!$C$8,$K8=1),1,0)</f>
        <v>0</v>
      </c>
      <c r="Q8" s="29" t="str">
        <f aca="false">IF($P8=1,SUM($P$5:$P8),"")</f>
        <v/>
      </c>
      <c r="R8" s="29" t="n">
        <f aca="false">IF(AND($B8&lt;&gt;"",$B8=Statement!$C$6,$M8=Statement!$C$8),1,0)</f>
        <v>1</v>
      </c>
      <c r="S8" s="29" t="n">
        <f aca="false">IF($R8=1,SUM($R$5:$R8),"")</f>
        <v>1</v>
      </c>
    </row>
    <row r="9" customFormat="false" ht="15" hidden="false" customHeight="false" outlineLevel="0" collapsed="false">
      <c r="A9" s="28" t="n">
        <v>46050</v>
      </c>
      <c r="B9" s="10" t="s">
        <v>88</v>
      </c>
      <c r="C9" s="10" t="s">
        <v>132</v>
      </c>
      <c r="D9" s="10" t="s">
        <v>133</v>
      </c>
      <c r="E9" s="23" t="n">
        <v>95000</v>
      </c>
      <c r="F9" s="23" t="n">
        <v>30400</v>
      </c>
      <c r="G9" s="10" t="s">
        <v>86</v>
      </c>
      <c r="H9" s="10" t="s">
        <v>92</v>
      </c>
      <c r="I9" s="28"/>
      <c r="J9" s="29" t="n">
        <f aca="false">IF(OR($A9="",$B9=""),"",IF(YEAR($A9)=Settings!$C$4,MONTH($A9),""))</f>
        <v>1</v>
      </c>
      <c r="K9" s="29" t="n">
        <f aca="false">IF($A9="","",IF(OR($J9="",$B9=""),0,IF(OR($G9="Won",$H9="Yes"),1,0)))</f>
        <v>1</v>
      </c>
      <c r="L9" s="30" t="n">
        <f aca="false">IF($B9="","",IFERROR(IF(INDEX(Settings!$E$12:$E$21,MATCH($B9,Settings!$B$12:$B$21,0))="Gross margin",N($F9),N($E9)),""))</f>
        <v>95000</v>
      </c>
      <c r="M9" s="29" t="str">
        <f aca="false">IF(AND($G9="Cancelled",$H9="Yes",$I9&lt;&gt;""),IF(YEAR($I9)=Settings!$C$4,MONTH($I9),""),"")</f>
        <v/>
      </c>
      <c r="N9" s="31" t="str">
        <f aca="false">IF($M9="","",IFERROR(IF($J9="",IF(INDEX(Settings!$D$12:$D$21,MATCH($B9,Settings!$B$12:$B$21,0))="Tiered",INDEX(Settings!$I$12:$I$21,MATCH($B9,Settings!$B$12:$B$21,0)),INDEX(Settings!$G$12:$G$21,MATCH($B9,Settings!$B$12:$B$21,0))),INDEX(Calculation!$U$6:$U$125,(MATCH($B9,Settings!$B$12:$B$21,0)-1)*12+$J9)),0))</f>
        <v/>
      </c>
      <c r="O9" s="30" t="n">
        <f aca="false">IF($M9="",0,N($L9)*N($N9))</f>
        <v>0</v>
      </c>
      <c r="P9" s="29" t="n">
        <f aca="false">IF(AND($B9&lt;&gt;"",$B9=Statement!$C$6,$J9=Statement!$C$8,$K9=1),1,0)</f>
        <v>0</v>
      </c>
      <c r="Q9" s="29" t="str">
        <f aca="false">IF($P9=1,SUM($P$5:$P9),"")</f>
        <v/>
      </c>
      <c r="R9" s="29" t="n">
        <f aca="false">IF(AND($B9&lt;&gt;"",$B9=Statement!$C$6,$M9=Statement!$C$8),1,0)</f>
        <v>0</v>
      </c>
      <c r="S9" s="29" t="str">
        <f aca="false">IF($R9=1,SUM($R$5:$R9),"")</f>
        <v/>
      </c>
    </row>
    <row r="10" customFormat="false" ht="15" hidden="false" customHeight="false" outlineLevel="0" collapsed="false">
      <c r="A10" s="28" t="n">
        <v>46052</v>
      </c>
      <c r="B10" s="10" t="s">
        <v>93</v>
      </c>
      <c r="C10" s="10" t="s">
        <v>134</v>
      </c>
      <c r="D10" s="10" t="s">
        <v>135</v>
      </c>
      <c r="E10" s="23" t="n">
        <v>90000</v>
      </c>
      <c r="F10" s="23" t="n">
        <v>31500</v>
      </c>
      <c r="G10" s="10" t="s">
        <v>86</v>
      </c>
      <c r="H10" s="10" t="s">
        <v>92</v>
      </c>
      <c r="I10" s="28"/>
      <c r="J10" s="29" t="n">
        <f aca="false">IF(OR($A10="",$B10=""),"",IF(YEAR($A10)=Settings!$C$4,MONTH($A10),""))</f>
        <v>1</v>
      </c>
      <c r="K10" s="29" t="n">
        <f aca="false">IF($A10="","",IF(OR($J10="",$B10=""),0,IF(OR($G10="Won",$H10="Yes"),1,0)))</f>
        <v>1</v>
      </c>
      <c r="L10" s="30" t="n">
        <f aca="false">IF($B10="","",IFERROR(IF(INDEX(Settings!$E$12:$E$21,MATCH($B10,Settings!$B$12:$B$21,0))="Gross margin",N($F10),N($E10)),""))</f>
        <v>31500</v>
      </c>
      <c r="M10" s="29" t="str">
        <f aca="false">IF(AND($G10="Cancelled",$H10="Yes",$I10&lt;&gt;""),IF(YEAR($I10)=Settings!$C$4,MONTH($I10),""),"")</f>
        <v/>
      </c>
      <c r="N10" s="31" t="str">
        <f aca="false">IF($M10="","",IFERROR(IF($J10="",IF(INDEX(Settings!$D$12:$D$21,MATCH($B10,Settings!$B$12:$B$21,0))="Tiered",INDEX(Settings!$I$12:$I$21,MATCH($B10,Settings!$B$12:$B$21,0)),INDEX(Settings!$G$12:$G$21,MATCH($B10,Settings!$B$12:$B$21,0))),INDEX(Calculation!$U$6:$U$125,(MATCH($B10,Settings!$B$12:$B$21,0)-1)*12+$J10)),0))</f>
        <v/>
      </c>
      <c r="O10" s="30" t="n">
        <f aca="false">IF($M10="",0,N($L10)*N($N10))</f>
        <v>0</v>
      </c>
      <c r="P10" s="29" t="n">
        <f aca="false">IF(AND($B10&lt;&gt;"",$B10=Statement!$C$6,$J10=Statement!$C$8,$K10=1),1,0)</f>
        <v>0</v>
      </c>
      <c r="Q10" s="29" t="str">
        <f aca="false">IF($P10=1,SUM($P$5:$P10),"")</f>
        <v/>
      </c>
      <c r="R10" s="29" t="n">
        <f aca="false">IF(AND($B10&lt;&gt;"",$B10=Statement!$C$6,$M10=Statement!$C$8),1,0)</f>
        <v>0</v>
      </c>
      <c r="S10" s="29" t="str">
        <f aca="false">IF($R10=1,SUM($R$5:$R10),"")</f>
        <v/>
      </c>
    </row>
    <row r="11" customFormat="false" ht="15" hidden="false" customHeight="false" outlineLevel="0" collapsed="false">
      <c r="A11" s="28" t="n">
        <v>46057</v>
      </c>
      <c r="B11" s="10" t="s">
        <v>83</v>
      </c>
      <c r="C11" s="10" t="s">
        <v>136</v>
      </c>
      <c r="D11" s="10" t="s">
        <v>137</v>
      </c>
      <c r="E11" s="23" t="n">
        <v>110000</v>
      </c>
      <c r="F11" s="23" t="n">
        <v>49500</v>
      </c>
      <c r="G11" s="10" t="s">
        <v>86</v>
      </c>
      <c r="H11" s="10" t="s">
        <v>92</v>
      </c>
      <c r="I11" s="28"/>
      <c r="J11" s="29" t="n">
        <f aca="false">IF(OR($A11="",$B11=""),"",IF(YEAR($A11)=Settings!$C$4,MONTH($A11),""))</f>
        <v>2</v>
      </c>
      <c r="K11" s="29" t="n">
        <f aca="false">IF($A11="","",IF(OR($J11="",$B11=""),0,IF(OR($G11="Won",$H11="Yes"),1,0)))</f>
        <v>1</v>
      </c>
      <c r="L11" s="30" t="n">
        <f aca="false">IF($B11="","",IFERROR(IF(INDEX(Settings!$E$12:$E$21,MATCH($B11,Settings!$B$12:$B$21,0))="Gross margin",N($F11),N($E11)),""))</f>
        <v>110000</v>
      </c>
      <c r="M11" s="29" t="str">
        <f aca="false">IF(AND($G11="Cancelled",$H11="Yes",$I11&lt;&gt;""),IF(YEAR($I11)=Settings!$C$4,MONTH($I11),""),"")</f>
        <v/>
      </c>
      <c r="N11" s="31" t="str">
        <f aca="false">IF($M11="","",IFERROR(IF($J11="",IF(INDEX(Settings!$D$12:$D$21,MATCH($B11,Settings!$B$12:$B$21,0))="Tiered",INDEX(Settings!$I$12:$I$21,MATCH($B11,Settings!$B$12:$B$21,0)),INDEX(Settings!$G$12:$G$21,MATCH($B11,Settings!$B$12:$B$21,0))),INDEX(Calculation!$U$6:$U$125,(MATCH($B11,Settings!$B$12:$B$21,0)-1)*12+$J11)),0))</f>
        <v/>
      </c>
      <c r="O11" s="30" t="n">
        <f aca="false">IF($M11="",0,N($L11)*N($N11))</f>
        <v>0</v>
      </c>
      <c r="P11" s="29" t="n">
        <f aca="false">IF(AND($B11&lt;&gt;"",$B11=Statement!$C$6,$J11=Statement!$C$8,$K11=1),1,0)</f>
        <v>0</v>
      </c>
      <c r="Q11" s="29" t="str">
        <f aca="false">IF($P11=1,SUM($P$5:$P11),"")</f>
        <v/>
      </c>
      <c r="R11" s="29" t="n">
        <f aca="false">IF(AND($B11&lt;&gt;"",$B11=Statement!$C$6,$M11=Statement!$C$8),1,0)</f>
        <v>0</v>
      </c>
      <c r="S11" s="29" t="str">
        <f aca="false">IF($R11=1,SUM($R$5:$R11),"")</f>
        <v/>
      </c>
    </row>
    <row r="12" customFormat="false" ht="15" hidden="false" customHeight="false" outlineLevel="0" collapsed="false">
      <c r="A12" s="28" t="n">
        <v>46064</v>
      </c>
      <c r="B12" s="10" t="s">
        <v>88</v>
      </c>
      <c r="C12" s="10" t="s">
        <v>138</v>
      </c>
      <c r="D12" s="10" t="s">
        <v>139</v>
      </c>
      <c r="E12" s="23" t="n">
        <v>175000</v>
      </c>
      <c r="F12" s="23" t="n">
        <v>52500</v>
      </c>
      <c r="G12" s="10" t="s">
        <v>86</v>
      </c>
      <c r="H12" s="10" t="s">
        <v>92</v>
      </c>
      <c r="I12" s="28"/>
      <c r="J12" s="29" t="n">
        <f aca="false">IF(OR($A12="",$B12=""),"",IF(YEAR($A12)=Settings!$C$4,MONTH($A12),""))</f>
        <v>2</v>
      </c>
      <c r="K12" s="29" t="n">
        <f aca="false">IF($A12="","",IF(OR($J12="",$B12=""),0,IF(OR($G12="Won",$H12="Yes"),1,0)))</f>
        <v>1</v>
      </c>
      <c r="L12" s="30" t="n">
        <f aca="false">IF($B12="","",IFERROR(IF(INDEX(Settings!$E$12:$E$21,MATCH($B12,Settings!$B$12:$B$21,0))="Gross margin",N($F12),N($E12)),""))</f>
        <v>175000</v>
      </c>
      <c r="M12" s="29" t="str">
        <f aca="false">IF(AND($G12="Cancelled",$H12="Yes",$I12&lt;&gt;""),IF(YEAR($I12)=Settings!$C$4,MONTH($I12),""),"")</f>
        <v/>
      </c>
      <c r="N12" s="31" t="str">
        <f aca="false">IF($M12="","",IFERROR(IF($J12="",IF(INDEX(Settings!$D$12:$D$21,MATCH($B12,Settings!$B$12:$B$21,0))="Tiered",INDEX(Settings!$I$12:$I$21,MATCH($B12,Settings!$B$12:$B$21,0)),INDEX(Settings!$G$12:$G$21,MATCH($B12,Settings!$B$12:$B$21,0))),INDEX(Calculation!$U$6:$U$125,(MATCH($B12,Settings!$B$12:$B$21,0)-1)*12+$J12)),0))</f>
        <v/>
      </c>
      <c r="O12" s="30" t="n">
        <f aca="false">IF($M12="",0,N($L12)*N($N12))</f>
        <v>0</v>
      </c>
      <c r="P12" s="29" t="n">
        <f aca="false">IF(AND($B12&lt;&gt;"",$B12=Statement!$C$6,$J12=Statement!$C$8,$K12=1),1,0)</f>
        <v>0</v>
      </c>
      <c r="Q12" s="29" t="str">
        <f aca="false">IF($P12=1,SUM($P$5:$P12),"")</f>
        <v/>
      </c>
      <c r="R12" s="29" t="n">
        <f aca="false">IF(AND($B12&lt;&gt;"",$B12=Statement!$C$6,$M12=Statement!$C$8),1,0)</f>
        <v>0</v>
      </c>
      <c r="S12" s="29" t="str">
        <f aca="false">IF($R12=1,SUM($R$5:$R12),"")</f>
        <v/>
      </c>
    </row>
    <row r="13" customFormat="false" ht="15" hidden="false" customHeight="false" outlineLevel="0" collapsed="false">
      <c r="A13" s="28" t="n">
        <v>46070</v>
      </c>
      <c r="B13" s="10" t="s">
        <v>93</v>
      </c>
      <c r="C13" s="10" t="s">
        <v>140</v>
      </c>
      <c r="D13" s="10" t="s">
        <v>141</v>
      </c>
      <c r="E13" s="23" t="n">
        <v>260000</v>
      </c>
      <c r="F13" s="23" t="n">
        <v>78000</v>
      </c>
      <c r="G13" s="10" t="s">
        <v>86</v>
      </c>
      <c r="H13" s="10" t="s">
        <v>92</v>
      </c>
      <c r="I13" s="28"/>
      <c r="J13" s="29" t="n">
        <f aca="false">IF(OR($A13="",$B13=""),"",IF(YEAR($A13)=Settings!$C$4,MONTH($A13),""))</f>
        <v>2</v>
      </c>
      <c r="K13" s="29" t="n">
        <f aca="false">IF($A13="","",IF(OR($J13="",$B13=""),0,IF(OR($G13="Won",$H13="Yes"),1,0)))</f>
        <v>1</v>
      </c>
      <c r="L13" s="30" t="n">
        <f aca="false">IF($B13="","",IFERROR(IF(INDEX(Settings!$E$12:$E$21,MATCH($B13,Settings!$B$12:$B$21,0))="Gross margin",N($F13),N($E13)),""))</f>
        <v>78000</v>
      </c>
      <c r="M13" s="29" t="str">
        <f aca="false">IF(AND($G13="Cancelled",$H13="Yes",$I13&lt;&gt;""),IF(YEAR($I13)=Settings!$C$4,MONTH($I13),""),"")</f>
        <v/>
      </c>
      <c r="N13" s="31" t="str">
        <f aca="false">IF($M13="","",IFERROR(IF($J13="",IF(INDEX(Settings!$D$12:$D$21,MATCH($B13,Settings!$B$12:$B$21,0))="Tiered",INDEX(Settings!$I$12:$I$21,MATCH($B13,Settings!$B$12:$B$21,0)),INDEX(Settings!$G$12:$G$21,MATCH($B13,Settings!$B$12:$B$21,0))),INDEX(Calculation!$U$6:$U$125,(MATCH($B13,Settings!$B$12:$B$21,0)-1)*12+$J13)),0))</f>
        <v/>
      </c>
      <c r="O13" s="30" t="n">
        <f aca="false">IF($M13="",0,N($L13)*N($N13))</f>
        <v>0</v>
      </c>
      <c r="P13" s="29" t="n">
        <f aca="false">IF(AND($B13&lt;&gt;"",$B13=Statement!$C$6,$J13=Statement!$C$8,$K13=1),1,0)</f>
        <v>0</v>
      </c>
      <c r="Q13" s="29" t="str">
        <f aca="false">IF($P13=1,SUM($P$5:$P13),"")</f>
        <v/>
      </c>
      <c r="R13" s="29" t="n">
        <f aca="false">IF(AND($B13&lt;&gt;"",$B13=Statement!$C$6,$M13=Statement!$C$8),1,0)</f>
        <v>0</v>
      </c>
      <c r="S13" s="29" t="str">
        <f aca="false">IF($R13=1,SUM($R$5:$R13),"")</f>
        <v/>
      </c>
    </row>
    <row r="14" customFormat="false" ht="15" hidden="false" customHeight="false" outlineLevel="0" collapsed="false">
      <c r="A14" s="28" t="n">
        <v>46072</v>
      </c>
      <c r="B14" s="10" t="s">
        <v>83</v>
      </c>
      <c r="C14" s="10" t="s">
        <v>142</v>
      </c>
      <c r="D14" s="10" t="s">
        <v>143</v>
      </c>
      <c r="E14" s="23" t="n">
        <v>45000</v>
      </c>
      <c r="F14" s="23" t="n">
        <v>18000</v>
      </c>
      <c r="G14" s="10" t="s">
        <v>86</v>
      </c>
      <c r="H14" s="10" t="s">
        <v>92</v>
      </c>
      <c r="I14" s="28"/>
      <c r="J14" s="29" t="n">
        <f aca="false">IF(OR($A14="",$B14=""),"",IF(YEAR($A14)=Settings!$C$4,MONTH($A14),""))</f>
        <v>2</v>
      </c>
      <c r="K14" s="29" t="n">
        <f aca="false">IF($A14="","",IF(OR($J14="",$B14=""),0,IF(OR($G14="Won",$H14="Yes"),1,0)))</f>
        <v>1</v>
      </c>
      <c r="L14" s="30" t="n">
        <f aca="false">IF($B14="","",IFERROR(IF(INDEX(Settings!$E$12:$E$21,MATCH($B14,Settings!$B$12:$B$21,0))="Gross margin",N($F14),N($E14)),""))</f>
        <v>45000</v>
      </c>
      <c r="M14" s="29" t="str">
        <f aca="false">IF(AND($G14="Cancelled",$H14="Yes",$I14&lt;&gt;""),IF(YEAR($I14)=Settings!$C$4,MONTH($I14),""),"")</f>
        <v/>
      </c>
      <c r="N14" s="31" t="str">
        <f aca="false">IF($M14="","",IFERROR(IF($J14="",IF(INDEX(Settings!$D$12:$D$21,MATCH($B14,Settings!$B$12:$B$21,0))="Tiered",INDEX(Settings!$I$12:$I$21,MATCH($B14,Settings!$B$12:$B$21,0)),INDEX(Settings!$G$12:$G$21,MATCH($B14,Settings!$B$12:$B$21,0))),INDEX(Calculation!$U$6:$U$125,(MATCH($B14,Settings!$B$12:$B$21,0)-1)*12+$J14)),0))</f>
        <v/>
      </c>
      <c r="O14" s="30" t="n">
        <f aca="false">IF($M14="",0,N($L14)*N($N14))</f>
        <v>0</v>
      </c>
      <c r="P14" s="29" t="n">
        <f aca="false">IF(AND($B14&lt;&gt;"",$B14=Statement!$C$6,$J14=Statement!$C$8,$K14=1),1,0)</f>
        <v>0</v>
      </c>
      <c r="Q14" s="29" t="str">
        <f aca="false">IF($P14=1,SUM($P$5:$P14),"")</f>
        <v/>
      </c>
      <c r="R14" s="29" t="n">
        <f aca="false">IF(AND($B14&lt;&gt;"",$B14=Statement!$C$6,$M14=Statement!$C$8),1,0)</f>
        <v>0</v>
      </c>
      <c r="S14" s="29" t="str">
        <f aca="false">IF($R14=1,SUM($R$5:$R14),"")</f>
        <v/>
      </c>
    </row>
    <row r="15" customFormat="false" ht="15" hidden="false" customHeight="false" outlineLevel="0" collapsed="false">
      <c r="A15" s="28" t="n">
        <v>46077</v>
      </c>
      <c r="B15" s="10" t="s">
        <v>88</v>
      </c>
      <c r="C15" s="10" t="s">
        <v>144</v>
      </c>
      <c r="D15" s="10" t="s">
        <v>145</v>
      </c>
      <c r="E15" s="23" t="n">
        <v>140000</v>
      </c>
      <c r="F15" s="23" t="n">
        <v>46200</v>
      </c>
      <c r="G15" s="10" t="s">
        <v>86</v>
      </c>
      <c r="H15" s="10" t="s">
        <v>92</v>
      </c>
      <c r="I15" s="28"/>
      <c r="J15" s="29" t="n">
        <f aca="false">IF(OR($A15="",$B15=""),"",IF(YEAR($A15)=Settings!$C$4,MONTH($A15),""))</f>
        <v>2</v>
      </c>
      <c r="K15" s="29" t="n">
        <f aca="false">IF($A15="","",IF(OR($J15="",$B15=""),0,IF(OR($G15="Won",$H15="Yes"),1,0)))</f>
        <v>1</v>
      </c>
      <c r="L15" s="30" t="n">
        <f aca="false">IF($B15="","",IFERROR(IF(INDEX(Settings!$E$12:$E$21,MATCH($B15,Settings!$B$12:$B$21,0))="Gross margin",N($F15),N($E15)),""))</f>
        <v>140000</v>
      </c>
      <c r="M15" s="29" t="str">
        <f aca="false">IF(AND($G15="Cancelled",$H15="Yes",$I15&lt;&gt;""),IF(YEAR($I15)=Settings!$C$4,MONTH($I15),""),"")</f>
        <v/>
      </c>
      <c r="N15" s="31" t="str">
        <f aca="false">IF($M15="","",IFERROR(IF($J15="",IF(INDEX(Settings!$D$12:$D$21,MATCH($B15,Settings!$B$12:$B$21,0))="Tiered",INDEX(Settings!$I$12:$I$21,MATCH($B15,Settings!$B$12:$B$21,0)),INDEX(Settings!$G$12:$G$21,MATCH($B15,Settings!$B$12:$B$21,0))),INDEX(Calculation!$U$6:$U$125,(MATCH($B15,Settings!$B$12:$B$21,0)-1)*12+$J15)),0))</f>
        <v/>
      </c>
      <c r="O15" s="30" t="n">
        <f aca="false">IF($M15="",0,N($L15)*N($N15))</f>
        <v>0</v>
      </c>
      <c r="P15" s="29" t="n">
        <f aca="false">IF(AND($B15&lt;&gt;"",$B15=Statement!$C$6,$J15=Statement!$C$8,$K15=1),1,0)</f>
        <v>0</v>
      </c>
      <c r="Q15" s="29" t="str">
        <f aca="false">IF($P15=1,SUM($P$5:$P15),"")</f>
        <v/>
      </c>
      <c r="R15" s="29" t="n">
        <f aca="false">IF(AND($B15&lt;&gt;"",$B15=Statement!$C$6,$M15=Statement!$C$8),1,0)</f>
        <v>0</v>
      </c>
      <c r="S15" s="29" t="str">
        <f aca="false">IF($R15=1,SUM($R$5:$R15),"")</f>
        <v/>
      </c>
    </row>
    <row r="16" customFormat="false" ht="15" hidden="false" customHeight="false" outlineLevel="0" collapsed="false">
      <c r="A16" s="28" t="n">
        <v>46079</v>
      </c>
      <c r="B16" s="10" t="s">
        <v>93</v>
      </c>
      <c r="C16" s="10" t="s">
        <v>146</v>
      </c>
      <c r="D16" s="10" t="s">
        <v>147</v>
      </c>
      <c r="E16" s="23" t="n">
        <v>70000</v>
      </c>
      <c r="F16" s="23" t="n">
        <v>22400</v>
      </c>
      <c r="G16" s="10" t="s">
        <v>86</v>
      </c>
      <c r="H16" s="10" t="s">
        <v>92</v>
      </c>
      <c r="I16" s="28"/>
      <c r="J16" s="29" t="n">
        <f aca="false">IF(OR($A16="",$B16=""),"",IF(YEAR($A16)=Settings!$C$4,MONTH($A16),""))</f>
        <v>2</v>
      </c>
      <c r="K16" s="29" t="n">
        <f aca="false">IF($A16="","",IF(OR($J16="",$B16=""),0,IF(OR($G16="Won",$H16="Yes"),1,0)))</f>
        <v>1</v>
      </c>
      <c r="L16" s="30" t="n">
        <f aca="false">IF($B16="","",IFERROR(IF(INDEX(Settings!$E$12:$E$21,MATCH($B16,Settings!$B$12:$B$21,0))="Gross margin",N($F16),N($E16)),""))</f>
        <v>22400</v>
      </c>
      <c r="M16" s="29" t="str">
        <f aca="false">IF(AND($G16="Cancelled",$H16="Yes",$I16&lt;&gt;""),IF(YEAR($I16)=Settings!$C$4,MONTH($I16),""),"")</f>
        <v/>
      </c>
      <c r="N16" s="31" t="str">
        <f aca="false">IF($M16="","",IFERROR(IF($J16="",IF(INDEX(Settings!$D$12:$D$21,MATCH($B16,Settings!$B$12:$B$21,0))="Tiered",INDEX(Settings!$I$12:$I$21,MATCH($B16,Settings!$B$12:$B$21,0)),INDEX(Settings!$G$12:$G$21,MATCH($B16,Settings!$B$12:$B$21,0))),INDEX(Calculation!$U$6:$U$125,(MATCH($B16,Settings!$B$12:$B$21,0)-1)*12+$J16)),0))</f>
        <v/>
      </c>
      <c r="O16" s="30" t="n">
        <f aca="false">IF($M16="",0,N($L16)*N($N16))</f>
        <v>0</v>
      </c>
      <c r="P16" s="29" t="n">
        <f aca="false">IF(AND($B16&lt;&gt;"",$B16=Statement!$C$6,$J16=Statement!$C$8,$K16=1),1,0)</f>
        <v>0</v>
      </c>
      <c r="Q16" s="29" t="str">
        <f aca="false">IF($P16=1,SUM($P$5:$P16),"")</f>
        <v/>
      </c>
      <c r="R16" s="29" t="n">
        <f aca="false">IF(AND($B16&lt;&gt;"",$B16=Statement!$C$6,$M16=Statement!$C$8),1,0)</f>
        <v>0</v>
      </c>
      <c r="S16" s="29" t="str">
        <f aca="false">IF($R16=1,SUM($R$5:$R16),"")</f>
        <v/>
      </c>
    </row>
    <row r="17" customFormat="false" ht="15" hidden="false" customHeight="false" outlineLevel="0" collapsed="false">
      <c r="A17" s="28" t="n">
        <v>46084</v>
      </c>
      <c r="B17" s="10" t="s">
        <v>83</v>
      </c>
      <c r="C17" s="10" t="s">
        <v>148</v>
      </c>
      <c r="D17" s="10" t="s">
        <v>149</v>
      </c>
      <c r="E17" s="23" t="n">
        <v>130000</v>
      </c>
      <c r="F17" s="23" t="n">
        <v>58500</v>
      </c>
      <c r="G17" s="10" t="s">
        <v>86</v>
      </c>
      <c r="H17" s="10" t="s">
        <v>92</v>
      </c>
      <c r="I17" s="28"/>
      <c r="J17" s="29" t="n">
        <f aca="false">IF(OR($A17="",$B17=""),"",IF(YEAR($A17)=Settings!$C$4,MONTH($A17),""))</f>
        <v>3</v>
      </c>
      <c r="K17" s="29" t="n">
        <f aca="false">IF($A17="","",IF(OR($J17="",$B17=""),0,IF(OR($G17="Won",$H17="Yes"),1,0)))</f>
        <v>1</v>
      </c>
      <c r="L17" s="30" t="n">
        <f aca="false">IF($B17="","",IFERROR(IF(INDEX(Settings!$E$12:$E$21,MATCH($B17,Settings!$B$12:$B$21,0))="Gross margin",N($F17),N($E17)),""))</f>
        <v>130000</v>
      </c>
      <c r="M17" s="29" t="str">
        <f aca="false">IF(AND($G17="Cancelled",$H17="Yes",$I17&lt;&gt;""),IF(YEAR($I17)=Settings!$C$4,MONTH($I17),""),"")</f>
        <v/>
      </c>
      <c r="N17" s="31" t="str">
        <f aca="false">IF($M17="","",IFERROR(IF($J17="",IF(INDEX(Settings!$D$12:$D$21,MATCH($B17,Settings!$B$12:$B$21,0))="Tiered",INDEX(Settings!$I$12:$I$21,MATCH($B17,Settings!$B$12:$B$21,0)),INDEX(Settings!$G$12:$G$21,MATCH($B17,Settings!$B$12:$B$21,0))),INDEX(Calculation!$U$6:$U$125,(MATCH($B17,Settings!$B$12:$B$21,0)-1)*12+$J17)),0))</f>
        <v/>
      </c>
      <c r="O17" s="30" t="n">
        <f aca="false">IF($M17="",0,N($L17)*N($N17))</f>
        <v>0</v>
      </c>
      <c r="P17" s="29" t="n">
        <f aca="false">IF(AND($B17&lt;&gt;"",$B17=Statement!$C$6,$J17=Statement!$C$8,$K17=1),1,0)</f>
        <v>1</v>
      </c>
      <c r="Q17" s="29" t="n">
        <f aca="false">IF($P17=1,SUM($P$5:$P17),"")</f>
        <v>1</v>
      </c>
      <c r="R17" s="29" t="n">
        <f aca="false">IF(AND($B17&lt;&gt;"",$B17=Statement!$C$6,$M17=Statement!$C$8),1,0)</f>
        <v>0</v>
      </c>
      <c r="S17" s="29" t="str">
        <f aca="false">IF($R17=1,SUM($R$5:$R17),"")</f>
        <v/>
      </c>
    </row>
    <row r="18" customFormat="false" ht="15" hidden="false" customHeight="false" outlineLevel="0" collapsed="false">
      <c r="A18" s="28" t="n">
        <v>46090</v>
      </c>
      <c r="B18" s="10" t="s">
        <v>88</v>
      </c>
      <c r="C18" s="10" t="s">
        <v>150</v>
      </c>
      <c r="D18" s="10" t="s">
        <v>151</v>
      </c>
      <c r="E18" s="23" t="n">
        <v>230000</v>
      </c>
      <c r="F18" s="23" t="n">
        <v>69000</v>
      </c>
      <c r="G18" s="10" t="s">
        <v>86</v>
      </c>
      <c r="H18" s="10" t="s">
        <v>92</v>
      </c>
      <c r="I18" s="28"/>
      <c r="J18" s="29" t="n">
        <f aca="false">IF(OR($A18="",$B18=""),"",IF(YEAR($A18)=Settings!$C$4,MONTH($A18),""))</f>
        <v>3</v>
      </c>
      <c r="K18" s="29" t="n">
        <f aca="false">IF($A18="","",IF(OR($J18="",$B18=""),0,IF(OR($G18="Won",$H18="Yes"),1,0)))</f>
        <v>1</v>
      </c>
      <c r="L18" s="30" t="n">
        <f aca="false">IF($B18="","",IFERROR(IF(INDEX(Settings!$E$12:$E$21,MATCH($B18,Settings!$B$12:$B$21,0))="Gross margin",N($F18),N($E18)),""))</f>
        <v>230000</v>
      </c>
      <c r="M18" s="29" t="str">
        <f aca="false">IF(AND($G18="Cancelled",$H18="Yes",$I18&lt;&gt;""),IF(YEAR($I18)=Settings!$C$4,MONTH($I18),""),"")</f>
        <v/>
      </c>
      <c r="N18" s="31" t="str">
        <f aca="false">IF($M18="","",IFERROR(IF($J18="",IF(INDEX(Settings!$D$12:$D$21,MATCH($B18,Settings!$B$12:$B$21,0))="Tiered",INDEX(Settings!$I$12:$I$21,MATCH($B18,Settings!$B$12:$B$21,0)),INDEX(Settings!$G$12:$G$21,MATCH($B18,Settings!$B$12:$B$21,0))),INDEX(Calculation!$U$6:$U$125,(MATCH($B18,Settings!$B$12:$B$21,0)-1)*12+$J18)),0))</f>
        <v/>
      </c>
      <c r="O18" s="30" t="n">
        <f aca="false">IF($M18="",0,N($L18)*N($N18))</f>
        <v>0</v>
      </c>
      <c r="P18" s="29" t="n">
        <f aca="false">IF(AND($B18&lt;&gt;"",$B18=Statement!$C$6,$J18=Statement!$C$8,$K18=1),1,0)</f>
        <v>0</v>
      </c>
      <c r="Q18" s="29" t="str">
        <f aca="false">IF($P18=1,SUM($P$5:$P18),"")</f>
        <v/>
      </c>
      <c r="R18" s="29" t="n">
        <f aca="false">IF(AND($B18&lt;&gt;"",$B18=Statement!$C$6,$M18=Statement!$C$8),1,0)</f>
        <v>0</v>
      </c>
      <c r="S18" s="29" t="str">
        <f aca="false">IF($R18=1,SUM($R$5:$R18),"")</f>
        <v/>
      </c>
    </row>
    <row r="19" customFormat="false" ht="15" hidden="false" customHeight="false" outlineLevel="0" collapsed="false">
      <c r="A19" s="28" t="n">
        <v>46093</v>
      </c>
      <c r="B19" s="10" t="s">
        <v>93</v>
      </c>
      <c r="C19" s="10" t="s">
        <v>152</v>
      </c>
      <c r="D19" s="10" t="s">
        <v>153</v>
      </c>
      <c r="E19" s="23" t="n">
        <v>180000</v>
      </c>
      <c r="F19" s="23" t="n">
        <v>61200</v>
      </c>
      <c r="G19" s="10" t="s">
        <v>86</v>
      </c>
      <c r="H19" s="10" t="s">
        <v>92</v>
      </c>
      <c r="I19" s="28"/>
      <c r="J19" s="29" t="n">
        <f aca="false">IF(OR($A19="",$B19=""),"",IF(YEAR($A19)=Settings!$C$4,MONTH($A19),""))</f>
        <v>3</v>
      </c>
      <c r="K19" s="29" t="n">
        <f aca="false">IF($A19="","",IF(OR($J19="",$B19=""),0,IF(OR($G19="Won",$H19="Yes"),1,0)))</f>
        <v>1</v>
      </c>
      <c r="L19" s="30" t="n">
        <f aca="false">IF($B19="","",IFERROR(IF(INDEX(Settings!$E$12:$E$21,MATCH($B19,Settings!$B$12:$B$21,0))="Gross margin",N($F19),N($E19)),""))</f>
        <v>61200</v>
      </c>
      <c r="M19" s="29" t="str">
        <f aca="false">IF(AND($G19="Cancelled",$H19="Yes",$I19&lt;&gt;""),IF(YEAR($I19)=Settings!$C$4,MONTH($I19),""),"")</f>
        <v/>
      </c>
      <c r="N19" s="31" t="str">
        <f aca="false">IF($M19="","",IFERROR(IF($J19="",IF(INDEX(Settings!$D$12:$D$21,MATCH($B19,Settings!$B$12:$B$21,0))="Tiered",INDEX(Settings!$I$12:$I$21,MATCH($B19,Settings!$B$12:$B$21,0)),INDEX(Settings!$G$12:$G$21,MATCH($B19,Settings!$B$12:$B$21,0))),INDEX(Calculation!$U$6:$U$125,(MATCH($B19,Settings!$B$12:$B$21,0)-1)*12+$J19)),0))</f>
        <v/>
      </c>
      <c r="O19" s="30" t="n">
        <f aca="false">IF($M19="",0,N($L19)*N($N19))</f>
        <v>0</v>
      </c>
      <c r="P19" s="29" t="n">
        <f aca="false">IF(AND($B19&lt;&gt;"",$B19=Statement!$C$6,$J19=Statement!$C$8,$K19=1),1,0)</f>
        <v>0</v>
      </c>
      <c r="Q19" s="29" t="str">
        <f aca="false">IF($P19=1,SUM($P$5:$P19),"")</f>
        <v/>
      </c>
      <c r="R19" s="29" t="n">
        <f aca="false">IF(AND($B19&lt;&gt;"",$B19=Statement!$C$6,$M19=Statement!$C$8),1,0)</f>
        <v>0</v>
      </c>
      <c r="S19" s="29" t="str">
        <f aca="false">IF($R19=1,SUM($R$5:$R19),"")</f>
        <v/>
      </c>
    </row>
    <row r="20" customFormat="false" ht="15" hidden="false" customHeight="false" outlineLevel="0" collapsed="false">
      <c r="A20" s="28" t="n">
        <v>46097</v>
      </c>
      <c r="B20" s="10" t="s">
        <v>83</v>
      </c>
      <c r="C20" s="10" t="s">
        <v>154</v>
      </c>
      <c r="D20" s="10" t="s">
        <v>155</v>
      </c>
      <c r="E20" s="23" t="n">
        <v>75000</v>
      </c>
      <c r="F20" s="23" t="n">
        <v>30000</v>
      </c>
      <c r="G20" s="10" t="s">
        <v>91</v>
      </c>
      <c r="H20" s="10" t="s">
        <v>92</v>
      </c>
      <c r="I20" s="28"/>
      <c r="J20" s="29" t="n">
        <f aca="false">IF(OR($A20="",$B20=""),"",IF(YEAR($A20)=Settings!$C$4,MONTH($A20),""))</f>
        <v>3</v>
      </c>
      <c r="K20" s="29" t="n">
        <f aca="false">IF($A20="","",IF(OR($J20="",$B20=""),0,IF(OR($G20="Won",$H20="Yes"),1,0)))</f>
        <v>0</v>
      </c>
      <c r="L20" s="30" t="n">
        <f aca="false">IF($B20="","",IFERROR(IF(INDEX(Settings!$E$12:$E$21,MATCH($B20,Settings!$B$12:$B$21,0))="Gross margin",N($F20),N($E20)),""))</f>
        <v>75000</v>
      </c>
      <c r="M20" s="29" t="str">
        <f aca="false">IF(AND($G20="Cancelled",$H20="Yes",$I20&lt;&gt;""),IF(YEAR($I20)=Settings!$C$4,MONTH($I20),""),"")</f>
        <v/>
      </c>
      <c r="N20" s="31" t="str">
        <f aca="false">IF($M20="","",IFERROR(IF($J20="",IF(INDEX(Settings!$D$12:$D$21,MATCH($B20,Settings!$B$12:$B$21,0))="Tiered",INDEX(Settings!$I$12:$I$21,MATCH($B20,Settings!$B$12:$B$21,0)),INDEX(Settings!$G$12:$G$21,MATCH($B20,Settings!$B$12:$B$21,0))),INDEX(Calculation!$U$6:$U$125,(MATCH($B20,Settings!$B$12:$B$21,0)-1)*12+$J20)),0))</f>
        <v/>
      </c>
      <c r="O20" s="30" t="n">
        <f aca="false">IF($M20="",0,N($L20)*N($N20))</f>
        <v>0</v>
      </c>
      <c r="P20" s="29" t="n">
        <f aca="false">IF(AND($B20&lt;&gt;"",$B20=Statement!$C$6,$J20=Statement!$C$8,$K20=1),1,0)</f>
        <v>0</v>
      </c>
      <c r="Q20" s="29" t="str">
        <f aca="false">IF($P20=1,SUM($P$5:$P20),"")</f>
        <v/>
      </c>
      <c r="R20" s="29" t="n">
        <f aca="false">IF(AND($B20&lt;&gt;"",$B20=Statement!$C$6,$M20=Statement!$C$8),1,0)</f>
        <v>0</v>
      </c>
      <c r="S20" s="29" t="str">
        <f aca="false">IF($R20=1,SUM($R$5:$R20),"")</f>
        <v/>
      </c>
    </row>
    <row r="21" customFormat="false" ht="15" hidden="false" customHeight="false" outlineLevel="0" collapsed="false">
      <c r="A21" s="28" t="n">
        <v>46100</v>
      </c>
      <c r="B21" s="10" t="s">
        <v>88</v>
      </c>
      <c r="C21" s="10" t="s">
        <v>156</v>
      </c>
      <c r="D21" s="10" t="s">
        <v>157</v>
      </c>
      <c r="E21" s="23" t="n">
        <v>190000</v>
      </c>
      <c r="F21" s="23" t="n">
        <v>57000</v>
      </c>
      <c r="G21" s="10" t="s">
        <v>86</v>
      </c>
      <c r="H21" s="10" t="s">
        <v>92</v>
      </c>
      <c r="I21" s="28"/>
      <c r="J21" s="29" t="n">
        <f aca="false">IF(OR($A21="",$B21=""),"",IF(YEAR($A21)=Settings!$C$4,MONTH($A21),""))</f>
        <v>3</v>
      </c>
      <c r="K21" s="29" t="n">
        <f aca="false">IF($A21="","",IF(OR($J21="",$B21=""),0,IF(OR($G21="Won",$H21="Yes"),1,0)))</f>
        <v>1</v>
      </c>
      <c r="L21" s="30" t="n">
        <f aca="false">IF($B21="","",IFERROR(IF(INDEX(Settings!$E$12:$E$21,MATCH($B21,Settings!$B$12:$B$21,0))="Gross margin",N($F21),N($E21)),""))</f>
        <v>190000</v>
      </c>
      <c r="M21" s="29" t="str">
        <f aca="false">IF(AND($G21="Cancelled",$H21="Yes",$I21&lt;&gt;""),IF(YEAR($I21)=Settings!$C$4,MONTH($I21),""),"")</f>
        <v/>
      </c>
      <c r="N21" s="31" t="str">
        <f aca="false">IF($M21="","",IFERROR(IF($J21="",IF(INDEX(Settings!$D$12:$D$21,MATCH($B21,Settings!$B$12:$B$21,0))="Tiered",INDEX(Settings!$I$12:$I$21,MATCH($B21,Settings!$B$12:$B$21,0)),INDEX(Settings!$G$12:$G$21,MATCH($B21,Settings!$B$12:$B$21,0))),INDEX(Calculation!$U$6:$U$125,(MATCH($B21,Settings!$B$12:$B$21,0)-1)*12+$J21)),0))</f>
        <v/>
      </c>
      <c r="O21" s="30" t="n">
        <f aca="false">IF($M21="",0,N($L21)*N($N21))</f>
        <v>0</v>
      </c>
      <c r="P21" s="29" t="n">
        <f aca="false">IF(AND($B21&lt;&gt;"",$B21=Statement!$C$6,$J21=Statement!$C$8,$K21=1),1,0)</f>
        <v>0</v>
      </c>
      <c r="Q21" s="29" t="str">
        <f aca="false">IF($P21=1,SUM($P$5:$P21),"")</f>
        <v/>
      </c>
      <c r="R21" s="29" t="n">
        <f aca="false">IF(AND($B21&lt;&gt;"",$B21=Statement!$C$6,$M21=Statement!$C$8),1,0)</f>
        <v>0</v>
      </c>
      <c r="S21" s="29" t="str">
        <f aca="false">IF($R21=1,SUM($R$5:$R21),"")</f>
        <v/>
      </c>
    </row>
    <row r="22" customFormat="false" ht="15" hidden="false" customHeight="false" outlineLevel="0" collapsed="false">
      <c r="A22" s="28" t="n">
        <v>46104</v>
      </c>
      <c r="B22" s="10" t="s">
        <v>93</v>
      </c>
      <c r="C22" s="10" t="s">
        <v>158</v>
      </c>
      <c r="D22" s="10" t="s">
        <v>159</v>
      </c>
      <c r="E22" s="23" t="n">
        <v>140000</v>
      </c>
      <c r="F22" s="23" t="n">
        <v>50400</v>
      </c>
      <c r="G22" s="10" t="s">
        <v>86</v>
      </c>
      <c r="H22" s="10" t="s">
        <v>92</v>
      </c>
      <c r="I22" s="28"/>
      <c r="J22" s="29" t="n">
        <f aca="false">IF(OR($A22="",$B22=""),"",IF(YEAR($A22)=Settings!$C$4,MONTH($A22),""))</f>
        <v>3</v>
      </c>
      <c r="K22" s="29" t="n">
        <f aca="false">IF($A22="","",IF(OR($J22="",$B22=""),0,IF(OR($G22="Won",$H22="Yes"),1,0)))</f>
        <v>1</v>
      </c>
      <c r="L22" s="30" t="n">
        <f aca="false">IF($B22="","",IFERROR(IF(INDEX(Settings!$E$12:$E$21,MATCH($B22,Settings!$B$12:$B$21,0))="Gross margin",N($F22),N($E22)),""))</f>
        <v>50400</v>
      </c>
      <c r="M22" s="29" t="str">
        <f aca="false">IF(AND($G22="Cancelled",$H22="Yes",$I22&lt;&gt;""),IF(YEAR($I22)=Settings!$C$4,MONTH($I22),""),"")</f>
        <v/>
      </c>
      <c r="N22" s="31" t="str">
        <f aca="false">IF($M22="","",IFERROR(IF($J22="",IF(INDEX(Settings!$D$12:$D$21,MATCH($B22,Settings!$B$12:$B$21,0))="Tiered",INDEX(Settings!$I$12:$I$21,MATCH($B22,Settings!$B$12:$B$21,0)),INDEX(Settings!$G$12:$G$21,MATCH($B22,Settings!$B$12:$B$21,0))),INDEX(Calculation!$U$6:$U$125,(MATCH($B22,Settings!$B$12:$B$21,0)-1)*12+$J22)),0))</f>
        <v/>
      </c>
      <c r="O22" s="30" t="n">
        <f aca="false">IF($M22="",0,N($L22)*N($N22))</f>
        <v>0</v>
      </c>
      <c r="P22" s="29" t="n">
        <f aca="false">IF(AND($B22&lt;&gt;"",$B22=Statement!$C$6,$J22=Statement!$C$8,$K22=1),1,0)</f>
        <v>0</v>
      </c>
      <c r="Q22" s="29" t="str">
        <f aca="false">IF($P22=1,SUM($P$5:$P22),"")</f>
        <v/>
      </c>
      <c r="R22" s="29" t="n">
        <f aca="false">IF(AND($B22&lt;&gt;"",$B22=Statement!$C$6,$M22=Statement!$C$8),1,0)</f>
        <v>0</v>
      </c>
      <c r="S22" s="29" t="str">
        <f aca="false">IF($R22=1,SUM($R$5:$R22),"")</f>
        <v/>
      </c>
    </row>
    <row r="23" customFormat="false" ht="15" hidden="false" customHeight="false" outlineLevel="0" collapsed="false">
      <c r="A23" s="28" t="n">
        <v>46107</v>
      </c>
      <c r="B23" s="10" t="s">
        <v>83</v>
      </c>
      <c r="C23" s="10" t="s">
        <v>160</v>
      </c>
      <c r="D23" s="10" t="s">
        <v>161</v>
      </c>
      <c r="E23" s="23" t="n">
        <v>95000</v>
      </c>
      <c r="F23" s="23" t="n">
        <v>38000</v>
      </c>
      <c r="G23" s="10" t="s">
        <v>86</v>
      </c>
      <c r="H23" s="10" t="s">
        <v>92</v>
      </c>
      <c r="I23" s="28"/>
      <c r="J23" s="29" t="n">
        <f aca="false">IF(OR($A23="",$B23=""),"",IF(YEAR($A23)=Settings!$C$4,MONTH($A23),""))</f>
        <v>3</v>
      </c>
      <c r="K23" s="29" t="n">
        <f aca="false">IF($A23="","",IF(OR($J23="",$B23=""),0,IF(OR($G23="Won",$H23="Yes"),1,0)))</f>
        <v>1</v>
      </c>
      <c r="L23" s="30" t="n">
        <f aca="false">IF($B23="","",IFERROR(IF(INDEX(Settings!$E$12:$E$21,MATCH($B23,Settings!$B$12:$B$21,0))="Gross margin",N($F23),N($E23)),""))</f>
        <v>95000</v>
      </c>
      <c r="M23" s="29" t="str">
        <f aca="false">IF(AND($G23="Cancelled",$H23="Yes",$I23&lt;&gt;""),IF(YEAR($I23)=Settings!$C$4,MONTH($I23),""),"")</f>
        <v/>
      </c>
      <c r="N23" s="31" t="str">
        <f aca="false">IF($M23="","",IFERROR(IF($J23="",IF(INDEX(Settings!$D$12:$D$21,MATCH($B23,Settings!$B$12:$B$21,0))="Tiered",INDEX(Settings!$I$12:$I$21,MATCH($B23,Settings!$B$12:$B$21,0)),INDEX(Settings!$G$12:$G$21,MATCH($B23,Settings!$B$12:$B$21,0))),INDEX(Calculation!$U$6:$U$125,(MATCH($B23,Settings!$B$12:$B$21,0)-1)*12+$J23)),0))</f>
        <v/>
      </c>
      <c r="O23" s="30" t="n">
        <f aca="false">IF($M23="",0,N($L23)*N($N23))</f>
        <v>0</v>
      </c>
      <c r="P23" s="29" t="n">
        <f aca="false">IF(AND($B23&lt;&gt;"",$B23=Statement!$C$6,$J23=Statement!$C$8,$K23=1),1,0)</f>
        <v>1</v>
      </c>
      <c r="Q23" s="29" t="n">
        <f aca="false">IF($P23=1,SUM($P$5:$P23),"")</f>
        <v>2</v>
      </c>
      <c r="R23" s="29" t="n">
        <f aca="false">IF(AND($B23&lt;&gt;"",$B23=Statement!$C$6,$M23=Statement!$C$8),1,0)</f>
        <v>0</v>
      </c>
      <c r="S23" s="29" t="str">
        <f aca="false">IF($R23=1,SUM($R$5:$R23),"")</f>
        <v/>
      </c>
    </row>
    <row r="24" customFormat="false" ht="15" hidden="false" customHeight="false" outlineLevel="0" collapsed="false">
      <c r="A24" s="28" t="n">
        <v>46111</v>
      </c>
      <c r="B24" s="10" t="s">
        <v>93</v>
      </c>
      <c r="C24" s="10" t="s">
        <v>162</v>
      </c>
      <c r="D24" s="10" t="s">
        <v>163</v>
      </c>
      <c r="E24" s="23" t="n">
        <v>120000</v>
      </c>
      <c r="F24" s="23" t="n">
        <v>48400</v>
      </c>
      <c r="G24" s="10" t="s">
        <v>86</v>
      </c>
      <c r="H24" s="10" t="s">
        <v>92</v>
      </c>
      <c r="I24" s="28"/>
      <c r="J24" s="29" t="n">
        <f aca="false">IF(OR($A24="",$B24=""),"",IF(YEAR($A24)=Settings!$C$4,MONTH($A24),""))</f>
        <v>3</v>
      </c>
      <c r="K24" s="29" t="n">
        <f aca="false">IF($A24="","",IF(OR($J24="",$B24=""),0,IF(OR($G24="Won",$H24="Yes"),1,0)))</f>
        <v>1</v>
      </c>
      <c r="L24" s="30" t="n">
        <f aca="false">IF($B24="","",IFERROR(IF(INDEX(Settings!$E$12:$E$21,MATCH($B24,Settings!$B$12:$B$21,0))="Gross margin",N($F24),N($E24)),""))</f>
        <v>48400</v>
      </c>
      <c r="M24" s="29" t="str">
        <f aca="false">IF(AND($G24="Cancelled",$H24="Yes",$I24&lt;&gt;""),IF(YEAR($I24)=Settings!$C$4,MONTH($I24),""),"")</f>
        <v/>
      </c>
      <c r="N24" s="31" t="str">
        <f aca="false">IF($M24="","",IFERROR(IF($J24="",IF(INDEX(Settings!$D$12:$D$21,MATCH($B24,Settings!$B$12:$B$21,0))="Tiered",INDEX(Settings!$I$12:$I$21,MATCH($B24,Settings!$B$12:$B$21,0)),INDEX(Settings!$G$12:$G$21,MATCH($B24,Settings!$B$12:$B$21,0))),INDEX(Calculation!$U$6:$U$125,(MATCH($B24,Settings!$B$12:$B$21,0)-1)*12+$J24)),0))</f>
        <v/>
      </c>
      <c r="O24" s="30" t="n">
        <f aca="false">IF($M24="",0,N($L24)*N($N24))</f>
        <v>0</v>
      </c>
      <c r="P24" s="29" t="n">
        <f aca="false">IF(AND($B24&lt;&gt;"",$B24=Statement!$C$6,$J24=Statement!$C$8,$K24=1),1,0)</f>
        <v>0</v>
      </c>
      <c r="Q24" s="29" t="str">
        <f aca="false">IF($P24=1,SUM($P$5:$P24),"")</f>
        <v/>
      </c>
      <c r="R24" s="29" t="n">
        <f aca="false">IF(AND($B24&lt;&gt;"",$B24=Statement!$C$6,$M24=Statement!$C$8),1,0)</f>
        <v>0</v>
      </c>
      <c r="S24" s="29" t="str">
        <f aca="false">IF($R24=1,SUM($R$5:$R24),"")</f>
        <v/>
      </c>
    </row>
    <row r="25" customFormat="false" ht="15" hidden="false" customHeight="false" outlineLevel="0" collapsed="false">
      <c r="A25" s="28"/>
      <c r="B25" s="10"/>
      <c r="C25" s="10"/>
      <c r="D25" s="10"/>
      <c r="E25" s="23"/>
      <c r="F25" s="23"/>
      <c r="G25" s="10"/>
      <c r="H25" s="10"/>
      <c r="I25" s="28"/>
      <c r="J25" s="29" t="str">
        <f aca="false">IF(OR($A25="",$B25=""),"",IF(YEAR($A25)=Settings!$C$4,MONTH($A25),""))</f>
        <v/>
      </c>
      <c r="K25" s="29" t="str">
        <f aca="false">IF($A25="","",IF(OR($J25="",$B25=""),0,IF(OR($G25="Won",$H25="Yes"),1,0)))</f>
        <v/>
      </c>
      <c r="L25" s="30" t="str">
        <f aca="false">IF($B25="","",IFERROR(IF(INDEX(Settings!$E$12:$E$21,MATCH($B25,Settings!$B$12:$B$21,0))="Gross margin",N($F25),N($E25)),""))</f>
        <v/>
      </c>
      <c r="M25" s="29" t="str">
        <f aca="false">IF(AND($G25="Cancelled",$H25="Yes",$I25&lt;&gt;""),IF(YEAR($I25)=Settings!$C$4,MONTH($I25),""),"")</f>
        <v/>
      </c>
      <c r="N25" s="31" t="str">
        <f aca="false">IF($M25="","",IFERROR(IF($J25="",IF(INDEX(Settings!$D$12:$D$21,MATCH($B25,Settings!$B$12:$B$21,0))="Tiered",INDEX(Settings!$I$12:$I$21,MATCH($B25,Settings!$B$12:$B$21,0)),INDEX(Settings!$G$12:$G$21,MATCH($B25,Settings!$B$12:$B$21,0))),INDEX(Calculation!$U$6:$U$125,(MATCH($B25,Settings!$B$12:$B$21,0)-1)*12+$J25)),0))</f>
        <v/>
      </c>
      <c r="O25" s="30" t="n">
        <f aca="false">IF($M25="",0,N($L25)*N($N25))</f>
        <v>0</v>
      </c>
      <c r="P25" s="29" t="n">
        <f aca="false">IF(AND($B25&lt;&gt;"",$B25=Statement!$C$6,$J25=Statement!$C$8,$K25=1),1,0)</f>
        <v>0</v>
      </c>
      <c r="Q25" s="29" t="str">
        <f aca="false">IF($P25=1,SUM($P$5:$P25),"")</f>
        <v/>
      </c>
      <c r="R25" s="29" t="n">
        <f aca="false">IF(AND($B25&lt;&gt;"",$B25=Statement!$C$6,$M25=Statement!$C$8),1,0)</f>
        <v>0</v>
      </c>
      <c r="S25" s="29" t="str">
        <f aca="false">IF($R25=1,SUM($R$5:$R25),"")</f>
        <v/>
      </c>
    </row>
    <row r="26" customFormat="false" ht="15" hidden="false" customHeight="false" outlineLevel="0" collapsed="false">
      <c r="A26" s="28"/>
      <c r="B26" s="10"/>
      <c r="C26" s="10"/>
      <c r="D26" s="10"/>
      <c r="E26" s="23"/>
      <c r="F26" s="23"/>
      <c r="G26" s="10"/>
      <c r="H26" s="10"/>
      <c r="I26" s="28"/>
      <c r="J26" s="29" t="str">
        <f aca="false">IF(OR($A26="",$B26=""),"",IF(YEAR($A26)=Settings!$C$4,MONTH($A26),""))</f>
        <v/>
      </c>
      <c r="K26" s="29" t="str">
        <f aca="false">IF($A26="","",IF(OR($J26="",$B26=""),0,IF(OR($G26="Won",$H26="Yes"),1,0)))</f>
        <v/>
      </c>
      <c r="L26" s="30" t="str">
        <f aca="false">IF($B26="","",IFERROR(IF(INDEX(Settings!$E$12:$E$21,MATCH($B26,Settings!$B$12:$B$21,0))="Gross margin",N($F26),N($E26)),""))</f>
        <v/>
      </c>
      <c r="M26" s="29" t="str">
        <f aca="false">IF(AND($G26="Cancelled",$H26="Yes",$I26&lt;&gt;""),IF(YEAR($I26)=Settings!$C$4,MONTH($I26),""),"")</f>
        <v/>
      </c>
      <c r="N26" s="31" t="str">
        <f aca="false">IF($M26="","",IFERROR(IF($J26="",IF(INDEX(Settings!$D$12:$D$21,MATCH($B26,Settings!$B$12:$B$21,0))="Tiered",INDEX(Settings!$I$12:$I$21,MATCH($B26,Settings!$B$12:$B$21,0)),INDEX(Settings!$G$12:$G$21,MATCH($B26,Settings!$B$12:$B$21,0))),INDEX(Calculation!$U$6:$U$125,(MATCH($B26,Settings!$B$12:$B$21,0)-1)*12+$J26)),0))</f>
        <v/>
      </c>
      <c r="O26" s="30" t="n">
        <f aca="false">IF($M26="",0,N($L26)*N($N26))</f>
        <v>0</v>
      </c>
      <c r="P26" s="29" t="n">
        <f aca="false">IF(AND($B26&lt;&gt;"",$B26=Statement!$C$6,$J26=Statement!$C$8,$K26=1),1,0)</f>
        <v>0</v>
      </c>
      <c r="Q26" s="29" t="str">
        <f aca="false">IF($P26=1,SUM($P$5:$P26),"")</f>
        <v/>
      </c>
      <c r="R26" s="29" t="n">
        <f aca="false">IF(AND($B26&lt;&gt;"",$B26=Statement!$C$6,$M26=Statement!$C$8),1,0)</f>
        <v>0</v>
      </c>
      <c r="S26" s="29" t="str">
        <f aca="false">IF($R26=1,SUM($R$5:$R26),"")</f>
        <v/>
      </c>
    </row>
    <row r="27" customFormat="false" ht="15" hidden="false" customHeight="false" outlineLevel="0" collapsed="false">
      <c r="A27" s="28"/>
      <c r="B27" s="10"/>
      <c r="C27" s="10"/>
      <c r="D27" s="10"/>
      <c r="E27" s="23"/>
      <c r="F27" s="23"/>
      <c r="G27" s="10"/>
      <c r="H27" s="10"/>
      <c r="I27" s="28"/>
      <c r="J27" s="29" t="str">
        <f aca="false">IF(OR($A27="",$B27=""),"",IF(YEAR($A27)=Settings!$C$4,MONTH($A27),""))</f>
        <v/>
      </c>
      <c r="K27" s="29" t="str">
        <f aca="false">IF($A27="","",IF(OR($J27="",$B27=""),0,IF(OR($G27="Won",$H27="Yes"),1,0)))</f>
        <v/>
      </c>
      <c r="L27" s="30" t="str">
        <f aca="false">IF($B27="","",IFERROR(IF(INDEX(Settings!$E$12:$E$21,MATCH($B27,Settings!$B$12:$B$21,0))="Gross margin",N($F27),N($E27)),""))</f>
        <v/>
      </c>
      <c r="M27" s="29" t="str">
        <f aca="false">IF(AND($G27="Cancelled",$H27="Yes",$I27&lt;&gt;""),IF(YEAR($I27)=Settings!$C$4,MONTH($I27),""),"")</f>
        <v/>
      </c>
      <c r="N27" s="31" t="str">
        <f aca="false">IF($M27="","",IFERROR(IF($J27="",IF(INDEX(Settings!$D$12:$D$21,MATCH($B27,Settings!$B$12:$B$21,0))="Tiered",INDEX(Settings!$I$12:$I$21,MATCH($B27,Settings!$B$12:$B$21,0)),INDEX(Settings!$G$12:$G$21,MATCH($B27,Settings!$B$12:$B$21,0))),INDEX(Calculation!$U$6:$U$125,(MATCH($B27,Settings!$B$12:$B$21,0)-1)*12+$J27)),0))</f>
        <v/>
      </c>
      <c r="O27" s="30" t="n">
        <f aca="false">IF($M27="",0,N($L27)*N($N27))</f>
        <v>0</v>
      </c>
      <c r="P27" s="29" t="n">
        <f aca="false">IF(AND($B27&lt;&gt;"",$B27=Statement!$C$6,$J27=Statement!$C$8,$K27=1),1,0)</f>
        <v>0</v>
      </c>
      <c r="Q27" s="29" t="str">
        <f aca="false">IF($P27=1,SUM($P$5:$P27),"")</f>
        <v/>
      </c>
      <c r="R27" s="29" t="n">
        <f aca="false">IF(AND($B27&lt;&gt;"",$B27=Statement!$C$6,$M27=Statement!$C$8),1,0)</f>
        <v>0</v>
      </c>
      <c r="S27" s="29" t="str">
        <f aca="false">IF($R27=1,SUM($R$5:$R27),"")</f>
        <v/>
      </c>
    </row>
    <row r="28" customFormat="false" ht="15" hidden="false" customHeight="false" outlineLevel="0" collapsed="false">
      <c r="A28" s="28"/>
      <c r="B28" s="10"/>
      <c r="C28" s="10"/>
      <c r="D28" s="10"/>
      <c r="E28" s="23"/>
      <c r="F28" s="23"/>
      <c r="G28" s="10"/>
      <c r="H28" s="10"/>
      <c r="I28" s="28"/>
      <c r="J28" s="29" t="str">
        <f aca="false">IF(OR($A28="",$B28=""),"",IF(YEAR($A28)=Settings!$C$4,MONTH($A28),""))</f>
        <v/>
      </c>
      <c r="K28" s="29" t="str">
        <f aca="false">IF($A28="","",IF(OR($J28="",$B28=""),0,IF(OR($G28="Won",$H28="Yes"),1,0)))</f>
        <v/>
      </c>
      <c r="L28" s="30" t="str">
        <f aca="false">IF($B28="","",IFERROR(IF(INDEX(Settings!$E$12:$E$21,MATCH($B28,Settings!$B$12:$B$21,0))="Gross margin",N($F28),N($E28)),""))</f>
        <v/>
      </c>
      <c r="M28" s="29" t="str">
        <f aca="false">IF(AND($G28="Cancelled",$H28="Yes",$I28&lt;&gt;""),IF(YEAR($I28)=Settings!$C$4,MONTH($I28),""),"")</f>
        <v/>
      </c>
      <c r="N28" s="31" t="str">
        <f aca="false">IF($M28="","",IFERROR(IF($J28="",IF(INDEX(Settings!$D$12:$D$21,MATCH($B28,Settings!$B$12:$B$21,0))="Tiered",INDEX(Settings!$I$12:$I$21,MATCH($B28,Settings!$B$12:$B$21,0)),INDEX(Settings!$G$12:$G$21,MATCH($B28,Settings!$B$12:$B$21,0))),INDEX(Calculation!$U$6:$U$125,(MATCH($B28,Settings!$B$12:$B$21,0)-1)*12+$J28)),0))</f>
        <v/>
      </c>
      <c r="O28" s="30" t="n">
        <f aca="false">IF($M28="",0,N($L28)*N($N28))</f>
        <v>0</v>
      </c>
      <c r="P28" s="29" t="n">
        <f aca="false">IF(AND($B28&lt;&gt;"",$B28=Statement!$C$6,$J28=Statement!$C$8,$K28=1),1,0)</f>
        <v>0</v>
      </c>
      <c r="Q28" s="29" t="str">
        <f aca="false">IF($P28=1,SUM($P$5:$P28),"")</f>
        <v/>
      </c>
      <c r="R28" s="29" t="n">
        <f aca="false">IF(AND($B28&lt;&gt;"",$B28=Statement!$C$6,$M28=Statement!$C$8),1,0)</f>
        <v>0</v>
      </c>
      <c r="S28" s="29" t="str">
        <f aca="false">IF($R28=1,SUM($R$5:$R28),"")</f>
        <v/>
      </c>
    </row>
    <row r="29" customFormat="false" ht="15" hidden="false" customHeight="false" outlineLevel="0" collapsed="false">
      <c r="A29" s="28"/>
      <c r="B29" s="10"/>
      <c r="C29" s="10"/>
      <c r="D29" s="10"/>
      <c r="E29" s="23"/>
      <c r="F29" s="23"/>
      <c r="G29" s="10"/>
      <c r="H29" s="10"/>
      <c r="I29" s="28"/>
      <c r="J29" s="29" t="str">
        <f aca="false">IF(OR($A29="",$B29=""),"",IF(YEAR($A29)=Settings!$C$4,MONTH($A29),""))</f>
        <v/>
      </c>
      <c r="K29" s="29" t="str">
        <f aca="false">IF($A29="","",IF(OR($J29="",$B29=""),0,IF(OR($G29="Won",$H29="Yes"),1,0)))</f>
        <v/>
      </c>
      <c r="L29" s="30" t="str">
        <f aca="false">IF($B29="","",IFERROR(IF(INDEX(Settings!$E$12:$E$21,MATCH($B29,Settings!$B$12:$B$21,0))="Gross margin",N($F29),N($E29)),""))</f>
        <v/>
      </c>
      <c r="M29" s="29" t="str">
        <f aca="false">IF(AND($G29="Cancelled",$H29="Yes",$I29&lt;&gt;""),IF(YEAR($I29)=Settings!$C$4,MONTH($I29),""),"")</f>
        <v/>
      </c>
      <c r="N29" s="31" t="str">
        <f aca="false">IF($M29="","",IFERROR(IF($J29="",IF(INDEX(Settings!$D$12:$D$21,MATCH($B29,Settings!$B$12:$B$21,0))="Tiered",INDEX(Settings!$I$12:$I$21,MATCH($B29,Settings!$B$12:$B$21,0)),INDEX(Settings!$G$12:$G$21,MATCH($B29,Settings!$B$12:$B$21,0))),INDEX(Calculation!$U$6:$U$125,(MATCH($B29,Settings!$B$12:$B$21,0)-1)*12+$J29)),0))</f>
        <v/>
      </c>
      <c r="O29" s="30" t="n">
        <f aca="false">IF($M29="",0,N($L29)*N($N29))</f>
        <v>0</v>
      </c>
      <c r="P29" s="29" t="n">
        <f aca="false">IF(AND($B29&lt;&gt;"",$B29=Statement!$C$6,$J29=Statement!$C$8,$K29=1),1,0)</f>
        <v>0</v>
      </c>
      <c r="Q29" s="29" t="str">
        <f aca="false">IF($P29=1,SUM($P$5:$P29),"")</f>
        <v/>
      </c>
      <c r="R29" s="29" t="n">
        <f aca="false">IF(AND($B29&lt;&gt;"",$B29=Statement!$C$6,$M29=Statement!$C$8),1,0)</f>
        <v>0</v>
      </c>
      <c r="S29" s="29" t="str">
        <f aca="false">IF($R29=1,SUM($R$5:$R29),"")</f>
        <v/>
      </c>
    </row>
    <row r="30" customFormat="false" ht="15" hidden="false" customHeight="false" outlineLevel="0" collapsed="false">
      <c r="A30" s="28"/>
      <c r="B30" s="10"/>
      <c r="C30" s="10"/>
      <c r="D30" s="10"/>
      <c r="E30" s="23"/>
      <c r="F30" s="23"/>
      <c r="G30" s="10"/>
      <c r="H30" s="10"/>
      <c r="I30" s="28"/>
      <c r="J30" s="29" t="str">
        <f aca="false">IF(OR($A30="",$B30=""),"",IF(YEAR($A30)=Settings!$C$4,MONTH($A30),""))</f>
        <v/>
      </c>
      <c r="K30" s="29" t="str">
        <f aca="false">IF($A30="","",IF(OR($J30="",$B30=""),0,IF(OR($G30="Won",$H30="Yes"),1,0)))</f>
        <v/>
      </c>
      <c r="L30" s="30" t="str">
        <f aca="false">IF($B30="","",IFERROR(IF(INDEX(Settings!$E$12:$E$21,MATCH($B30,Settings!$B$12:$B$21,0))="Gross margin",N($F30),N($E30)),""))</f>
        <v/>
      </c>
      <c r="M30" s="29" t="str">
        <f aca="false">IF(AND($G30="Cancelled",$H30="Yes",$I30&lt;&gt;""),IF(YEAR($I30)=Settings!$C$4,MONTH($I30),""),"")</f>
        <v/>
      </c>
      <c r="N30" s="31" t="str">
        <f aca="false">IF($M30="","",IFERROR(IF($J30="",IF(INDEX(Settings!$D$12:$D$21,MATCH($B30,Settings!$B$12:$B$21,0))="Tiered",INDEX(Settings!$I$12:$I$21,MATCH($B30,Settings!$B$12:$B$21,0)),INDEX(Settings!$G$12:$G$21,MATCH($B30,Settings!$B$12:$B$21,0))),INDEX(Calculation!$U$6:$U$125,(MATCH($B30,Settings!$B$12:$B$21,0)-1)*12+$J30)),0))</f>
        <v/>
      </c>
      <c r="O30" s="30" t="n">
        <f aca="false">IF($M30="",0,N($L30)*N($N30))</f>
        <v>0</v>
      </c>
      <c r="P30" s="29" t="n">
        <f aca="false">IF(AND($B30&lt;&gt;"",$B30=Statement!$C$6,$J30=Statement!$C$8,$K30=1),1,0)</f>
        <v>0</v>
      </c>
      <c r="Q30" s="29" t="str">
        <f aca="false">IF($P30=1,SUM($P$5:$P30),"")</f>
        <v/>
      </c>
      <c r="R30" s="29" t="n">
        <f aca="false">IF(AND($B30&lt;&gt;"",$B30=Statement!$C$6,$M30=Statement!$C$8),1,0)</f>
        <v>0</v>
      </c>
      <c r="S30" s="29" t="str">
        <f aca="false">IF($R30=1,SUM($R$5:$R30),"")</f>
        <v/>
      </c>
    </row>
    <row r="31" customFormat="false" ht="15" hidden="false" customHeight="false" outlineLevel="0" collapsed="false">
      <c r="A31" s="28"/>
      <c r="B31" s="10"/>
      <c r="C31" s="10"/>
      <c r="D31" s="10"/>
      <c r="E31" s="23"/>
      <c r="F31" s="23"/>
      <c r="G31" s="10"/>
      <c r="H31" s="10"/>
      <c r="I31" s="28"/>
      <c r="J31" s="29" t="str">
        <f aca="false">IF(OR($A31="",$B31=""),"",IF(YEAR($A31)=Settings!$C$4,MONTH($A31),""))</f>
        <v/>
      </c>
      <c r="K31" s="29" t="str">
        <f aca="false">IF($A31="","",IF(OR($J31="",$B31=""),0,IF(OR($G31="Won",$H31="Yes"),1,0)))</f>
        <v/>
      </c>
      <c r="L31" s="30" t="str">
        <f aca="false">IF($B31="","",IFERROR(IF(INDEX(Settings!$E$12:$E$21,MATCH($B31,Settings!$B$12:$B$21,0))="Gross margin",N($F31),N($E31)),""))</f>
        <v/>
      </c>
      <c r="M31" s="29" t="str">
        <f aca="false">IF(AND($G31="Cancelled",$H31="Yes",$I31&lt;&gt;""),IF(YEAR($I31)=Settings!$C$4,MONTH($I31),""),"")</f>
        <v/>
      </c>
      <c r="N31" s="31" t="str">
        <f aca="false">IF($M31="","",IFERROR(IF($J31="",IF(INDEX(Settings!$D$12:$D$21,MATCH($B31,Settings!$B$12:$B$21,0))="Tiered",INDEX(Settings!$I$12:$I$21,MATCH($B31,Settings!$B$12:$B$21,0)),INDEX(Settings!$G$12:$G$21,MATCH($B31,Settings!$B$12:$B$21,0))),INDEX(Calculation!$U$6:$U$125,(MATCH($B31,Settings!$B$12:$B$21,0)-1)*12+$J31)),0))</f>
        <v/>
      </c>
      <c r="O31" s="30" t="n">
        <f aca="false">IF($M31="",0,N($L31)*N($N31))</f>
        <v>0</v>
      </c>
      <c r="P31" s="29" t="n">
        <f aca="false">IF(AND($B31&lt;&gt;"",$B31=Statement!$C$6,$J31=Statement!$C$8,$K31=1),1,0)</f>
        <v>0</v>
      </c>
      <c r="Q31" s="29" t="str">
        <f aca="false">IF($P31=1,SUM($P$5:$P31),"")</f>
        <v/>
      </c>
      <c r="R31" s="29" t="n">
        <f aca="false">IF(AND($B31&lt;&gt;"",$B31=Statement!$C$6,$M31=Statement!$C$8),1,0)</f>
        <v>0</v>
      </c>
      <c r="S31" s="29" t="str">
        <f aca="false">IF($R31=1,SUM($R$5:$R31),"")</f>
        <v/>
      </c>
    </row>
    <row r="32" customFormat="false" ht="15" hidden="false" customHeight="false" outlineLevel="0" collapsed="false">
      <c r="A32" s="28"/>
      <c r="B32" s="10"/>
      <c r="C32" s="10"/>
      <c r="D32" s="10"/>
      <c r="E32" s="23"/>
      <c r="F32" s="23"/>
      <c r="G32" s="10"/>
      <c r="H32" s="10"/>
      <c r="I32" s="28"/>
      <c r="J32" s="29" t="str">
        <f aca="false">IF(OR($A32="",$B32=""),"",IF(YEAR($A32)=Settings!$C$4,MONTH($A32),""))</f>
        <v/>
      </c>
      <c r="K32" s="29" t="str">
        <f aca="false">IF($A32="","",IF(OR($J32="",$B32=""),0,IF(OR($G32="Won",$H32="Yes"),1,0)))</f>
        <v/>
      </c>
      <c r="L32" s="30" t="str">
        <f aca="false">IF($B32="","",IFERROR(IF(INDEX(Settings!$E$12:$E$21,MATCH($B32,Settings!$B$12:$B$21,0))="Gross margin",N($F32),N($E32)),""))</f>
        <v/>
      </c>
      <c r="M32" s="29" t="str">
        <f aca="false">IF(AND($G32="Cancelled",$H32="Yes",$I32&lt;&gt;""),IF(YEAR($I32)=Settings!$C$4,MONTH($I32),""),"")</f>
        <v/>
      </c>
      <c r="N32" s="31" t="str">
        <f aca="false">IF($M32="","",IFERROR(IF($J32="",IF(INDEX(Settings!$D$12:$D$21,MATCH($B32,Settings!$B$12:$B$21,0))="Tiered",INDEX(Settings!$I$12:$I$21,MATCH($B32,Settings!$B$12:$B$21,0)),INDEX(Settings!$G$12:$G$21,MATCH($B32,Settings!$B$12:$B$21,0))),INDEX(Calculation!$U$6:$U$125,(MATCH($B32,Settings!$B$12:$B$21,0)-1)*12+$J32)),0))</f>
        <v/>
      </c>
      <c r="O32" s="30" t="n">
        <f aca="false">IF($M32="",0,N($L32)*N($N32))</f>
        <v>0</v>
      </c>
      <c r="P32" s="29" t="n">
        <f aca="false">IF(AND($B32&lt;&gt;"",$B32=Statement!$C$6,$J32=Statement!$C$8,$K32=1),1,0)</f>
        <v>0</v>
      </c>
      <c r="Q32" s="29" t="str">
        <f aca="false">IF($P32=1,SUM($P$5:$P32),"")</f>
        <v/>
      </c>
      <c r="R32" s="29" t="n">
        <f aca="false">IF(AND($B32&lt;&gt;"",$B32=Statement!$C$6,$M32=Statement!$C$8),1,0)</f>
        <v>0</v>
      </c>
      <c r="S32" s="29" t="str">
        <f aca="false">IF($R32=1,SUM($R$5:$R32),"")</f>
        <v/>
      </c>
    </row>
    <row r="33" customFormat="false" ht="15" hidden="false" customHeight="false" outlineLevel="0" collapsed="false">
      <c r="A33" s="28"/>
      <c r="B33" s="10"/>
      <c r="C33" s="10"/>
      <c r="D33" s="10"/>
      <c r="E33" s="23"/>
      <c r="F33" s="23"/>
      <c r="G33" s="10"/>
      <c r="H33" s="10"/>
      <c r="I33" s="28"/>
      <c r="J33" s="29" t="str">
        <f aca="false">IF(OR($A33="",$B33=""),"",IF(YEAR($A33)=Settings!$C$4,MONTH($A33),""))</f>
        <v/>
      </c>
      <c r="K33" s="29" t="str">
        <f aca="false">IF($A33="","",IF(OR($J33="",$B33=""),0,IF(OR($G33="Won",$H33="Yes"),1,0)))</f>
        <v/>
      </c>
      <c r="L33" s="30" t="str">
        <f aca="false">IF($B33="","",IFERROR(IF(INDEX(Settings!$E$12:$E$21,MATCH($B33,Settings!$B$12:$B$21,0))="Gross margin",N($F33),N($E33)),""))</f>
        <v/>
      </c>
      <c r="M33" s="29" t="str">
        <f aca="false">IF(AND($G33="Cancelled",$H33="Yes",$I33&lt;&gt;""),IF(YEAR($I33)=Settings!$C$4,MONTH($I33),""),"")</f>
        <v/>
      </c>
      <c r="N33" s="31" t="str">
        <f aca="false">IF($M33="","",IFERROR(IF($J33="",IF(INDEX(Settings!$D$12:$D$21,MATCH($B33,Settings!$B$12:$B$21,0))="Tiered",INDEX(Settings!$I$12:$I$21,MATCH($B33,Settings!$B$12:$B$21,0)),INDEX(Settings!$G$12:$G$21,MATCH($B33,Settings!$B$12:$B$21,0))),INDEX(Calculation!$U$6:$U$125,(MATCH($B33,Settings!$B$12:$B$21,0)-1)*12+$J33)),0))</f>
        <v/>
      </c>
      <c r="O33" s="30" t="n">
        <f aca="false">IF($M33="",0,N($L33)*N($N33))</f>
        <v>0</v>
      </c>
      <c r="P33" s="29" t="n">
        <f aca="false">IF(AND($B33&lt;&gt;"",$B33=Statement!$C$6,$J33=Statement!$C$8,$K33=1),1,0)</f>
        <v>0</v>
      </c>
      <c r="Q33" s="29" t="str">
        <f aca="false">IF($P33=1,SUM($P$5:$P33),"")</f>
        <v/>
      </c>
      <c r="R33" s="29" t="n">
        <f aca="false">IF(AND($B33&lt;&gt;"",$B33=Statement!$C$6,$M33=Statement!$C$8),1,0)</f>
        <v>0</v>
      </c>
      <c r="S33" s="29" t="str">
        <f aca="false">IF($R33=1,SUM($R$5:$R33),"")</f>
        <v/>
      </c>
    </row>
    <row r="34" customFormat="false" ht="15" hidden="false" customHeight="false" outlineLevel="0" collapsed="false">
      <c r="A34" s="28"/>
      <c r="B34" s="10"/>
      <c r="C34" s="10"/>
      <c r="D34" s="10"/>
      <c r="E34" s="23"/>
      <c r="F34" s="23"/>
      <c r="G34" s="10"/>
      <c r="H34" s="10"/>
      <c r="I34" s="28"/>
      <c r="J34" s="29" t="str">
        <f aca="false">IF(OR($A34="",$B34=""),"",IF(YEAR($A34)=Settings!$C$4,MONTH($A34),""))</f>
        <v/>
      </c>
      <c r="K34" s="29" t="str">
        <f aca="false">IF($A34="","",IF(OR($J34="",$B34=""),0,IF(OR($G34="Won",$H34="Yes"),1,0)))</f>
        <v/>
      </c>
      <c r="L34" s="30" t="str">
        <f aca="false">IF($B34="","",IFERROR(IF(INDEX(Settings!$E$12:$E$21,MATCH($B34,Settings!$B$12:$B$21,0))="Gross margin",N($F34),N($E34)),""))</f>
        <v/>
      </c>
      <c r="M34" s="29" t="str">
        <f aca="false">IF(AND($G34="Cancelled",$H34="Yes",$I34&lt;&gt;""),IF(YEAR($I34)=Settings!$C$4,MONTH($I34),""),"")</f>
        <v/>
      </c>
      <c r="N34" s="31" t="str">
        <f aca="false">IF($M34="","",IFERROR(IF($J34="",IF(INDEX(Settings!$D$12:$D$21,MATCH($B34,Settings!$B$12:$B$21,0))="Tiered",INDEX(Settings!$I$12:$I$21,MATCH($B34,Settings!$B$12:$B$21,0)),INDEX(Settings!$G$12:$G$21,MATCH($B34,Settings!$B$12:$B$21,0))),INDEX(Calculation!$U$6:$U$125,(MATCH($B34,Settings!$B$12:$B$21,0)-1)*12+$J34)),0))</f>
        <v/>
      </c>
      <c r="O34" s="30" t="n">
        <f aca="false">IF($M34="",0,N($L34)*N($N34))</f>
        <v>0</v>
      </c>
      <c r="P34" s="29" t="n">
        <f aca="false">IF(AND($B34&lt;&gt;"",$B34=Statement!$C$6,$J34=Statement!$C$8,$K34=1),1,0)</f>
        <v>0</v>
      </c>
      <c r="Q34" s="29" t="str">
        <f aca="false">IF($P34=1,SUM($P$5:$P34),"")</f>
        <v/>
      </c>
      <c r="R34" s="29" t="n">
        <f aca="false">IF(AND($B34&lt;&gt;"",$B34=Statement!$C$6,$M34=Statement!$C$8),1,0)</f>
        <v>0</v>
      </c>
      <c r="S34" s="29" t="str">
        <f aca="false">IF($R34=1,SUM($R$5:$R34),"")</f>
        <v/>
      </c>
    </row>
    <row r="35" customFormat="false" ht="15" hidden="false" customHeight="false" outlineLevel="0" collapsed="false">
      <c r="A35" s="28"/>
      <c r="B35" s="10"/>
      <c r="C35" s="10"/>
      <c r="D35" s="10"/>
      <c r="E35" s="23"/>
      <c r="F35" s="23"/>
      <c r="G35" s="10"/>
      <c r="H35" s="10"/>
      <c r="I35" s="28"/>
      <c r="J35" s="29" t="str">
        <f aca="false">IF(OR($A35="",$B35=""),"",IF(YEAR($A35)=Settings!$C$4,MONTH($A35),""))</f>
        <v/>
      </c>
      <c r="K35" s="29" t="str">
        <f aca="false">IF($A35="","",IF(OR($J35="",$B35=""),0,IF(OR($G35="Won",$H35="Yes"),1,0)))</f>
        <v/>
      </c>
      <c r="L35" s="30" t="str">
        <f aca="false">IF($B35="","",IFERROR(IF(INDEX(Settings!$E$12:$E$21,MATCH($B35,Settings!$B$12:$B$21,0))="Gross margin",N($F35),N($E35)),""))</f>
        <v/>
      </c>
      <c r="M35" s="29" t="str">
        <f aca="false">IF(AND($G35="Cancelled",$H35="Yes",$I35&lt;&gt;""),IF(YEAR($I35)=Settings!$C$4,MONTH($I35),""),"")</f>
        <v/>
      </c>
      <c r="N35" s="31" t="str">
        <f aca="false">IF($M35="","",IFERROR(IF($J35="",IF(INDEX(Settings!$D$12:$D$21,MATCH($B35,Settings!$B$12:$B$21,0))="Tiered",INDEX(Settings!$I$12:$I$21,MATCH($B35,Settings!$B$12:$B$21,0)),INDEX(Settings!$G$12:$G$21,MATCH($B35,Settings!$B$12:$B$21,0))),INDEX(Calculation!$U$6:$U$125,(MATCH($B35,Settings!$B$12:$B$21,0)-1)*12+$J35)),0))</f>
        <v/>
      </c>
      <c r="O35" s="30" t="n">
        <f aca="false">IF($M35="",0,N($L35)*N($N35))</f>
        <v>0</v>
      </c>
      <c r="P35" s="29" t="n">
        <f aca="false">IF(AND($B35&lt;&gt;"",$B35=Statement!$C$6,$J35=Statement!$C$8,$K35=1),1,0)</f>
        <v>0</v>
      </c>
      <c r="Q35" s="29" t="str">
        <f aca="false">IF($P35=1,SUM($P$5:$P35),"")</f>
        <v/>
      </c>
      <c r="R35" s="29" t="n">
        <f aca="false">IF(AND($B35&lt;&gt;"",$B35=Statement!$C$6,$M35=Statement!$C$8),1,0)</f>
        <v>0</v>
      </c>
      <c r="S35" s="29" t="str">
        <f aca="false">IF($R35=1,SUM($R$5:$R35),"")</f>
        <v/>
      </c>
    </row>
    <row r="36" customFormat="false" ht="15" hidden="false" customHeight="false" outlineLevel="0" collapsed="false">
      <c r="A36" s="28"/>
      <c r="B36" s="10"/>
      <c r="C36" s="10"/>
      <c r="D36" s="10"/>
      <c r="E36" s="23"/>
      <c r="F36" s="23"/>
      <c r="G36" s="10"/>
      <c r="H36" s="10"/>
      <c r="I36" s="28"/>
      <c r="J36" s="29" t="str">
        <f aca="false">IF(OR($A36="",$B36=""),"",IF(YEAR($A36)=Settings!$C$4,MONTH($A36),""))</f>
        <v/>
      </c>
      <c r="K36" s="29" t="str">
        <f aca="false">IF($A36="","",IF(OR($J36="",$B36=""),0,IF(OR($G36="Won",$H36="Yes"),1,0)))</f>
        <v/>
      </c>
      <c r="L36" s="30" t="str">
        <f aca="false">IF($B36="","",IFERROR(IF(INDEX(Settings!$E$12:$E$21,MATCH($B36,Settings!$B$12:$B$21,0))="Gross margin",N($F36),N($E36)),""))</f>
        <v/>
      </c>
      <c r="M36" s="29" t="str">
        <f aca="false">IF(AND($G36="Cancelled",$H36="Yes",$I36&lt;&gt;""),IF(YEAR($I36)=Settings!$C$4,MONTH($I36),""),"")</f>
        <v/>
      </c>
      <c r="N36" s="31" t="str">
        <f aca="false">IF($M36="","",IFERROR(IF($J36="",IF(INDEX(Settings!$D$12:$D$21,MATCH($B36,Settings!$B$12:$B$21,0))="Tiered",INDEX(Settings!$I$12:$I$21,MATCH($B36,Settings!$B$12:$B$21,0)),INDEX(Settings!$G$12:$G$21,MATCH($B36,Settings!$B$12:$B$21,0))),INDEX(Calculation!$U$6:$U$125,(MATCH($B36,Settings!$B$12:$B$21,0)-1)*12+$J36)),0))</f>
        <v/>
      </c>
      <c r="O36" s="30" t="n">
        <f aca="false">IF($M36="",0,N($L36)*N($N36))</f>
        <v>0</v>
      </c>
      <c r="P36" s="29" t="n">
        <f aca="false">IF(AND($B36&lt;&gt;"",$B36=Statement!$C$6,$J36=Statement!$C$8,$K36=1),1,0)</f>
        <v>0</v>
      </c>
      <c r="Q36" s="29" t="str">
        <f aca="false">IF($P36=1,SUM($P$5:$P36),"")</f>
        <v/>
      </c>
      <c r="R36" s="29" t="n">
        <f aca="false">IF(AND($B36&lt;&gt;"",$B36=Statement!$C$6,$M36=Statement!$C$8),1,0)</f>
        <v>0</v>
      </c>
      <c r="S36" s="29" t="str">
        <f aca="false">IF($R36=1,SUM($R$5:$R36),"")</f>
        <v/>
      </c>
    </row>
    <row r="37" customFormat="false" ht="15" hidden="false" customHeight="false" outlineLevel="0" collapsed="false">
      <c r="A37" s="28"/>
      <c r="B37" s="10"/>
      <c r="C37" s="10"/>
      <c r="D37" s="10"/>
      <c r="E37" s="23"/>
      <c r="F37" s="23"/>
      <c r="G37" s="10"/>
      <c r="H37" s="10"/>
      <c r="I37" s="28"/>
      <c r="J37" s="29" t="str">
        <f aca="false">IF(OR($A37="",$B37=""),"",IF(YEAR($A37)=Settings!$C$4,MONTH($A37),""))</f>
        <v/>
      </c>
      <c r="K37" s="29" t="str">
        <f aca="false">IF($A37="","",IF(OR($J37="",$B37=""),0,IF(OR($G37="Won",$H37="Yes"),1,0)))</f>
        <v/>
      </c>
      <c r="L37" s="30" t="str">
        <f aca="false">IF($B37="","",IFERROR(IF(INDEX(Settings!$E$12:$E$21,MATCH($B37,Settings!$B$12:$B$21,0))="Gross margin",N($F37),N($E37)),""))</f>
        <v/>
      </c>
      <c r="M37" s="29" t="str">
        <f aca="false">IF(AND($G37="Cancelled",$H37="Yes",$I37&lt;&gt;""),IF(YEAR($I37)=Settings!$C$4,MONTH($I37),""),"")</f>
        <v/>
      </c>
      <c r="N37" s="31" t="str">
        <f aca="false">IF($M37="","",IFERROR(IF($J37="",IF(INDEX(Settings!$D$12:$D$21,MATCH($B37,Settings!$B$12:$B$21,0))="Tiered",INDEX(Settings!$I$12:$I$21,MATCH($B37,Settings!$B$12:$B$21,0)),INDEX(Settings!$G$12:$G$21,MATCH($B37,Settings!$B$12:$B$21,0))),INDEX(Calculation!$U$6:$U$125,(MATCH($B37,Settings!$B$12:$B$21,0)-1)*12+$J37)),0))</f>
        <v/>
      </c>
      <c r="O37" s="30" t="n">
        <f aca="false">IF($M37="",0,N($L37)*N($N37))</f>
        <v>0</v>
      </c>
      <c r="P37" s="29" t="n">
        <f aca="false">IF(AND($B37&lt;&gt;"",$B37=Statement!$C$6,$J37=Statement!$C$8,$K37=1),1,0)</f>
        <v>0</v>
      </c>
      <c r="Q37" s="29" t="str">
        <f aca="false">IF($P37=1,SUM($P$5:$P37),"")</f>
        <v/>
      </c>
      <c r="R37" s="29" t="n">
        <f aca="false">IF(AND($B37&lt;&gt;"",$B37=Statement!$C$6,$M37=Statement!$C$8),1,0)</f>
        <v>0</v>
      </c>
      <c r="S37" s="29" t="str">
        <f aca="false">IF($R37=1,SUM($R$5:$R37),"")</f>
        <v/>
      </c>
    </row>
    <row r="38" customFormat="false" ht="15" hidden="false" customHeight="false" outlineLevel="0" collapsed="false">
      <c r="A38" s="28"/>
      <c r="B38" s="10"/>
      <c r="C38" s="10"/>
      <c r="D38" s="10"/>
      <c r="E38" s="23"/>
      <c r="F38" s="23"/>
      <c r="G38" s="10"/>
      <c r="H38" s="10"/>
      <c r="I38" s="28"/>
      <c r="J38" s="29" t="str">
        <f aca="false">IF(OR($A38="",$B38=""),"",IF(YEAR($A38)=Settings!$C$4,MONTH($A38),""))</f>
        <v/>
      </c>
      <c r="K38" s="29" t="str">
        <f aca="false">IF($A38="","",IF(OR($J38="",$B38=""),0,IF(OR($G38="Won",$H38="Yes"),1,0)))</f>
        <v/>
      </c>
      <c r="L38" s="30" t="str">
        <f aca="false">IF($B38="","",IFERROR(IF(INDEX(Settings!$E$12:$E$21,MATCH($B38,Settings!$B$12:$B$21,0))="Gross margin",N($F38),N($E38)),""))</f>
        <v/>
      </c>
      <c r="M38" s="29" t="str">
        <f aca="false">IF(AND($G38="Cancelled",$H38="Yes",$I38&lt;&gt;""),IF(YEAR($I38)=Settings!$C$4,MONTH($I38),""),"")</f>
        <v/>
      </c>
      <c r="N38" s="31" t="str">
        <f aca="false">IF($M38="","",IFERROR(IF($J38="",IF(INDEX(Settings!$D$12:$D$21,MATCH($B38,Settings!$B$12:$B$21,0))="Tiered",INDEX(Settings!$I$12:$I$21,MATCH($B38,Settings!$B$12:$B$21,0)),INDEX(Settings!$G$12:$G$21,MATCH($B38,Settings!$B$12:$B$21,0))),INDEX(Calculation!$U$6:$U$125,(MATCH($B38,Settings!$B$12:$B$21,0)-1)*12+$J38)),0))</f>
        <v/>
      </c>
      <c r="O38" s="30" t="n">
        <f aca="false">IF($M38="",0,N($L38)*N($N38))</f>
        <v>0</v>
      </c>
      <c r="P38" s="29" t="n">
        <f aca="false">IF(AND($B38&lt;&gt;"",$B38=Statement!$C$6,$J38=Statement!$C$8,$K38=1),1,0)</f>
        <v>0</v>
      </c>
      <c r="Q38" s="29" t="str">
        <f aca="false">IF($P38=1,SUM($P$5:$P38),"")</f>
        <v/>
      </c>
      <c r="R38" s="29" t="n">
        <f aca="false">IF(AND($B38&lt;&gt;"",$B38=Statement!$C$6,$M38=Statement!$C$8),1,0)</f>
        <v>0</v>
      </c>
      <c r="S38" s="29" t="str">
        <f aca="false">IF($R38=1,SUM($R$5:$R38),"")</f>
        <v/>
      </c>
    </row>
    <row r="39" customFormat="false" ht="15" hidden="false" customHeight="false" outlineLevel="0" collapsed="false">
      <c r="A39" s="28"/>
      <c r="B39" s="10"/>
      <c r="C39" s="10"/>
      <c r="D39" s="10"/>
      <c r="E39" s="23"/>
      <c r="F39" s="23"/>
      <c r="G39" s="10"/>
      <c r="H39" s="10"/>
      <c r="I39" s="28"/>
      <c r="J39" s="29" t="str">
        <f aca="false">IF(OR($A39="",$B39=""),"",IF(YEAR($A39)=Settings!$C$4,MONTH($A39),""))</f>
        <v/>
      </c>
      <c r="K39" s="29" t="str">
        <f aca="false">IF($A39="","",IF(OR($J39="",$B39=""),0,IF(OR($G39="Won",$H39="Yes"),1,0)))</f>
        <v/>
      </c>
      <c r="L39" s="30" t="str">
        <f aca="false">IF($B39="","",IFERROR(IF(INDEX(Settings!$E$12:$E$21,MATCH($B39,Settings!$B$12:$B$21,0))="Gross margin",N($F39),N($E39)),""))</f>
        <v/>
      </c>
      <c r="M39" s="29" t="str">
        <f aca="false">IF(AND($G39="Cancelled",$H39="Yes",$I39&lt;&gt;""),IF(YEAR($I39)=Settings!$C$4,MONTH($I39),""),"")</f>
        <v/>
      </c>
      <c r="N39" s="31" t="str">
        <f aca="false">IF($M39="","",IFERROR(IF($J39="",IF(INDEX(Settings!$D$12:$D$21,MATCH($B39,Settings!$B$12:$B$21,0))="Tiered",INDEX(Settings!$I$12:$I$21,MATCH($B39,Settings!$B$12:$B$21,0)),INDEX(Settings!$G$12:$G$21,MATCH($B39,Settings!$B$12:$B$21,0))),INDEX(Calculation!$U$6:$U$125,(MATCH($B39,Settings!$B$12:$B$21,0)-1)*12+$J39)),0))</f>
        <v/>
      </c>
      <c r="O39" s="30" t="n">
        <f aca="false">IF($M39="",0,N($L39)*N($N39))</f>
        <v>0</v>
      </c>
      <c r="P39" s="29" t="n">
        <f aca="false">IF(AND($B39&lt;&gt;"",$B39=Statement!$C$6,$J39=Statement!$C$8,$K39=1),1,0)</f>
        <v>0</v>
      </c>
      <c r="Q39" s="29" t="str">
        <f aca="false">IF($P39=1,SUM($P$5:$P39),"")</f>
        <v/>
      </c>
      <c r="R39" s="29" t="n">
        <f aca="false">IF(AND($B39&lt;&gt;"",$B39=Statement!$C$6,$M39=Statement!$C$8),1,0)</f>
        <v>0</v>
      </c>
      <c r="S39" s="29" t="str">
        <f aca="false">IF($R39=1,SUM($R$5:$R39),"")</f>
        <v/>
      </c>
    </row>
    <row r="40" customFormat="false" ht="15" hidden="false" customHeight="false" outlineLevel="0" collapsed="false">
      <c r="A40" s="28"/>
      <c r="B40" s="10"/>
      <c r="C40" s="10"/>
      <c r="D40" s="10"/>
      <c r="E40" s="23"/>
      <c r="F40" s="23"/>
      <c r="G40" s="10"/>
      <c r="H40" s="10"/>
      <c r="I40" s="28"/>
      <c r="J40" s="29" t="str">
        <f aca="false">IF(OR($A40="",$B40=""),"",IF(YEAR($A40)=Settings!$C$4,MONTH($A40),""))</f>
        <v/>
      </c>
      <c r="K40" s="29" t="str">
        <f aca="false">IF($A40="","",IF(OR($J40="",$B40=""),0,IF(OR($G40="Won",$H40="Yes"),1,0)))</f>
        <v/>
      </c>
      <c r="L40" s="30" t="str">
        <f aca="false">IF($B40="","",IFERROR(IF(INDEX(Settings!$E$12:$E$21,MATCH($B40,Settings!$B$12:$B$21,0))="Gross margin",N($F40),N($E40)),""))</f>
        <v/>
      </c>
      <c r="M40" s="29" t="str">
        <f aca="false">IF(AND($G40="Cancelled",$H40="Yes",$I40&lt;&gt;""),IF(YEAR($I40)=Settings!$C$4,MONTH($I40),""),"")</f>
        <v/>
      </c>
      <c r="N40" s="31" t="str">
        <f aca="false">IF($M40="","",IFERROR(IF($J40="",IF(INDEX(Settings!$D$12:$D$21,MATCH($B40,Settings!$B$12:$B$21,0))="Tiered",INDEX(Settings!$I$12:$I$21,MATCH($B40,Settings!$B$12:$B$21,0)),INDEX(Settings!$G$12:$G$21,MATCH($B40,Settings!$B$12:$B$21,0))),INDEX(Calculation!$U$6:$U$125,(MATCH($B40,Settings!$B$12:$B$21,0)-1)*12+$J40)),0))</f>
        <v/>
      </c>
      <c r="O40" s="30" t="n">
        <f aca="false">IF($M40="",0,N($L40)*N($N40))</f>
        <v>0</v>
      </c>
      <c r="P40" s="29" t="n">
        <f aca="false">IF(AND($B40&lt;&gt;"",$B40=Statement!$C$6,$J40=Statement!$C$8,$K40=1),1,0)</f>
        <v>0</v>
      </c>
      <c r="Q40" s="29" t="str">
        <f aca="false">IF($P40=1,SUM($P$5:$P40),"")</f>
        <v/>
      </c>
      <c r="R40" s="29" t="n">
        <f aca="false">IF(AND($B40&lt;&gt;"",$B40=Statement!$C$6,$M40=Statement!$C$8),1,0)</f>
        <v>0</v>
      </c>
      <c r="S40" s="29" t="str">
        <f aca="false">IF($R40=1,SUM($R$5:$R40),"")</f>
        <v/>
      </c>
    </row>
    <row r="41" customFormat="false" ht="15" hidden="false" customHeight="false" outlineLevel="0" collapsed="false">
      <c r="A41" s="28"/>
      <c r="B41" s="10"/>
      <c r="C41" s="10"/>
      <c r="D41" s="10"/>
      <c r="E41" s="23"/>
      <c r="F41" s="23"/>
      <c r="G41" s="10"/>
      <c r="H41" s="10"/>
      <c r="I41" s="28"/>
      <c r="J41" s="29" t="str">
        <f aca="false">IF(OR($A41="",$B41=""),"",IF(YEAR($A41)=Settings!$C$4,MONTH($A41),""))</f>
        <v/>
      </c>
      <c r="K41" s="29" t="str">
        <f aca="false">IF($A41="","",IF(OR($J41="",$B41=""),0,IF(OR($G41="Won",$H41="Yes"),1,0)))</f>
        <v/>
      </c>
      <c r="L41" s="30" t="str">
        <f aca="false">IF($B41="","",IFERROR(IF(INDEX(Settings!$E$12:$E$21,MATCH($B41,Settings!$B$12:$B$21,0))="Gross margin",N($F41),N($E41)),""))</f>
        <v/>
      </c>
      <c r="M41" s="29" t="str">
        <f aca="false">IF(AND($G41="Cancelled",$H41="Yes",$I41&lt;&gt;""),IF(YEAR($I41)=Settings!$C$4,MONTH($I41),""),"")</f>
        <v/>
      </c>
      <c r="N41" s="31" t="str">
        <f aca="false">IF($M41="","",IFERROR(IF($J41="",IF(INDEX(Settings!$D$12:$D$21,MATCH($B41,Settings!$B$12:$B$21,0))="Tiered",INDEX(Settings!$I$12:$I$21,MATCH($B41,Settings!$B$12:$B$21,0)),INDEX(Settings!$G$12:$G$21,MATCH($B41,Settings!$B$12:$B$21,0))),INDEX(Calculation!$U$6:$U$125,(MATCH($B41,Settings!$B$12:$B$21,0)-1)*12+$J41)),0))</f>
        <v/>
      </c>
      <c r="O41" s="30" t="n">
        <f aca="false">IF($M41="",0,N($L41)*N($N41))</f>
        <v>0</v>
      </c>
      <c r="P41" s="29" t="n">
        <f aca="false">IF(AND($B41&lt;&gt;"",$B41=Statement!$C$6,$J41=Statement!$C$8,$K41=1),1,0)</f>
        <v>0</v>
      </c>
      <c r="Q41" s="29" t="str">
        <f aca="false">IF($P41=1,SUM($P$5:$P41),"")</f>
        <v/>
      </c>
      <c r="R41" s="29" t="n">
        <f aca="false">IF(AND($B41&lt;&gt;"",$B41=Statement!$C$6,$M41=Statement!$C$8),1,0)</f>
        <v>0</v>
      </c>
      <c r="S41" s="29" t="str">
        <f aca="false">IF($R41=1,SUM($R$5:$R41),"")</f>
        <v/>
      </c>
    </row>
    <row r="42" customFormat="false" ht="15" hidden="false" customHeight="false" outlineLevel="0" collapsed="false">
      <c r="A42" s="28"/>
      <c r="B42" s="10"/>
      <c r="C42" s="10"/>
      <c r="D42" s="10"/>
      <c r="E42" s="23"/>
      <c r="F42" s="23"/>
      <c r="G42" s="10"/>
      <c r="H42" s="10"/>
      <c r="I42" s="28"/>
      <c r="J42" s="29" t="str">
        <f aca="false">IF(OR($A42="",$B42=""),"",IF(YEAR($A42)=Settings!$C$4,MONTH($A42),""))</f>
        <v/>
      </c>
      <c r="K42" s="29" t="str">
        <f aca="false">IF($A42="","",IF(OR($J42="",$B42=""),0,IF(OR($G42="Won",$H42="Yes"),1,0)))</f>
        <v/>
      </c>
      <c r="L42" s="30" t="str">
        <f aca="false">IF($B42="","",IFERROR(IF(INDEX(Settings!$E$12:$E$21,MATCH($B42,Settings!$B$12:$B$21,0))="Gross margin",N($F42),N($E42)),""))</f>
        <v/>
      </c>
      <c r="M42" s="29" t="str">
        <f aca="false">IF(AND($G42="Cancelled",$H42="Yes",$I42&lt;&gt;""),IF(YEAR($I42)=Settings!$C$4,MONTH($I42),""),"")</f>
        <v/>
      </c>
      <c r="N42" s="31" t="str">
        <f aca="false">IF($M42="","",IFERROR(IF($J42="",IF(INDEX(Settings!$D$12:$D$21,MATCH($B42,Settings!$B$12:$B$21,0))="Tiered",INDEX(Settings!$I$12:$I$21,MATCH($B42,Settings!$B$12:$B$21,0)),INDEX(Settings!$G$12:$G$21,MATCH($B42,Settings!$B$12:$B$21,0))),INDEX(Calculation!$U$6:$U$125,(MATCH($B42,Settings!$B$12:$B$21,0)-1)*12+$J42)),0))</f>
        <v/>
      </c>
      <c r="O42" s="30" t="n">
        <f aca="false">IF($M42="",0,N($L42)*N($N42))</f>
        <v>0</v>
      </c>
      <c r="P42" s="29" t="n">
        <f aca="false">IF(AND($B42&lt;&gt;"",$B42=Statement!$C$6,$J42=Statement!$C$8,$K42=1),1,0)</f>
        <v>0</v>
      </c>
      <c r="Q42" s="29" t="str">
        <f aca="false">IF($P42=1,SUM($P$5:$P42),"")</f>
        <v/>
      </c>
      <c r="R42" s="29" t="n">
        <f aca="false">IF(AND($B42&lt;&gt;"",$B42=Statement!$C$6,$M42=Statement!$C$8),1,0)</f>
        <v>0</v>
      </c>
      <c r="S42" s="29" t="str">
        <f aca="false">IF($R42=1,SUM($R$5:$R42),"")</f>
        <v/>
      </c>
    </row>
    <row r="43" customFormat="false" ht="15" hidden="false" customHeight="false" outlineLevel="0" collapsed="false">
      <c r="A43" s="28"/>
      <c r="B43" s="10"/>
      <c r="C43" s="10"/>
      <c r="D43" s="10"/>
      <c r="E43" s="23"/>
      <c r="F43" s="23"/>
      <c r="G43" s="10"/>
      <c r="H43" s="10"/>
      <c r="I43" s="28"/>
      <c r="J43" s="29" t="str">
        <f aca="false">IF(OR($A43="",$B43=""),"",IF(YEAR($A43)=Settings!$C$4,MONTH($A43),""))</f>
        <v/>
      </c>
      <c r="K43" s="29" t="str">
        <f aca="false">IF($A43="","",IF(OR($J43="",$B43=""),0,IF(OR($G43="Won",$H43="Yes"),1,0)))</f>
        <v/>
      </c>
      <c r="L43" s="30" t="str">
        <f aca="false">IF($B43="","",IFERROR(IF(INDEX(Settings!$E$12:$E$21,MATCH($B43,Settings!$B$12:$B$21,0))="Gross margin",N($F43),N($E43)),""))</f>
        <v/>
      </c>
      <c r="M43" s="29" t="str">
        <f aca="false">IF(AND($G43="Cancelled",$H43="Yes",$I43&lt;&gt;""),IF(YEAR($I43)=Settings!$C$4,MONTH($I43),""),"")</f>
        <v/>
      </c>
      <c r="N43" s="31" t="str">
        <f aca="false">IF($M43="","",IFERROR(IF($J43="",IF(INDEX(Settings!$D$12:$D$21,MATCH($B43,Settings!$B$12:$B$21,0))="Tiered",INDEX(Settings!$I$12:$I$21,MATCH($B43,Settings!$B$12:$B$21,0)),INDEX(Settings!$G$12:$G$21,MATCH($B43,Settings!$B$12:$B$21,0))),INDEX(Calculation!$U$6:$U$125,(MATCH($B43,Settings!$B$12:$B$21,0)-1)*12+$J43)),0))</f>
        <v/>
      </c>
      <c r="O43" s="30" t="n">
        <f aca="false">IF($M43="",0,N($L43)*N($N43))</f>
        <v>0</v>
      </c>
      <c r="P43" s="29" t="n">
        <f aca="false">IF(AND($B43&lt;&gt;"",$B43=Statement!$C$6,$J43=Statement!$C$8,$K43=1),1,0)</f>
        <v>0</v>
      </c>
      <c r="Q43" s="29" t="str">
        <f aca="false">IF($P43=1,SUM($P$5:$P43),"")</f>
        <v/>
      </c>
      <c r="R43" s="29" t="n">
        <f aca="false">IF(AND($B43&lt;&gt;"",$B43=Statement!$C$6,$M43=Statement!$C$8),1,0)</f>
        <v>0</v>
      </c>
      <c r="S43" s="29" t="str">
        <f aca="false">IF($R43=1,SUM($R$5:$R43),"")</f>
        <v/>
      </c>
    </row>
    <row r="44" customFormat="false" ht="15" hidden="false" customHeight="false" outlineLevel="0" collapsed="false">
      <c r="A44" s="28"/>
      <c r="B44" s="10"/>
      <c r="C44" s="10"/>
      <c r="D44" s="10"/>
      <c r="E44" s="23"/>
      <c r="F44" s="23"/>
      <c r="G44" s="10"/>
      <c r="H44" s="10"/>
      <c r="I44" s="28"/>
      <c r="J44" s="29" t="str">
        <f aca="false">IF(OR($A44="",$B44=""),"",IF(YEAR($A44)=Settings!$C$4,MONTH($A44),""))</f>
        <v/>
      </c>
      <c r="K44" s="29" t="str">
        <f aca="false">IF($A44="","",IF(OR($J44="",$B44=""),0,IF(OR($G44="Won",$H44="Yes"),1,0)))</f>
        <v/>
      </c>
      <c r="L44" s="30" t="str">
        <f aca="false">IF($B44="","",IFERROR(IF(INDEX(Settings!$E$12:$E$21,MATCH($B44,Settings!$B$12:$B$21,0))="Gross margin",N($F44),N($E44)),""))</f>
        <v/>
      </c>
      <c r="M44" s="29" t="str">
        <f aca="false">IF(AND($G44="Cancelled",$H44="Yes",$I44&lt;&gt;""),IF(YEAR($I44)=Settings!$C$4,MONTH($I44),""),"")</f>
        <v/>
      </c>
      <c r="N44" s="31" t="str">
        <f aca="false">IF($M44="","",IFERROR(IF($J44="",IF(INDEX(Settings!$D$12:$D$21,MATCH($B44,Settings!$B$12:$B$21,0))="Tiered",INDEX(Settings!$I$12:$I$21,MATCH($B44,Settings!$B$12:$B$21,0)),INDEX(Settings!$G$12:$G$21,MATCH($B44,Settings!$B$12:$B$21,0))),INDEX(Calculation!$U$6:$U$125,(MATCH($B44,Settings!$B$12:$B$21,0)-1)*12+$J44)),0))</f>
        <v/>
      </c>
      <c r="O44" s="30" t="n">
        <f aca="false">IF($M44="",0,N($L44)*N($N44))</f>
        <v>0</v>
      </c>
      <c r="P44" s="29" t="n">
        <f aca="false">IF(AND($B44&lt;&gt;"",$B44=Statement!$C$6,$J44=Statement!$C$8,$K44=1),1,0)</f>
        <v>0</v>
      </c>
      <c r="Q44" s="29" t="str">
        <f aca="false">IF($P44=1,SUM($P$5:$P44),"")</f>
        <v/>
      </c>
      <c r="R44" s="29" t="n">
        <f aca="false">IF(AND($B44&lt;&gt;"",$B44=Statement!$C$6,$M44=Statement!$C$8),1,0)</f>
        <v>0</v>
      </c>
      <c r="S44" s="29" t="str">
        <f aca="false">IF($R44=1,SUM($R$5:$R44),"")</f>
        <v/>
      </c>
    </row>
    <row r="45" customFormat="false" ht="15" hidden="false" customHeight="false" outlineLevel="0" collapsed="false">
      <c r="A45" s="28"/>
      <c r="B45" s="10"/>
      <c r="C45" s="10"/>
      <c r="D45" s="10"/>
      <c r="E45" s="23"/>
      <c r="F45" s="23"/>
      <c r="G45" s="10"/>
      <c r="H45" s="10"/>
      <c r="I45" s="28"/>
      <c r="J45" s="29" t="str">
        <f aca="false">IF(OR($A45="",$B45=""),"",IF(YEAR($A45)=Settings!$C$4,MONTH($A45),""))</f>
        <v/>
      </c>
      <c r="K45" s="29" t="str">
        <f aca="false">IF($A45="","",IF(OR($J45="",$B45=""),0,IF(OR($G45="Won",$H45="Yes"),1,0)))</f>
        <v/>
      </c>
      <c r="L45" s="30" t="str">
        <f aca="false">IF($B45="","",IFERROR(IF(INDEX(Settings!$E$12:$E$21,MATCH($B45,Settings!$B$12:$B$21,0))="Gross margin",N($F45),N($E45)),""))</f>
        <v/>
      </c>
      <c r="M45" s="29" t="str">
        <f aca="false">IF(AND($G45="Cancelled",$H45="Yes",$I45&lt;&gt;""),IF(YEAR($I45)=Settings!$C$4,MONTH($I45),""),"")</f>
        <v/>
      </c>
      <c r="N45" s="31" t="str">
        <f aca="false">IF($M45="","",IFERROR(IF($J45="",IF(INDEX(Settings!$D$12:$D$21,MATCH($B45,Settings!$B$12:$B$21,0))="Tiered",INDEX(Settings!$I$12:$I$21,MATCH($B45,Settings!$B$12:$B$21,0)),INDEX(Settings!$G$12:$G$21,MATCH($B45,Settings!$B$12:$B$21,0))),INDEX(Calculation!$U$6:$U$125,(MATCH($B45,Settings!$B$12:$B$21,0)-1)*12+$J45)),0))</f>
        <v/>
      </c>
      <c r="O45" s="30" t="n">
        <f aca="false">IF($M45="",0,N($L45)*N($N45))</f>
        <v>0</v>
      </c>
      <c r="P45" s="29" t="n">
        <f aca="false">IF(AND($B45&lt;&gt;"",$B45=Statement!$C$6,$J45=Statement!$C$8,$K45=1),1,0)</f>
        <v>0</v>
      </c>
      <c r="Q45" s="29" t="str">
        <f aca="false">IF($P45=1,SUM($P$5:$P45),"")</f>
        <v/>
      </c>
      <c r="R45" s="29" t="n">
        <f aca="false">IF(AND($B45&lt;&gt;"",$B45=Statement!$C$6,$M45=Statement!$C$8),1,0)</f>
        <v>0</v>
      </c>
      <c r="S45" s="29" t="str">
        <f aca="false">IF($R45=1,SUM($R$5:$R45),"")</f>
        <v/>
      </c>
    </row>
    <row r="46" customFormat="false" ht="15" hidden="false" customHeight="false" outlineLevel="0" collapsed="false">
      <c r="A46" s="28"/>
      <c r="B46" s="10"/>
      <c r="C46" s="10"/>
      <c r="D46" s="10"/>
      <c r="E46" s="23"/>
      <c r="F46" s="23"/>
      <c r="G46" s="10"/>
      <c r="H46" s="10"/>
      <c r="I46" s="28"/>
      <c r="J46" s="29" t="str">
        <f aca="false">IF(OR($A46="",$B46=""),"",IF(YEAR($A46)=Settings!$C$4,MONTH($A46),""))</f>
        <v/>
      </c>
      <c r="K46" s="29" t="str">
        <f aca="false">IF($A46="","",IF(OR($J46="",$B46=""),0,IF(OR($G46="Won",$H46="Yes"),1,0)))</f>
        <v/>
      </c>
      <c r="L46" s="30" t="str">
        <f aca="false">IF($B46="","",IFERROR(IF(INDEX(Settings!$E$12:$E$21,MATCH($B46,Settings!$B$12:$B$21,0))="Gross margin",N($F46),N($E46)),""))</f>
        <v/>
      </c>
      <c r="M46" s="29" t="str">
        <f aca="false">IF(AND($G46="Cancelled",$H46="Yes",$I46&lt;&gt;""),IF(YEAR($I46)=Settings!$C$4,MONTH($I46),""),"")</f>
        <v/>
      </c>
      <c r="N46" s="31" t="str">
        <f aca="false">IF($M46="","",IFERROR(IF($J46="",IF(INDEX(Settings!$D$12:$D$21,MATCH($B46,Settings!$B$12:$B$21,0))="Tiered",INDEX(Settings!$I$12:$I$21,MATCH($B46,Settings!$B$12:$B$21,0)),INDEX(Settings!$G$12:$G$21,MATCH($B46,Settings!$B$12:$B$21,0))),INDEX(Calculation!$U$6:$U$125,(MATCH($B46,Settings!$B$12:$B$21,0)-1)*12+$J46)),0))</f>
        <v/>
      </c>
      <c r="O46" s="30" t="n">
        <f aca="false">IF($M46="",0,N($L46)*N($N46))</f>
        <v>0</v>
      </c>
      <c r="P46" s="29" t="n">
        <f aca="false">IF(AND($B46&lt;&gt;"",$B46=Statement!$C$6,$J46=Statement!$C$8,$K46=1),1,0)</f>
        <v>0</v>
      </c>
      <c r="Q46" s="29" t="str">
        <f aca="false">IF($P46=1,SUM($P$5:$P46),"")</f>
        <v/>
      </c>
      <c r="R46" s="29" t="n">
        <f aca="false">IF(AND($B46&lt;&gt;"",$B46=Statement!$C$6,$M46=Statement!$C$8),1,0)</f>
        <v>0</v>
      </c>
      <c r="S46" s="29" t="str">
        <f aca="false">IF($R46=1,SUM($R$5:$R46),"")</f>
        <v/>
      </c>
    </row>
    <row r="47" customFormat="false" ht="15" hidden="false" customHeight="false" outlineLevel="0" collapsed="false">
      <c r="A47" s="28"/>
      <c r="B47" s="10"/>
      <c r="C47" s="10"/>
      <c r="D47" s="10"/>
      <c r="E47" s="23"/>
      <c r="F47" s="23"/>
      <c r="G47" s="10"/>
      <c r="H47" s="10"/>
      <c r="I47" s="28"/>
      <c r="J47" s="29" t="str">
        <f aca="false">IF(OR($A47="",$B47=""),"",IF(YEAR($A47)=Settings!$C$4,MONTH($A47),""))</f>
        <v/>
      </c>
      <c r="K47" s="29" t="str">
        <f aca="false">IF($A47="","",IF(OR($J47="",$B47=""),0,IF(OR($G47="Won",$H47="Yes"),1,0)))</f>
        <v/>
      </c>
      <c r="L47" s="30" t="str">
        <f aca="false">IF($B47="","",IFERROR(IF(INDEX(Settings!$E$12:$E$21,MATCH($B47,Settings!$B$12:$B$21,0))="Gross margin",N($F47),N($E47)),""))</f>
        <v/>
      </c>
      <c r="M47" s="29" t="str">
        <f aca="false">IF(AND($G47="Cancelled",$H47="Yes",$I47&lt;&gt;""),IF(YEAR($I47)=Settings!$C$4,MONTH($I47),""),"")</f>
        <v/>
      </c>
      <c r="N47" s="31" t="str">
        <f aca="false">IF($M47="","",IFERROR(IF($J47="",IF(INDEX(Settings!$D$12:$D$21,MATCH($B47,Settings!$B$12:$B$21,0))="Tiered",INDEX(Settings!$I$12:$I$21,MATCH($B47,Settings!$B$12:$B$21,0)),INDEX(Settings!$G$12:$G$21,MATCH($B47,Settings!$B$12:$B$21,0))),INDEX(Calculation!$U$6:$U$125,(MATCH($B47,Settings!$B$12:$B$21,0)-1)*12+$J47)),0))</f>
        <v/>
      </c>
      <c r="O47" s="30" t="n">
        <f aca="false">IF($M47="",0,N($L47)*N($N47))</f>
        <v>0</v>
      </c>
      <c r="P47" s="29" t="n">
        <f aca="false">IF(AND($B47&lt;&gt;"",$B47=Statement!$C$6,$J47=Statement!$C$8,$K47=1),1,0)</f>
        <v>0</v>
      </c>
      <c r="Q47" s="29" t="str">
        <f aca="false">IF($P47=1,SUM($P$5:$P47),"")</f>
        <v/>
      </c>
      <c r="R47" s="29" t="n">
        <f aca="false">IF(AND($B47&lt;&gt;"",$B47=Statement!$C$6,$M47=Statement!$C$8),1,0)</f>
        <v>0</v>
      </c>
      <c r="S47" s="29" t="str">
        <f aca="false">IF($R47=1,SUM($R$5:$R47),"")</f>
        <v/>
      </c>
    </row>
    <row r="48" customFormat="false" ht="15" hidden="false" customHeight="false" outlineLevel="0" collapsed="false">
      <c r="A48" s="28"/>
      <c r="B48" s="10"/>
      <c r="C48" s="10"/>
      <c r="D48" s="10"/>
      <c r="E48" s="23"/>
      <c r="F48" s="23"/>
      <c r="G48" s="10"/>
      <c r="H48" s="10"/>
      <c r="I48" s="28"/>
      <c r="J48" s="29" t="str">
        <f aca="false">IF(OR($A48="",$B48=""),"",IF(YEAR($A48)=Settings!$C$4,MONTH($A48),""))</f>
        <v/>
      </c>
      <c r="K48" s="29" t="str">
        <f aca="false">IF($A48="","",IF(OR($J48="",$B48=""),0,IF(OR($G48="Won",$H48="Yes"),1,0)))</f>
        <v/>
      </c>
      <c r="L48" s="30" t="str">
        <f aca="false">IF($B48="","",IFERROR(IF(INDEX(Settings!$E$12:$E$21,MATCH($B48,Settings!$B$12:$B$21,0))="Gross margin",N($F48),N($E48)),""))</f>
        <v/>
      </c>
      <c r="M48" s="29" t="str">
        <f aca="false">IF(AND($G48="Cancelled",$H48="Yes",$I48&lt;&gt;""),IF(YEAR($I48)=Settings!$C$4,MONTH($I48),""),"")</f>
        <v/>
      </c>
      <c r="N48" s="31" t="str">
        <f aca="false">IF($M48="","",IFERROR(IF($J48="",IF(INDEX(Settings!$D$12:$D$21,MATCH($B48,Settings!$B$12:$B$21,0))="Tiered",INDEX(Settings!$I$12:$I$21,MATCH($B48,Settings!$B$12:$B$21,0)),INDEX(Settings!$G$12:$G$21,MATCH($B48,Settings!$B$12:$B$21,0))),INDEX(Calculation!$U$6:$U$125,(MATCH($B48,Settings!$B$12:$B$21,0)-1)*12+$J48)),0))</f>
        <v/>
      </c>
      <c r="O48" s="30" t="n">
        <f aca="false">IF($M48="",0,N($L48)*N($N48))</f>
        <v>0</v>
      </c>
      <c r="P48" s="29" t="n">
        <f aca="false">IF(AND($B48&lt;&gt;"",$B48=Statement!$C$6,$J48=Statement!$C$8,$K48=1),1,0)</f>
        <v>0</v>
      </c>
      <c r="Q48" s="29" t="str">
        <f aca="false">IF($P48=1,SUM($P$5:$P48),"")</f>
        <v/>
      </c>
      <c r="R48" s="29" t="n">
        <f aca="false">IF(AND($B48&lt;&gt;"",$B48=Statement!$C$6,$M48=Statement!$C$8),1,0)</f>
        <v>0</v>
      </c>
      <c r="S48" s="29" t="str">
        <f aca="false">IF($R48=1,SUM($R$5:$R48),"")</f>
        <v/>
      </c>
    </row>
    <row r="49" customFormat="false" ht="15" hidden="false" customHeight="false" outlineLevel="0" collapsed="false">
      <c r="A49" s="28"/>
      <c r="B49" s="10"/>
      <c r="C49" s="10"/>
      <c r="D49" s="10"/>
      <c r="E49" s="23"/>
      <c r="F49" s="23"/>
      <c r="G49" s="10"/>
      <c r="H49" s="10"/>
      <c r="I49" s="28"/>
      <c r="J49" s="29" t="str">
        <f aca="false">IF(OR($A49="",$B49=""),"",IF(YEAR($A49)=Settings!$C$4,MONTH($A49),""))</f>
        <v/>
      </c>
      <c r="K49" s="29" t="str">
        <f aca="false">IF($A49="","",IF(OR($J49="",$B49=""),0,IF(OR($G49="Won",$H49="Yes"),1,0)))</f>
        <v/>
      </c>
      <c r="L49" s="30" t="str">
        <f aca="false">IF($B49="","",IFERROR(IF(INDEX(Settings!$E$12:$E$21,MATCH($B49,Settings!$B$12:$B$21,0))="Gross margin",N($F49),N($E49)),""))</f>
        <v/>
      </c>
      <c r="M49" s="29" t="str">
        <f aca="false">IF(AND($G49="Cancelled",$H49="Yes",$I49&lt;&gt;""),IF(YEAR($I49)=Settings!$C$4,MONTH($I49),""),"")</f>
        <v/>
      </c>
      <c r="N49" s="31" t="str">
        <f aca="false">IF($M49="","",IFERROR(IF($J49="",IF(INDEX(Settings!$D$12:$D$21,MATCH($B49,Settings!$B$12:$B$21,0))="Tiered",INDEX(Settings!$I$12:$I$21,MATCH($B49,Settings!$B$12:$B$21,0)),INDEX(Settings!$G$12:$G$21,MATCH($B49,Settings!$B$12:$B$21,0))),INDEX(Calculation!$U$6:$U$125,(MATCH($B49,Settings!$B$12:$B$21,0)-1)*12+$J49)),0))</f>
        <v/>
      </c>
      <c r="O49" s="30" t="n">
        <f aca="false">IF($M49="",0,N($L49)*N($N49))</f>
        <v>0</v>
      </c>
      <c r="P49" s="29" t="n">
        <f aca="false">IF(AND($B49&lt;&gt;"",$B49=Statement!$C$6,$J49=Statement!$C$8,$K49=1),1,0)</f>
        <v>0</v>
      </c>
      <c r="Q49" s="29" t="str">
        <f aca="false">IF($P49=1,SUM($P$5:$P49),"")</f>
        <v/>
      </c>
      <c r="R49" s="29" t="n">
        <f aca="false">IF(AND($B49&lt;&gt;"",$B49=Statement!$C$6,$M49=Statement!$C$8),1,0)</f>
        <v>0</v>
      </c>
      <c r="S49" s="29" t="str">
        <f aca="false">IF($R49=1,SUM($R$5:$R49),"")</f>
        <v/>
      </c>
    </row>
    <row r="50" customFormat="false" ht="15" hidden="false" customHeight="false" outlineLevel="0" collapsed="false">
      <c r="A50" s="28"/>
      <c r="B50" s="10"/>
      <c r="C50" s="10"/>
      <c r="D50" s="10"/>
      <c r="E50" s="23"/>
      <c r="F50" s="23"/>
      <c r="G50" s="10"/>
      <c r="H50" s="10"/>
      <c r="I50" s="28"/>
      <c r="J50" s="29" t="str">
        <f aca="false">IF(OR($A50="",$B50=""),"",IF(YEAR($A50)=Settings!$C$4,MONTH($A50),""))</f>
        <v/>
      </c>
      <c r="K50" s="29" t="str">
        <f aca="false">IF($A50="","",IF(OR($J50="",$B50=""),0,IF(OR($G50="Won",$H50="Yes"),1,0)))</f>
        <v/>
      </c>
      <c r="L50" s="30" t="str">
        <f aca="false">IF($B50="","",IFERROR(IF(INDEX(Settings!$E$12:$E$21,MATCH($B50,Settings!$B$12:$B$21,0))="Gross margin",N($F50),N($E50)),""))</f>
        <v/>
      </c>
      <c r="M50" s="29" t="str">
        <f aca="false">IF(AND($G50="Cancelled",$H50="Yes",$I50&lt;&gt;""),IF(YEAR($I50)=Settings!$C$4,MONTH($I50),""),"")</f>
        <v/>
      </c>
      <c r="N50" s="31" t="str">
        <f aca="false">IF($M50="","",IFERROR(IF($J50="",IF(INDEX(Settings!$D$12:$D$21,MATCH($B50,Settings!$B$12:$B$21,0))="Tiered",INDEX(Settings!$I$12:$I$21,MATCH($B50,Settings!$B$12:$B$21,0)),INDEX(Settings!$G$12:$G$21,MATCH($B50,Settings!$B$12:$B$21,0))),INDEX(Calculation!$U$6:$U$125,(MATCH($B50,Settings!$B$12:$B$21,0)-1)*12+$J50)),0))</f>
        <v/>
      </c>
      <c r="O50" s="30" t="n">
        <f aca="false">IF($M50="",0,N($L50)*N($N50))</f>
        <v>0</v>
      </c>
      <c r="P50" s="29" t="n">
        <f aca="false">IF(AND($B50&lt;&gt;"",$B50=Statement!$C$6,$J50=Statement!$C$8,$K50=1),1,0)</f>
        <v>0</v>
      </c>
      <c r="Q50" s="29" t="str">
        <f aca="false">IF($P50=1,SUM($P$5:$P50),"")</f>
        <v/>
      </c>
      <c r="R50" s="29" t="n">
        <f aca="false">IF(AND($B50&lt;&gt;"",$B50=Statement!$C$6,$M50=Statement!$C$8),1,0)</f>
        <v>0</v>
      </c>
      <c r="S50" s="29" t="str">
        <f aca="false">IF($R50=1,SUM($R$5:$R50),"")</f>
        <v/>
      </c>
    </row>
    <row r="51" customFormat="false" ht="15" hidden="false" customHeight="false" outlineLevel="0" collapsed="false">
      <c r="A51" s="28"/>
      <c r="B51" s="10"/>
      <c r="C51" s="10"/>
      <c r="D51" s="10"/>
      <c r="E51" s="23"/>
      <c r="F51" s="23"/>
      <c r="G51" s="10"/>
      <c r="H51" s="10"/>
      <c r="I51" s="28"/>
      <c r="J51" s="29" t="str">
        <f aca="false">IF(OR($A51="",$B51=""),"",IF(YEAR($A51)=Settings!$C$4,MONTH($A51),""))</f>
        <v/>
      </c>
      <c r="K51" s="29" t="str">
        <f aca="false">IF($A51="","",IF(OR($J51="",$B51=""),0,IF(OR($G51="Won",$H51="Yes"),1,0)))</f>
        <v/>
      </c>
      <c r="L51" s="30" t="str">
        <f aca="false">IF($B51="","",IFERROR(IF(INDEX(Settings!$E$12:$E$21,MATCH($B51,Settings!$B$12:$B$21,0))="Gross margin",N($F51),N($E51)),""))</f>
        <v/>
      </c>
      <c r="M51" s="29" t="str">
        <f aca="false">IF(AND($G51="Cancelled",$H51="Yes",$I51&lt;&gt;""),IF(YEAR($I51)=Settings!$C$4,MONTH($I51),""),"")</f>
        <v/>
      </c>
      <c r="N51" s="31" t="str">
        <f aca="false">IF($M51="","",IFERROR(IF($J51="",IF(INDEX(Settings!$D$12:$D$21,MATCH($B51,Settings!$B$12:$B$21,0))="Tiered",INDEX(Settings!$I$12:$I$21,MATCH($B51,Settings!$B$12:$B$21,0)),INDEX(Settings!$G$12:$G$21,MATCH($B51,Settings!$B$12:$B$21,0))),INDEX(Calculation!$U$6:$U$125,(MATCH($B51,Settings!$B$12:$B$21,0)-1)*12+$J51)),0))</f>
        <v/>
      </c>
      <c r="O51" s="30" t="n">
        <f aca="false">IF($M51="",0,N($L51)*N($N51))</f>
        <v>0</v>
      </c>
      <c r="P51" s="29" t="n">
        <f aca="false">IF(AND($B51&lt;&gt;"",$B51=Statement!$C$6,$J51=Statement!$C$8,$K51=1),1,0)</f>
        <v>0</v>
      </c>
      <c r="Q51" s="29" t="str">
        <f aca="false">IF($P51=1,SUM($P$5:$P51),"")</f>
        <v/>
      </c>
      <c r="R51" s="29" t="n">
        <f aca="false">IF(AND($B51&lt;&gt;"",$B51=Statement!$C$6,$M51=Statement!$C$8),1,0)</f>
        <v>0</v>
      </c>
      <c r="S51" s="29" t="str">
        <f aca="false">IF($R51=1,SUM($R$5:$R51),"")</f>
        <v/>
      </c>
    </row>
    <row r="52" customFormat="false" ht="15" hidden="false" customHeight="false" outlineLevel="0" collapsed="false">
      <c r="A52" s="28"/>
      <c r="B52" s="10"/>
      <c r="C52" s="10"/>
      <c r="D52" s="10"/>
      <c r="E52" s="23"/>
      <c r="F52" s="23"/>
      <c r="G52" s="10"/>
      <c r="H52" s="10"/>
      <c r="I52" s="28"/>
      <c r="J52" s="29" t="str">
        <f aca="false">IF(OR($A52="",$B52=""),"",IF(YEAR($A52)=Settings!$C$4,MONTH($A52),""))</f>
        <v/>
      </c>
      <c r="K52" s="29" t="str">
        <f aca="false">IF($A52="","",IF(OR($J52="",$B52=""),0,IF(OR($G52="Won",$H52="Yes"),1,0)))</f>
        <v/>
      </c>
      <c r="L52" s="30" t="str">
        <f aca="false">IF($B52="","",IFERROR(IF(INDEX(Settings!$E$12:$E$21,MATCH($B52,Settings!$B$12:$B$21,0))="Gross margin",N($F52),N($E52)),""))</f>
        <v/>
      </c>
      <c r="M52" s="29" t="str">
        <f aca="false">IF(AND($G52="Cancelled",$H52="Yes",$I52&lt;&gt;""),IF(YEAR($I52)=Settings!$C$4,MONTH($I52),""),"")</f>
        <v/>
      </c>
      <c r="N52" s="31" t="str">
        <f aca="false">IF($M52="","",IFERROR(IF($J52="",IF(INDEX(Settings!$D$12:$D$21,MATCH($B52,Settings!$B$12:$B$21,0))="Tiered",INDEX(Settings!$I$12:$I$21,MATCH($B52,Settings!$B$12:$B$21,0)),INDEX(Settings!$G$12:$G$21,MATCH($B52,Settings!$B$12:$B$21,0))),INDEX(Calculation!$U$6:$U$125,(MATCH($B52,Settings!$B$12:$B$21,0)-1)*12+$J52)),0))</f>
        <v/>
      </c>
      <c r="O52" s="30" t="n">
        <f aca="false">IF($M52="",0,N($L52)*N($N52))</f>
        <v>0</v>
      </c>
      <c r="P52" s="29" t="n">
        <f aca="false">IF(AND($B52&lt;&gt;"",$B52=Statement!$C$6,$J52=Statement!$C$8,$K52=1),1,0)</f>
        <v>0</v>
      </c>
      <c r="Q52" s="29" t="str">
        <f aca="false">IF($P52=1,SUM($P$5:$P52),"")</f>
        <v/>
      </c>
      <c r="R52" s="29" t="n">
        <f aca="false">IF(AND($B52&lt;&gt;"",$B52=Statement!$C$6,$M52=Statement!$C$8),1,0)</f>
        <v>0</v>
      </c>
      <c r="S52" s="29" t="str">
        <f aca="false">IF($R52=1,SUM($R$5:$R52),"")</f>
        <v/>
      </c>
    </row>
    <row r="53" customFormat="false" ht="15" hidden="false" customHeight="false" outlineLevel="0" collapsed="false">
      <c r="A53" s="28"/>
      <c r="B53" s="10"/>
      <c r="C53" s="10"/>
      <c r="D53" s="10"/>
      <c r="E53" s="23"/>
      <c r="F53" s="23"/>
      <c r="G53" s="10"/>
      <c r="H53" s="10"/>
      <c r="I53" s="28"/>
      <c r="J53" s="29" t="str">
        <f aca="false">IF(OR($A53="",$B53=""),"",IF(YEAR($A53)=Settings!$C$4,MONTH($A53),""))</f>
        <v/>
      </c>
      <c r="K53" s="29" t="str">
        <f aca="false">IF($A53="","",IF(OR($J53="",$B53=""),0,IF(OR($G53="Won",$H53="Yes"),1,0)))</f>
        <v/>
      </c>
      <c r="L53" s="30" t="str">
        <f aca="false">IF($B53="","",IFERROR(IF(INDEX(Settings!$E$12:$E$21,MATCH($B53,Settings!$B$12:$B$21,0))="Gross margin",N($F53),N($E53)),""))</f>
        <v/>
      </c>
      <c r="M53" s="29" t="str">
        <f aca="false">IF(AND($G53="Cancelled",$H53="Yes",$I53&lt;&gt;""),IF(YEAR($I53)=Settings!$C$4,MONTH($I53),""),"")</f>
        <v/>
      </c>
      <c r="N53" s="31" t="str">
        <f aca="false">IF($M53="","",IFERROR(IF($J53="",IF(INDEX(Settings!$D$12:$D$21,MATCH($B53,Settings!$B$12:$B$21,0))="Tiered",INDEX(Settings!$I$12:$I$21,MATCH($B53,Settings!$B$12:$B$21,0)),INDEX(Settings!$G$12:$G$21,MATCH($B53,Settings!$B$12:$B$21,0))),INDEX(Calculation!$U$6:$U$125,(MATCH($B53,Settings!$B$12:$B$21,0)-1)*12+$J53)),0))</f>
        <v/>
      </c>
      <c r="O53" s="30" t="n">
        <f aca="false">IF($M53="",0,N($L53)*N($N53))</f>
        <v>0</v>
      </c>
      <c r="P53" s="29" t="n">
        <f aca="false">IF(AND($B53&lt;&gt;"",$B53=Statement!$C$6,$J53=Statement!$C$8,$K53=1),1,0)</f>
        <v>0</v>
      </c>
      <c r="Q53" s="29" t="str">
        <f aca="false">IF($P53=1,SUM($P$5:$P53),"")</f>
        <v/>
      </c>
      <c r="R53" s="29" t="n">
        <f aca="false">IF(AND($B53&lt;&gt;"",$B53=Statement!$C$6,$M53=Statement!$C$8),1,0)</f>
        <v>0</v>
      </c>
      <c r="S53" s="29" t="str">
        <f aca="false">IF($R53=1,SUM($R$5:$R53),"")</f>
        <v/>
      </c>
    </row>
    <row r="54" customFormat="false" ht="15" hidden="false" customHeight="false" outlineLevel="0" collapsed="false">
      <c r="A54" s="28"/>
      <c r="B54" s="10"/>
      <c r="C54" s="10"/>
      <c r="D54" s="10"/>
      <c r="E54" s="23"/>
      <c r="F54" s="23"/>
      <c r="G54" s="10"/>
      <c r="H54" s="10"/>
      <c r="I54" s="28"/>
      <c r="J54" s="29" t="str">
        <f aca="false">IF(OR($A54="",$B54=""),"",IF(YEAR($A54)=Settings!$C$4,MONTH($A54),""))</f>
        <v/>
      </c>
      <c r="K54" s="29" t="str">
        <f aca="false">IF($A54="","",IF(OR($J54="",$B54=""),0,IF(OR($G54="Won",$H54="Yes"),1,0)))</f>
        <v/>
      </c>
      <c r="L54" s="30" t="str">
        <f aca="false">IF($B54="","",IFERROR(IF(INDEX(Settings!$E$12:$E$21,MATCH($B54,Settings!$B$12:$B$21,0))="Gross margin",N($F54),N($E54)),""))</f>
        <v/>
      </c>
      <c r="M54" s="29" t="str">
        <f aca="false">IF(AND($G54="Cancelled",$H54="Yes",$I54&lt;&gt;""),IF(YEAR($I54)=Settings!$C$4,MONTH($I54),""),"")</f>
        <v/>
      </c>
      <c r="N54" s="31" t="str">
        <f aca="false">IF($M54="","",IFERROR(IF($J54="",IF(INDEX(Settings!$D$12:$D$21,MATCH($B54,Settings!$B$12:$B$21,0))="Tiered",INDEX(Settings!$I$12:$I$21,MATCH($B54,Settings!$B$12:$B$21,0)),INDEX(Settings!$G$12:$G$21,MATCH($B54,Settings!$B$12:$B$21,0))),INDEX(Calculation!$U$6:$U$125,(MATCH($B54,Settings!$B$12:$B$21,0)-1)*12+$J54)),0))</f>
        <v/>
      </c>
      <c r="O54" s="30" t="n">
        <f aca="false">IF($M54="",0,N($L54)*N($N54))</f>
        <v>0</v>
      </c>
      <c r="P54" s="29" t="n">
        <f aca="false">IF(AND($B54&lt;&gt;"",$B54=Statement!$C$6,$J54=Statement!$C$8,$K54=1),1,0)</f>
        <v>0</v>
      </c>
      <c r="Q54" s="29" t="str">
        <f aca="false">IF($P54=1,SUM($P$5:$P54),"")</f>
        <v/>
      </c>
      <c r="R54" s="29" t="n">
        <f aca="false">IF(AND($B54&lt;&gt;"",$B54=Statement!$C$6,$M54=Statement!$C$8),1,0)</f>
        <v>0</v>
      </c>
      <c r="S54" s="29" t="str">
        <f aca="false">IF($R54=1,SUM($R$5:$R54),"")</f>
        <v/>
      </c>
    </row>
    <row r="55" customFormat="false" ht="15" hidden="false" customHeight="false" outlineLevel="0" collapsed="false">
      <c r="A55" s="28"/>
      <c r="B55" s="10"/>
      <c r="C55" s="10"/>
      <c r="D55" s="10"/>
      <c r="E55" s="23"/>
      <c r="F55" s="23"/>
      <c r="G55" s="10"/>
      <c r="H55" s="10"/>
      <c r="I55" s="28"/>
      <c r="J55" s="29" t="str">
        <f aca="false">IF(OR($A55="",$B55=""),"",IF(YEAR($A55)=Settings!$C$4,MONTH($A55),""))</f>
        <v/>
      </c>
      <c r="K55" s="29" t="str">
        <f aca="false">IF($A55="","",IF(OR($J55="",$B55=""),0,IF(OR($G55="Won",$H55="Yes"),1,0)))</f>
        <v/>
      </c>
      <c r="L55" s="30" t="str">
        <f aca="false">IF($B55="","",IFERROR(IF(INDEX(Settings!$E$12:$E$21,MATCH($B55,Settings!$B$12:$B$21,0))="Gross margin",N($F55),N($E55)),""))</f>
        <v/>
      </c>
      <c r="M55" s="29" t="str">
        <f aca="false">IF(AND($G55="Cancelled",$H55="Yes",$I55&lt;&gt;""),IF(YEAR($I55)=Settings!$C$4,MONTH($I55),""),"")</f>
        <v/>
      </c>
      <c r="N55" s="31" t="str">
        <f aca="false">IF($M55="","",IFERROR(IF($J55="",IF(INDEX(Settings!$D$12:$D$21,MATCH($B55,Settings!$B$12:$B$21,0))="Tiered",INDEX(Settings!$I$12:$I$21,MATCH($B55,Settings!$B$12:$B$21,0)),INDEX(Settings!$G$12:$G$21,MATCH($B55,Settings!$B$12:$B$21,0))),INDEX(Calculation!$U$6:$U$125,(MATCH($B55,Settings!$B$12:$B$21,0)-1)*12+$J55)),0))</f>
        <v/>
      </c>
      <c r="O55" s="30" t="n">
        <f aca="false">IF($M55="",0,N($L55)*N($N55))</f>
        <v>0</v>
      </c>
      <c r="P55" s="29" t="n">
        <f aca="false">IF(AND($B55&lt;&gt;"",$B55=Statement!$C$6,$J55=Statement!$C$8,$K55=1),1,0)</f>
        <v>0</v>
      </c>
      <c r="Q55" s="29" t="str">
        <f aca="false">IF($P55=1,SUM($P$5:$P55),"")</f>
        <v/>
      </c>
      <c r="R55" s="29" t="n">
        <f aca="false">IF(AND($B55&lt;&gt;"",$B55=Statement!$C$6,$M55=Statement!$C$8),1,0)</f>
        <v>0</v>
      </c>
      <c r="S55" s="29" t="str">
        <f aca="false">IF($R55=1,SUM($R$5:$R55),"")</f>
        <v/>
      </c>
    </row>
    <row r="56" customFormat="false" ht="15" hidden="false" customHeight="false" outlineLevel="0" collapsed="false">
      <c r="A56" s="28"/>
      <c r="B56" s="10"/>
      <c r="C56" s="10"/>
      <c r="D56" s="10"/>
      <c r="E56" s="23"/>
      <c r="F56" s="23"/>
      <c r="G56" s="10"/>
      <c r="H56" s="10"/>
      <c r="I56" s="28"/>
      <c r="J56" s="29" t="str">
        <f aca="false">IF(OR($A56="",$B56=""),"",IF(YEAR($A56)=Settings!$C$4,MONTH($A56),""))</f>
        <v/>
      </c>
      <c r="K56" s="29" t="str">
        <f aca="false">IF($A56="","",IF(OR($J56="",$B56=""),0,IF(OR($G56="Won",$H56="Yes"),1,0)))</f>
        <v/>
      </c>
      <c r="L56" s="30" t="str">
        <f aca="false">IF($B56="","",IFERROR(IF(INDEX(Settings!$E$12:$E$21,MATCH($B56,Settings!$B$12:$B$21,0))="Gross margin",N($F56),N($E56)),""))</f>
        <v/>
      </c>
      <c r="M56" s="29" t="str">
        <f aca="false">IF(AND($G56="Cancelled",$H56="Yes",$I56&lt;&gt;""),IF(YEAR($I56)=Settings!$C$4,MONTH($I56),""),"")</f>
        <v/>
      </c>
      <c r="N56" s="31" t="str">
        <f aca="false">IF($M56="","",IFERROR(IF($J56="",IF(INDEX(Settings!$D$12:$D$21,MATCH($B56,Settings!$B$12:$B$21,0))="Tiered",INDEX(Settings!$I$12:$I$21,MATCH($B56,Settings!$B$12:$B$21,0)),INDEX(Settings!$G$12:$G$21,MATCH($B56,Settings!$B$12:$B$21,0))),INDEX(Calculation!$U$6:$U$125,(MATCH($B56,Settings!$B$12:$B$21,0)-1)*12+$J56)),0))</f>
        <v/>
      </c>
      <c r="O56" s="30" t="n">
        <f aca="false">IF($M56="",0,N($L56)*N($N56))</f>
        <v>0</v>
      </c>
      <c r="P56" s="29" t="n">
        <f aca="false">IF(AND($B56&lt;&gt;"",$B56=Statement!$C$6,$J56=Statement!$C$8,$K56=1),1,0)</f>
        <v>0</v>
      </c>
      <c r="Q56" s="29" t="str">
        <f aca="false">IF($P56=1,SUM($P$5:$P56),"")</f>
        <v/>
      </c>
      <c r="R56" s="29" t="n">
        <f aca="false">IF(AND($B56&lt;&gt;"",$B56=Statement!$C$6,$M56=Statement!$C$8),1,0)</f>
        <v>0</v>
      </c>
      <c r="S56" s="29" t="str">
        <f aca="false">IF($R56=1,SUM($R$5:$R56),"")</f>
        <v/>
      </c>
    </row>
    <row r="57" customFormat="false" ht="15" hidden="false" customHeight="false" outlineLevel="0" collapsed="false">
      <c r="A57" s="28"/>
      <c r="B57" s="10"/>
      <c r="C57" s="10"/>
      <c r="D57" s="10"/>
      <c r="E57" s="23"/>
      <c r="F57" s="23"/>
      <c r="G57" s="10"/>
      <c r="H57" s="10"/>
      <c r="I57" s="28"/>
      <c r="J57" s="29" t="str">
        <f aca="false">IF(OR($A57="",$B57=""),"",IF(YEAR($A57)=Settings!$C$4,MONTH($A57),""))</f>
        <v/>
      </c>
      <c r="K57" s="29" t="str">
        <f aca="false">IF($A57="","",IF(OR($J57="",$B57=""),0,IF(OR($G57="Won",$H57="Yes"),1,0)))</f>
        <v/>
      </c>
      <c r="L57" s="30" t="str">
        <f aca="false">IF($B57="","",IFERROR(IF(INDEX(Settings!$E$12:$E$21,MATCH($B57,Settings!$B$12:$B$21,0))="Gross margin",N($F57),N($E57)),""))</f>
        <v/>
      </c>
      <c r="M57" s="29" t="str">
        <f aca="false">IF(AND($G57="Cancelled",$H57="Yes",$I57&lt;&gt;""),IF(YEAR($I57)=Settings!$C$4,MONTH($I57),""),"")</f>
        <v/>
      </c>
      <c r="N57" s="31" t="str">
        <f aca="false">IF($M57="","",IFERROR(IF($J57="",IF(INDEX(Settings!$D$12:$D$21,MATCH($B57,Settings!$B$12:$B$21,0))="Tiered",INDEX(Settings!$I$12:$I$21,MATCH($B57,Settings!$B$12:$B$21,0)),INDEX(Settings!$G$12:$G$21,MATCH($B57,Settings!$B$12:$B$21,0))),INDEX(Calculation!$U$6:$U$125,(MATCH($B57,Settings!$B$12:$B$21,0)-1)*12+$J57)),0))</f>
        <v/>
      </c>
      <c r="O57" s="30" t="n">
        <f aca="false">IF($M57="",0,N($L57)*N($N57))</f>
        <v>0</v>
      </c>
      <c r="P57" s="29" t="n">
        <f aca="false">IF(AND($B57&lt;&gt;"",$B57=Statement!$C$6,$J57=Statement!$C$8,$K57=1),1,0)</f>
        <v>0</v>
      </c>
      <c r="Q57" s="29" t="str">
        <f aca="false">IF($P57=1,SUM($P$5:$P57),"")</f>
        <v/>
      </c>
      <c r="R57" s="29" t="n">
        <f aca="false">IF(AND($B57&lt;&gt;"",$B57=Statement!$C$6,$M57=Statement!$C$8),1,0)</f>
        <v>0</v>
      </c>
      <c r="S57" s="29" t="str">
        <f aca="false">IF($R57=1,SUM($R$5:$R57),"")</f>
        <v/>
      </c>
    </row>
    <row r="58" customFormat="false" ht="15" hidden="false" customHeight="false" outlineLevel="0" collapsed="false">
      <c r="A58" s="28"/>
      <c r="B58" s="10"/>
      <c r="C58" s="10"/>
      <c r="D58" s="10"/>
      <c r="E58" s="23"/>
      <c r="F58" s="23"/>
      <c r="G58" s="10"/>
      <c r="H58" s="10"/>
      <c r="I58" s="28"/>
      <c r="J58" s="29" t="str">
        <f aca="false">IF(OR($A58="",$B58=""),"",IF(YEAR($A58)=Settings!$C$4,MONTH($A58),""))</f>
        <v/>
      </c>
      <c r="K58" s="29" t="str">
        <f aca="false">IF($A58="","",IF(OR($J58="",$B58=""),0,IF(OR($G58="Won",$H58="Yes"),1,0)))</f>
        <v/>
      </c>
      <c r="L58" s="30" t="str">
        <f aca="false">IF($B58="","",IFERROR(IF(INDEX(Settings!$E$12:$E$21,MATCH($B58,Settings!$B$12:$B$21,0))="Gross margin",N($F58),N($E58)),""))</f>
        <v/>
      </c>
      <c r="M58" s="29" t="str">
        <f aca="false">IF(AND($G58="Cancelled",$H58="Yes",$I58&lt;&gt;""),IF(YEAR($I58)=Settings!$C$4,MONTH($I58),""),"")</f>
        <v/>
      </c>
      <c r="N58" s="31" t="str">
        <f aca="false">IF($M58="","",IFERROR(IF($J58="",IF(INDEX(Settings!$D$12:$D$21,MATCH($B58,Settings!$B$12:$B$21,0))="Tiered",INDEX(Settings!$I$12:$I$21,MATCH($B58,Settings!$B$12:$B$21,0)),INDEX(Settings!$G$12:$G$21,MATCH($B58,Settings!$B$12:$B$21,0))),INDEX(Calculation!$U$6:$U$125,(MATCH($B58,Settings!$B$12:$B$21,0)-1)*12+$J58)),0))</f>
        <v/>
      </c>
      <c r="O58" s="30" t="n">
        <f aca="false">IF($M58="",0,N($L58)*N($N58))</f>
        <v>0</v>
      </c>
      <c r="P58" s="29" t="n">
        <f aca="false">IF(AND($B58&lt;&gt;"",$B58=Statement!$C$6,$J58=Statement!$C$8,$K58=1),1,0)</f>
        <v>0</v>
      </c>
      <c r="Q58" s="29" t="str">
        <f aca="false">IF($P58=1,SUM($P$5:$P58),"")</f>
        <v/>
      </c>
      <c r="R58" s="29" t="n">
        <f aca="false">IF(AND($B58&lt;&gt;"",$B58=Statement!$C$6,$M58=Statement!$C$8),1,0)</f>
        <v>0</v>
      </c>
      <c r="S58" s="29" t="str">
        <f aca="false">IF($R58=1,SUM($R$5:$R58),"")</f>
        <v/>
      </c>
    </row>
    <row r="59" customFormat="false" ht="15" hidden="false" customHeight="false" outlineLevel="0" collapsed="false">
      <c r="A59" s="28"/>
      <c r="B59" s="10"/>
      <c r="C59" s="10"/>
      <c r="D59" s="10"/>
      <c r="E59" s="23"/>
      <c r="F59" s="23"/>
      <c r="G59" s="10"/>
      <c r="H59" s="10"/>
      <c r="I59" s="28"/>
      <c r="J59" s="29" t="str">
        <f aca="false">IF(OR($A59="",$B59=""),"",IF(YEAR($A59)=Settings!$C$4,MONTH($A59),""))</f>
        <v/>
      </c>
      <c r="K59" s="29" t="str">
        <f aca="false">IF($A59="","",IF(OR($J59="",$B59=""),0,IF(OR($G59="Won",$H59="Yes"),1,0)))</f>
        <v/>
      </c>
      <c r="L59" s="30" t="str">
        <f aca="false">IF($B59="","",IFERROR(IF(INDEX(Settings!$E$12:$E$21,MATCH($B59,Settings!$B$12:$B$21,0))="Gross margin",N($F59),N($E59)),""))</f>
        <v/>
      </c>
      <c r="M59" s="29" t="str">
        <f aca="false">IF(AND($G59="Cancelled",$H59="Yes",$I59&lt;&gt;""),IF(YEAR($I59)=Settings!$C$4,MONTH($I59),""),"")</f>
        <v/>
      </c>
      <c r="N59" s="31" t="str">
        <f aca="false">IF($M59="","",IFERROR(IF($J59="",IF(INDEX(Settings!$D$12:$D$21,MATCH($B59,Settings!$B$12:$B$21,0))="Tiered",INDEX(Settings!$I$12:$I$21,MATCH($B59,Settings!$B$12:$B$21,0)),INDEX(Settings!$G$12:$G$21,MATCH($B59,Settings!$B$12:$B$21,0))),INDEX(Calculation!$U$6:$U$125,(MATCH($B59,Settings!$B$12:$B$21,0)-1)*12+$J59)),0))</f>
        <v/>
      </c>
      <c r="O59" s="30" t="n">
        <f aca="false">IF($M59="",0,N($L59)*N($N59))</f>
        <v>0</v>
      </c>
      <c r="P59" s="29" t="n">
        <f aca="false">IF(AND($B59&lt;&gt;"",$B59=Statement!$C$6,$J59=Statement!$C$8,$K59=1),1,0)</f>
        <v>0</v>
      </c>
      <c r="Q59" s="29" t="str">
        <f aca="false">IF($P59=1,SUM($P$5:$P59),"")</f>
        <v/>
      </c>
      <c r="R59" s="29" t="n">
        <f aca="false">IF(AND($B59&lt;&gt;"",$B59=Statement!$C$6,$M59=Statement!$C$8),1,0)</f>
        <v>0</v>
      </c>
      <c r="S59" s="29" t="str">
        <f aca="false">IF($R59=1,SUM($R$5:$R59),"")</f>
        <v/>
      </c>
    </row>
    <row r="60" customFormat="false" ht="15" hidden="false" customHeight="false" outlineLevel="0" collapsed="false">
      <c r="A60" s="28"/>
      <c r="B60" s="10"/>
      <c r="C60" s="10"/>
      <c r="D60" s="10"/>
      <c r="E60" s="23"/>
      <c r="F60" s="23"/>
      <c r="G60" s="10"/>
      <c r="H60" s="10"/>
      <c r="I60" s="28"/>
      <c r="J60" s="29" t="str">
        <f aca="false">IF(OR($A60="",$B60=""),"",IF(YEAR($A60)=Settings!$C$4,MONTH($A60),""))</f>
        <v/>
      </c>
      <c r="K60" s="29" t="str">
        <f aca="false">IF($A60="","",IF(OR($J60="",$B60=""),0,IF(OR($G60="Won",$H60="Yes"),1,0)))</f>
        <v/>
      </c>
      <c r="L60" s="30" t="str">
        <f aca="false">IF($B60="","",IFERROR(IF(INDEX(Settings!$E$12:$E$21,MATCH($B60,Settings!$B$12:$B$21,0))="Gross margin",N($F60),N($E60)),""))</f>
        <v/>
      </c>
      <c r="M60" s="29" t="str">
        <f aca="false">IF(AND($G60="Cancelled",$H60="Yes",$I60&lt;&gt;""),IF(YEAR($I60)=Settings!$C$4,MONTH($I60),""),"")</f>
        <v/>
      </c>
      <c r="N60" s="31" t="str">
        <f aca="false">IF($M60="","",IFERROR(IF($J60="",IF(INDEX(Settings!$D$12:$D$21,MATCH($B60,Settings!$B$12:$B$21,0))="Tiered",INDEX(Settings!$I$12:$I$21,MATCH($B60,Settings!$B$12:$B$21,0)),INDEX(Settings!$G$12:$G$21,MATCH($B60,Settings!$B$12:$B$21,0))),INDEX(Calculation!$U$6:$U$125,(MATCH($B60,Settings!$B$12:$B$21,0)-1)*12+$J60)),0))</f>
        <v/>
      </c>
      <c r="O60" s="30" t="n">
        <f aca="false">IF($M60="",0,N($L60)*N($N60))</f>
        <v>0</v>
      </c>
      <c r="P60" s="29" t="n">
        <f aca="false">IF(AND($B60&lt;&gt;"",$B60=Statement!$C$6,$J60=Statement!$C$8,$K60=1),1,0)</f>
        <v>0</v>
      </c>
      <c r="Q60" s="29" t="str">
        <f aca="false">IF($P60=1,SUM($P$5:$P60),"")</f>
        <v/>
      </c>
      <c r="R60" s="29" t="n">
        <f aca="false">IF(AND($B60&lt;&gt;"",$B60=Statement!$C$6,$M60=Statement!$C$8),1,0)</f>
        <v>0</v>
      </c>
      <c r="S60" s="29" t="str">
        <f aca="false">IF($R60=1,SUM($R$5:$R60),"")</f>
        <v/>
      </c>
    </row>
    <row r="61" customFormat="false" ht="15" hidden="false" customHeight="false" outlineLevel="0" collapsed="false">
      <c r="A61" s="28"/>
      <c r="B61" s="10"/>
      <c r="C61" s="10"/>
      <c r="D61" s="10"/>
      <c r="E61" s="23"/>
      <c r="F61" s="23"/>
      <c r="G61" s="10"/>
      <c r="H61" s="10"/>
      <c r="I61" s="28"/>
      <c r="J61" s="29" t="str">
        <f aca="false">IF(OR($A61="",$B61=""),"",IF(YEAR($A61)=Settings!$C$4,MONTH($A61),""))</f>
        <v/>
      </c>
      <c r="K61" s="29" t="str">
        <f aca="false">IF($A61="","",IF(OR($J61="",$B61=""),0,IF(OR($G61="Won",$H61="Yes"),1,0)))</f>
        <v/>
      </c>
      <c r="L61" s="30" t="str">
        <f aca="false">IF($B61="","",IFERROR(IF(INDEX(Settings!$E$12:$E$21,MATCH($B61,Settings!$B$12:$B$21,0))="Gross margin",N($F61),N($E61)),""))</f>
        <v/>
      </c>
      <c r="M61" s="29" t="str">
        <f aca="false">IF(AND($G61="Cancelled",$H61="Yes",$I61&lt;&gt;""),IF(YEAR($I61)=Settings!$C$4,MONTH($I61),""),"")</f>
        <v/>
      </c>
      <c r="N61" s="31" t="str">
        <f aca="false">IF($M61="","",IFERROR(IF($J61="",IF(INDEX(Settings!$D$12:$D$21,MATCH($B61,Settings!$B$12:$B$21,0))="Tiered",INDEX(Settings!$I$12:$I$21,MATCH($B61,Settings!$B$12:$B$21,0)),INDEX(Settings!$G$12:$G$21,MATCH($B61,Settings!$B$12:$B$21,0))),INDEX(Calculation!$U$6:$U$125,(MATCH($B61,Settings!$B$12:$B$21,0)-1)*12+$J61)),0))</f>
        <v/>
      </c>
      <c r="O61" s="30" t="n">
        <f aca="false">IF($M61="",0,N($L61)*N($N61))</f>
        <v>0</v>
      </c>
      <c r="P61" s="29" t="n">
        <f aca="false">IF(AND($B61&lt;&gt;"",$B61=Statement!$C$6,$J61=Statement!$C$8,$K61=1),1,0)</f>
        <v>0</v>
      </c>
      <c r="Q61" s="29" t="str">
        <f aca="false">IF($P61=1,SUM($P$5:$P61),"")</f>
        <v/>
      </c>
      <c r="R61" s="29" t="n">
        <f aca="false">IF(AND($B61&lt;&gt;"",$B61=Statement!$C$6,$M61=Statement!$C$8),1,0)</f>
        <v>0</v>
      </c>
      <c r="S61" s="29" t="str">
        <f aca="false">IF($R61=1,SUM($R$5:$R61),"")</f>
        <v/>
      </c>
    </row>
    <row r="62" customFormat="false" ht="15" hidden="false" customHeight="false" outlineLevel="0" collapsed="false">
      <c r="A62" s="28"/>
      <c r="B62" s="10"/>
      <c r="C62" s="10"/>
      <c r="D62" s="10"/>
      <c r="E62" s="23"/>
      <c r="F62" s="23"/>
      <c r="G62" s="10"/>
      <c r="H62" s="10"/>
      <c r="I62" s="28"/>
      <c r="J62" s="29" t="str">
        <f aca="false">IF(OR($A62="",$B62=""),"",IF(YEAR($A62)=Settings!$C$4,MONTH($A62),""))</f>
        <v/>
      </c>
      <c r="K62" s="29" t="str">
        <f aca="false">IF($A62="","",IF(OR($J62="",$B62=""),0,IF(OR($G62="Won",$H62="Yes"),1,0)))</f>
        <v/>
      </c>
      <c r="L62" s="30" t="str">
        <f aca="false">IF($B62="","",IFERROR(IF(INDEX(Settings!$E$12:$E$21,MATCH($B62,Settings!$B$12:$B$21,0))="Gross margin",N($F62),N($E62)),""))</f>
        <v/>
      </c>
      <c r="M62" s="29" t="str">
        <f aca="false">IF(AND($G62="Cancelled",$H62="Yes",$I62&lt;&gt;""),IF(YEAR($I62)=Settings!$C$4,MONTH($I62),""),"")</f>
        <v/>
      </c>
      <c r="N62" s="31" t="str">
        <f aca="false">IF($M62="","",IFERROR(IF($J62="",IF(INDEX(Settings!$D$12:$D$21,MATCH($B62,Settings!$B$12:$B$21,0))="Tiered",INDEX(Settings!$I$12:$I$21,MATCH($B62,Settings!$B$12:$B$21,0)),INDEX(Settings!$G$12:$G$21,MATCH($B62,Settings!$B$12:$B$21,0))),INDEX(Calculation!$U$6:$U$125,(MATCH($B62,Settings!$B$12:$B$21,0)-1)*12+$J62)),0))</f>
        <v/>
      </c>
      <c r="O62" s="30" t="n">
        <f aca="false">IF($M62="",0,N($L62)*N($N62))</f>
        <v>0</v>
      </c>
      <c r="P62" s="29" t="n">
        <f aca="false">IF(AND($B62&lt;&gt;"",$B62=Statement!$C$6,$J62=Statement!$C$8,$K62=1),1,0)</f>
        <v>0</v>
      </c>
      <c r="Q62" s="29" t="str">
        <f aca="false">IF($P62=1,SUM($P$5:$P62),"")</f>
        <v/>
      </c>
      <c r="R62" s="29" t="n">
        <f aca="false">IF(AND($B62&lt;&gt;"",$B62=Statement!$C$6,$M62=Statement!$C$8),1,0)</f>
        <v>0</v>
      </c>
      <c r="S62" s="29" t="str">
        <f aca="false">IF($R62=1,SUM($R$5:$R62),"")</f>
        <v/>
      </c>
    </row>
    <row r="63" customFormat="false" ht="15" hidden="false" customHeight="false" outlineLevel="0" collapsed="false">
      <c r="A63" s="28"/>
      <c r="B63" s="10"/>
      <c r="C63" s="10"/>
      <c r="D63" s="10"/>
      <c r="E63" s="23"/>
      <c r="F63" s="23"/>
      <c r="G63" s="10"/>
      <c r="H63" s="10"/>
      <c r="I63" s="28"/>
      <c r="J63" s="29" t="str">
        <f aca="false">IF(OR($A63="",$B63=""),"",IF(YEAR($A63)=Settings!$C$4,MONTH($A63),""))</f>
        <v/>
      </c>
      <c r="K63" s="29" t="str">
        <f aca="false">IF($A63="","",IF(OR($J63="",$B63=""),0,IF(OR($G63="Won",$H63="Yes"),1,0)))</f>
        <v/>
      </c>
      <c r="L63" s="30" t="str">
        <f aca="false">IF($B63="","",IFERROR(IF(INDEX(Settings!$E$12:$E$21,MATCH($B63,Settings!$B$12:$B$21,0))="Gross margin",N($F63),N($E63)),""))</f>
        <v/>
      </c>
      <c r="M63" s="29" t="str">
        <f aca="false">IF(AND($G63="Cancelled",$H63="Yes",$I63&lt;&gt;""),IF(YEAR($I63)=Settings!$C$4,MONTH($I63),""),"")</f>
        <v/>
      </c>
      <c r="N63" s="31" t="str">
        <f aca="false">IF($M63="","",IFERROR(IF($J63="",IF(INDEX(Settings!$D$12:$D$21,MATCH($B63,Settings!$B$12:$B$21,0))="Tiered",INDEX(Settings!$I$12:$I$21,MATCH($B63,Settings!$B$12:$B$21,0)),INDEX(Settings!$G$12:$G$21,MATCH($B63,Settings!$B$12:$B$21,0))),INDEX(Calculation!$U$6:$U$125,(MATCH($B63,Settings!$B$12:$B$21,0)-1)*12+$J63)),0))</f>
        <v/>
      </c>
      <c r="O63" s="30" t="n">
        <f aca="false">IF($M63="",0,N($L63)*N($N63))</f>
        <v>0</v>
      </c>
      <c r="P63" s="29" t="n">
        <f aca="false">IF(AND($B63&lt;&gt;"",$B63=Statement!$C$6,$J63=Statement!$C$8,$K63=1),1,0)</f>
        <v>0</v>
      </c>
      <c r="Q63" s="29" t="str">
        <f aca="false">IF($P63=1,SUM($P$5:$P63),"")</f>
        <v/>
      </c>
      <c r="R63" s="29" t="n">
        <f aca="false">IF(AND($B63&lt;&gt;"",$B63=Statement!$C$6,$M63=Statement!$C$8),1,0)</f>
        <v>0</v>
      </c>
      <c r="S63" s="29" t="str">
        <f aca="false">IF($R63=1,SUM($R$5:$R63),"")</f>
        <v/>
      </c>
    </row>
    <row r="64" customFormat="false" ht="15" hidden="false" customHeight="false" outlineLevel="0" collapsed="false">
      <c r="A64" s="28"/>
      <c r="B64" s="10"/>
      <c r="C64" s="10"/>
      <c r="D64" s="10"/>
      <c r="E64" s="23"/>
      <c r="F64" s="23"/>
      <c r="G64" s="10"/>
      <c r="H64" s="10"/>
      <c r="I64" s="28"/>
      <c r="J64" s="29" t="str">
        <f aca="false">IF(OR($A64="",$B64=""),"",IF(YEAR($A64)=Settings!$C$4,MONTH($A64),""))</f>
        <v/>
      </c>
      <c r="K64" s="29" t="str">
        <f aca="false">IF($A64="","",IF(OR($J64="",$B64=""),0,IF(OR($G64="Won",$H64="Yes"),1,0)))</f>
        <v/>
      </c>
      <c r="L64" s="30" t="str">
        <f aca="false">IF($B64="","",IFERROR(IF(INDEX(Settings!$E$12:$E$21,MATCH($B64,Settings!$B$12:$B$21,0))="Gross margin",N($F64),N($E64)),""))</f>
        <v/>
      </c>
      <c r="M64" s="29" t="str">
        <f aca="false">IF(AND($G64="Cancelled",$H64="Yes",$I64&lt;&gt;""),IF(YEAR($I64)=Settings!$C$4,MONTH($I64),""),"")</f>
        <v/>
      </c>
      <c r="N64" s="31" t="str">
        <f aca="false">IF($M64="","",IFERROR(IF($J64="",IF(INDEX(Settings!$D$12:$D$21,MATCH($B64,Settings!$B$12:$B$21,0))="Tiered",INDEX(Settings!$I$12:$I$21,MATCH($B64,Settings!$B$12:$B$21,0)),INDEX(Settings!$G$12:$G$21,MATCH($B64,Settings!$B$12:$B$21,0))),INDEX(Calculation!$U$6:$U$125,(MATCH($B64,Settings!$B$12:$B$21,0)-1)*12+$J64)),0))</f>
        <v/>
      </c>
      <c r="O64" s="30" t="n">
        <f aca="false">IF($M64="",0,N($L64)*N($N64))</f>
        <v>0</v>
      </c>
      <c r="P64" s="29" t="n">
        <f aca="false">IF(AND($B64&lt;&gt;"",$B64=Statement!$C$6,$J64=Statement!$C$8,$K64=1),1,0)</f>
        <v>0</v>
      </c>
      <c r="Q64" s="29" t="str">
        <f aca="false">IF($P64=1,SUM($P$5:$P64),"")</f>
        <v/>
      </c>
      <c r="R64" s="29" t="n">
        <f aca="false">IF(AND($B64&lt;&gt;"",$B64=Statement!$C$6,$M64=Statement!$C$8),1,0)</f>
        <v>0</v>
      </c>
      <c r="S64" s="29" t="str">
        <f aca="false">IF($R64=1,SUM($R$5:$R64),"")</f>
        <v/>
      </c>
    </row>
    <row r="65" customFormat="false" ht="15" hidden="false" customHeight="false" outlineLevel="0" collapsed="false">
      <c r="A65" s="28"/>
      <c r="B65" s="10"/>
      <c r="C65" s="10"/>
      <c r="D65" s="10"/>
      <c r="E65" s="23"/>
      <c r="F65" s="23"/>
      <c r="G65" s="10"/>
      <c r="H65" s="10"/>
      <c r="I65" s="28"/>
      <c r="J65" s="29" t="str">
        <f aca="false">IF(OR($A65="",$B65=""),"",IF(YEAR($A65)=Settings!$C$4,MONTH($A65),""))</f>
        <v/>
      </c>
      <c r="K65" s="29" t="str">
        <f aca="false">IF($A65="","",IF(OR($J65="",$B65=""),0,IF(OR($G65="Won",$H65="Yes"),1,0)))</f>
        <v/>
      </c>
      <c r="L65" s="30" t="str">
        <f aca="false">IF($B65="","",IFERROR(IF(INDEX(Settings!$E$12:$E$21,MATCH($B65,Settings!$B$12:$B$21,0))="Gross margin",N($F65),N($E65)),""))</f>
        <v/>
      </c>
      <c r="M65" s="29" t="str">
        <f aca="false">IF(AND($G65="Cancelled",$H65="Yes",$I65&lt;&gt;""),IF(YEAR($I65)=Settings!$C$4,MONTH($I65),""),"")</f>
        <v/>
      </c>
      <c r="N65" s="31" t="str">
        <f aca="false">IF($M65="","",IFERROR(IF($J65="",IF(INDEX(Settings!$D$12:$D$21,MATCH($B65,Settings!$B$12:$B$21,0))="Tiered",INDEX(Settings!$I$12:$I$21,MATCH($B65,Settings!$B$12:$B$21,0)),INDEX(Settings!$G$12:$G$21,MATCH($B65,Settings!$B$12:$B$21,0))),INDEX(Calculation!$U$6:$U$125,(MATCH($B65,Settings!$B$12:$B$21,0)-1)*12+$J65)),0))</f>
        <v/>
      </c>
      <c r="O65" s="30" t="n">
        <f aca="false">IF($M65="",0,N($L65)*N($N65))</f>
        <v>0</v>
      </c>
      <c r="P65" s="29" t="n">
        <f aca="false">IF(AND($B65&lt;&gt;"",$B65=Statement!$C$6,$J65=Statement!$C$8,$K65=1),1,0)</f>
        <v>0</v>
      </c>
      <c r="Q65" s="29" t="str">
        <f aca="false">IF($P65=1,SUM($P$5:$P65),"")</f>
        <v/>
      </c>
      <c r="R65" s="29" t="n">
        <f aca="false">IF(AND($B65&lt;&gt;"",$B65=Statement!$C$6,$M65=Statement!$C$8),1,0)</f>
        <v>0</v>
      </c>
      <c r="S65" s="29" t="str">
        <f aca="false">IF($R65=1,SUM($R$5:$R65),"")</f>
        <v/>
      </c>
    </row>
    <row r="66" customFormat="false" ht="15" hidden="false" customHeight="false" outlineLevel="0" collapsed="false">
      <c r="A66" s="28"/>
      <c r="B66" s="10"/>
      <c r="C66" s="10"/>
      <c r="D66" s="10"/>
      <c r="E66" s="23"/>
      <c r="F66" s="23"/>
      <c r="G66" s="10"/>
      <c r="H66" s="10"/>
      <c r="I66" s="28"/>
      <c r="J66" s="29" t="str">
        <f aca="false">IF(OR($A66="",$B66=""),"",IF(YEAR($A66)=Settings!$C$4,MONTH($A66),""))</f>
        <v/>
      </c>
      <c r="K66" s="29" t="str">
        <f aca="false">IF($A66="","",IF(OR($J66="",$B66=""),0,IF(OR($G66="Won",$H66="Yes"),1,0)))</f>
        <v/>
      </c>
      <c r="L66" s="30" t="str">
        <f aca="false">IF($B66="","",IFERROR(IF(INDEX(Settings!$E$12:$E$21,MATCH($B66,Settings!$B$12:$B$21,0))="Gross margin",N($F66),N($E66)),""))</f>
        <v/>
      </c>
      <c r="M66" s="29" t="str">
        <f aca="false">IF(AND($G66="Cancelled",$H66="Yes",$I66&lt;&gt;""),IF(YEAR($I66)=Settings!$C$4,MONTH($I66),""),"")</f>
        <v/>
      </c>
      <c r="N66" s="31" t="str">
        <f aca="false">IF($M66="","",IFERROR(IF($J66="",IF(INDEX(Settings!$D$12:$D$21,MATCH($B66,Settings!$B$12:$B$21,0))="Tiered",INDEX(Settings!$I$12:$I$21,MATCH($B66,Settings!$B$12:$B$21,0)),INDEX(Settings!$G$12:$G$21,MATCH($B66,Settings!$B$12:$B$21,0))),INDEX(Calculation!$U$6:$U$125,(MATCH($B66,Settings!$B$12:$B$21,0)-1)*12+$J66)),0))</f>
        <v/>
      </c>
      <c r="O66" s="30" t="n">
        <f aca="false">IF($M66="",0,N($L66)*N($N66))</f>
        <v>0</v>
      </c>
      <c r="P66" s="29" t="n">
        <f aca="false">IF(AND($B66&lt;&gt;"",$B66=Statement!$C$6,$J66=Statement!$C$8,$K66=1),1,0)</f>
        <v>0</v>
      </c>
      <c r="Q66" s="29" t="str">
        <f aca="false">IF($P66=1,SUM($P$5:$P66),"")</f>
        <v/>
      </c>
      <c r="R66" s="29" t="n">
        <f aca="false">IF(AND($B66&lt;&gt;"",$B66=Statement!$C$6,$M66=Statement!$C$8),1,0)</f>
        <v>0</v>
      </c>
      <c r="S66" s="29" t="str">
        <f aca="false">IF($R66=1,SUM($R$5:$R66),"")</f>
        <v/>
      </c>
    </row>
    <row r="67" customFormat="false" ht="15" hidden="false" customHeight="false" outlineLevel="0" collapsed="false">
      <c r="A67" s="28"/>
      <c r="B67" s="10"/>
      <c r="C67" s="10"/>
      <c r="D67" s="10"/>
      <c r="E67" s="23"/>
      <c r="F67" s="23"/>
      <c r="G67" s="10"/>
      <c r="H67" s="10"/>
      <c r="I67" s="28"/>
      <c r="J67" s="29" t="str">
        <f aca="false">IF(OR($A67="",$B67=""),"",IF(YEAR($A67)=Settings!$C$4,MONTH($A67),""))</f>
        <v/>
      </c>
      <c r="K67" s="29" t="str">
        <f aca="false">IF($A67="","",IF(OR($J67="",$B67=""),0,IF(OR($G67="Won",$H67="Yes"),1,0)))</f>
        <v/>
      </c>
      <c r="L67" s="30" t="str">
        <f aca="false">IF($B67="","",IFERROR(IF(INDEX(Settings!$E$12:$E$21,MATCH($B67,Settings!$B$12:$B$21,0))="Gross margin",N($F67),N($E67)),""))</f>
        <v/>
      </c>
      <c r="M67" s="29" t="str">
        <f aca="false">IF(AND($G67="Cancelled",$H67="Yes",$I67&lt;&gt;""),IF(YEAR($I67)=Settings!$C$4,MONTH($I67),""),"")</f>
        <v/>
      </c>
      <c r="N67" s="31" t="str">
        <f aca="false">IF($M67="","",IFERROR(IF($J67="",IF(INDEX(Settings!$D$12:$D$21,MATCH($B67,Settings!$B$12:$B$21,0))="Tiered",INDEX(Settings!$I$12:$I$21,MATCH($B67,Settings!$B$12:$B$21,0)),INDEX(Settings!$G$12:$G$21,MATCH($B67,Settings!$B$12:$B$21,0))),INDEX(Calculation!$U$6:$U$125,(MATCH($B67,Settings!$B$12:$B$21,0)-1)*12+$J67)),0))</f>
        <v/>
      </c>
      <c r="O67" s="30" t="n">
        <f aca="false">IF($M67="",0,N($L67)*N($N67))</f>
        <v>0</v>
      </c>
      <c r="P67" s="29" t="n">
        <f aca="false">IF(AND($B67&lt;&gt;"",$B67=Statement!$C$6,$J67=Statement!$C$8,$K67=1),1,0)</f>
        <v>0</v>
      </c>
      <c r="Q67" s="29" t="str">
        <f aca="false">IF($P67=1,SUM($P$5:$P67),"")</f>
        <v/>
      </c>
      <c r="R67" s="29" t="n">
        <f aca="false">IF(AND($B67&lt;&gt;"",$B67=Statement!$C$6,$M67=Statement!$C$8),1,0)</f>
        <v>0</v>
      </c>
      <c r="S67" s="29" t="str">
        <f aca="false">IF($R67=1,SUM($R$5:$R67),"")</f>
        <v/>
      </c>
    </row>
    <row r="68" customFormat="false" ht="15" hidden="false" customHeight="false" outlineLevel="0" collapsed="false">
      <c r="A68" s="28"/>
      <c r="B68" s="10"/>
      <c r="C68" s="10"/>
      <c r="D68" s="10"/>
      <c r="E68" s="23"/>
      <c r="F68" s="23"/>
      <c r="G68" s="10"/>
      <c r="H68" s="10"/>
      <c r="I68" s="28"/>
      <c r="J68" s="29" t="str">
        <f aca="false">IF(OR($A68="",$B68=""),"",IF(YEAR($A68)=Settings!$C$4,MONTH($A68),""))</f>
        <v/>
      </c>
      <c r="K68" s="29" t="str">
        <f aca="false">IF($A68="","",IF(OR($J68="",$B68=""),0,IF(OR($G68="Won",$H68="Yes"),1,0)))</f>
        <v/>
      </c>
      <c r="L68" s="30" t="str">
        <f aca="false">IF($B68="","",IFERROR(IF(INDEX(Settings!$E$12:$E$21,MATCH($B68,Settings!$B$12:$B$21,0))="Gross margin",N($F68),N($E68)),""))</f>
        <v/>
      </c>
      <c r="M68" s="29" t="str">
        <f aca="false">IF(AND($G68="Cancelled",$H68="Yes",$I68&lt;&gt;""),IF(YEAR($I68)=Settings!$C$4,MONTH($I68),""),"")</f>
        <v/>
      </c>
      <c r="N68" s="31" t="str">
        <f aca="false">IF($M68="","",IFERROR(IF($J68="",IF(INDEX(Settings!$D$12:$D$21,MATCH($B68,Settings!$B$12:$B$21,0))="Tiered",INDEX(Settings!$I$12:$I$21,MATCH($B68,Settings!$B$12:$B$21,0)),INDEX(Settings!$G$12:$G$21,MATCH($B68,Settings!$B$12:$B$21,0))),INDEX(Calculation!$U$6:$U$125,(MATCH($B68,Settings!$B$12:$B$21,0)-1)*12+$J68)),0))</f>
        <v/>
      </c>
      <c r="O68" s="30" t="n">
        <f aca="false">IF($M68="",0,N($L68)*N($N68))</f>
        <v>0</v>
      </c>
      <c r="P68" s="29" t="n">
        <f aca="false">IF(AND($B68&lt;&gt;"",$B68=Statement!$C$6,$J68=Statement!$C$8,$K68=1),1,0)</f>
        <v>0</v>
      </c>
      <c r="Q68" s="29" t="str">
        <f aca="false">IF($P68=1,SUM($P$5:$P68),"")</f>
        <v/>
      </c>
      <c r="R68" s="29" t="n">
        <f aca="false">IF(AND($B68&lt;&gt;"",$B68=Statement!$C$6,$M68=Statement!$C$8),1,0)</f>
        <v>0</v>
      </c>
      <c r="S68" s="29" t="str">
        <f aca="false">IF($R68=1,SUM($R$5:$R68),"")</f>
        <v/>
      </c>
    </row>
    <row r="69" customFormat="false" ht="15" hidden="false" customHeight="false" outlineLevel="0" collapsed="false">
      <c r="A69" s="28"/>
      <c r="B69" s="10"/>
      <c r="C69" s="10"/>
      <c r="D69" s="10"/>
      <c r="E69" s="23"/>
      <c r="F69" s="23"/>
      <c r="G69" s="10"/>
      <c r="H69" s="10"/>
      <c r="I69" s="28"/>
      <c r="J69" s="29" t="str">
        <f aca="false">IF(OR($A69="",$B69=""),"",IF(YEAR($A69)=Settings!$C$4,MONTH($A69),""))</f>
        <v/>
      </c>
      <c r="K69" s="29" t="str">
        <f aca="false">IF($A69="","",IF(OR($J69="",$B69=""),0,IF(OR($G69="Won",$H69="Yes"),1,0)))</f>
        <v/>
      </c>
      <c r="L69" s="30" t="str">
        <f aca="false">IF($B69="","",IFERROR(IF(INDEX(Settings!$E$12:$E$21,MATCH($B69,Settings!$B$12:$B$21,0))="Gross margin",N($F69),N($E69)),""))</f>
        <v/>
      </c>
      <c r="M69" s="29" t="str">
        <f aca="false">IF(AND($G69="Cancelled",$H69="Yes",$I69&lt;&gt;""),IF(YEAR($I69)=Settings!$C$4,MONTH($I69),""),"")</f>
        <v/>
      </c>
      <c r="N69" s="31" t="str">
        <f aca="false">IF($M69="","",IFERROR(IF($J69="",IF(INDEX(Settings!$D$12:$D$21,MATCH($B69,Settings!$B$12:$B$21,0))="Tiered",INDEX(Settings!$I$12:$I$21,MATCH($B69,Settings!$B$12:$B$21,0)),INDEX(Settings!$G$12:$G$21,MATCH($B69,Settings!$B$12:$B$21,0))),INDEX(Calculation!$U$6:$U$125,(MATCH($B69,Settings!$B$12:$B$21,0)-1)*12+$J69)),0))</f>
        <v/>
      </c>
      <c r="O69" s="30" t="n">
        <f aca="false">IF($M69="",0,N($L69)*N($N69))</f>
        <v>0</v>
      </c>
      <c r="P69" s="29" t="n">
        <f aca="false">IF(AND($B69&lt;&gt;"",$B69=Statement!$C$6,$J69=Statement!$C$8,$K69=1),1,0)</f>
        <v>0</v>
      </c>
      <c r="Q69" s="29" t="str">
        <f aca="false">IF($P69=1,SUM($P$5:$P69),"")</f>
        <v/>
      </c>
      <c r="R69" s="29" t="n">
        <f aca="false">IF(AND($B69&lt;&gt;"",$B69=Statement!$C$6,$M69=Statement!$C$8),1,0)</f>
        <v>0</v>
      </c>
      <c r="S69" s="29" t="str">
        <f aca="false">IF($R69=1,SUM($R$5:$R69),"")</f>
        <v/>
      </c>
    </row>
    <row r="70" customFormat="false" ht="15" hidden="false" customHeight="false" outlineLevel="0" collapsed="false">
      <c r="A70" s="28"/>
      <c r="B70" s="10"/>
      <c r="C70" s="10"/>
      <c r="D70" s="10"/>
      <c r="E70" s="23"/>
      <c r="F70" s="23"/>
      <c r="G70" s="10"/>
      <c r="H70" s="10"/>
      <c r="I70" s="28"/>
      <c r="J70" s="29" t="str">
        <f aca="false">IF(OR($A70="",$B70=""),"",IF(YEAR($A70)=Settings!$C$4,MONTH($A70),""))</f>
        <v/>
      </c>
      <c r="K70" s="29" t="str">
        <f aca="false">IF($A70="","",IF(OR($J70="",$B70=""),0,IF(OR($G70="Won",$H70="Yes"),1,0)))</f>
        <v/>
      </c>
      <c r="L70" s="30" t="str">
        <f aca="false">IF($B70="","",IFERROR(IF(INDEX(Settings!$E$12:$E$21,MATCH($B70,Settings!$B$12:$B$21,0))="Gross margin",N($F70),N($E70)),""))</f>
        <v/>
      </c>
      <c r="M70" s="29" t="str">
        <f aca="false">IF(AND($G70="Cancelled",$H70="Yes",$I70&lt;&gt;""),IF(YEAR($I70)=Settings!$C$4,MONTH($I70),""),"")</f>
        <v/>
      </c>
      <c r="N70" s="31" t="str">
        <f aca="false">IF($M70="","",IFERROR(IF($J70="",IF(INDEX(Settings!$D$12:$D$21,MATCH($B70,Settings!$B$12:$B$21,0))="Tiered",INDEX(Settings!$I$12:$I$21,MATCH($B70,Settings!$B$12:$B$21,0)),INDEX(Settings!$G$12:$G$21,MATCH($B70,Settings!$B$12:$B$21,0))),INDEX(Calculation!$U$6:$U$125,(MATCH($B70,Settings!$B$12:$B$21,0)-1)*12+$J70)),0))</f>
        <v/>
      </c>
      <c r="O70" s="30" t="n">
        <f aca="false">IF($M70="",0,N($L70)*N($N70))</f>
        <v>0</v>
      </c>
      <c r="P70" s="29" t="n">
        <f aca="false">IF(AND($B70&lt;&gt;"",$B70=Statement!$C$6,$J70=Statement!$C$8,$K70=1),1,0)</f>
        <v>0</v>
      </c>
      <c r="Q70" s="29" t="str">
        <f aca="false">IF($P70=1,SUM($P$5:$P70),"")</f>
        <v/>
      </c>
      <c r="R70" s="29" t="n">
        <f aca="false">IF(AND($B70&lt;&gt;"",$B70=Statement!$C$6,$M70=Statement!$C$8),1,0)</f>
        <v>0</v>
      </c>
      <c r="S70" s="29" t="str">
        <f aca="false">IF($R70=1,SUM($R$5:$R70),"")</f>
        <v/>
      </c>
    </row>
    <row r="71" customFormat="false" ht="15" hidden="false" customHeight="false" outlineLevel="0" collapsed="false">
      <c r="A71" s="28"/>
      <c r="B71" s="10"/>
      <c r="C71" s="10"/>
      <c r="D71" s="10"/>
      <c r="E71" s="23"/>
      <c r="F71" s="23"/>
      <c r="G71" s="10"/>
      <c r="H71" s="10"/>
      <c r="I71" s="28"/>
      <c r="J71" s="29" t="str">
        <f aca="false">IF(OR($A71="",$B71=""),"",IF(YEAR($A71)=Settings!$C$4,MONTH($A71),""))</f>
        <v/>
      </c>
      <c r="K71" s="29" t="str">
        <f aca="false">IF($A71="","",IF(OR($J71="",$B71=""),0,IF(OR($G71="Won",$H71="Yes"),1,0)))</f>
        <v/>
      </c>
      <c r="L71" s="30" t="str">
        <f aca="false">IF($B71="","",IFERROR(IF(INDEX(Settings!$E$12:$E$21,MATCH($B71,Settings!$B$12:$B$21,0))="Gross margin",N($F71),N($E71)),""))</f>
        <v/>
      </c>
      <c r="M71" s="29" t="str">
        <f aca="false">IF(AND($G71="Cancelled",$H71="Yes",$I71&lt;&gt;""),IF(YEAR($I71)=Settings!$C$4,MONTH($I71),""),"")</f>
        <v/>
      </c>
      <c r="N71" s="31" t="str">
        <f aca="false">IF($M71="","",IFERROR(IF($J71="",IF(INDEX(Settings!$D$12:$D$21,MATCH($B71,Settings!$B$12:$B$21,0))="Tiered",INDEX(Settings!$I$12:$I$21,MATCH($B71,Settings!$B$12:$B$21,0)),INDEX(Settings!$G$12:$G$21,MATCH($B71,Settings!$B$12:$B$21,0))),INDEX(Calculation!$U$6:$U$125,(MATCH($B71,Settings!$B$12:$B$21,0)-1)*12+$J71)),0))</f>
        <v/>
      </c>
      <c r="O71" s="30" t="n">
        <f aca="false">IF($M71="",0,N($L71)*N($N71))</f>
        <v>0</v>
      </c>
      <c r="P71" s="29" t="n">
        <f aca="false">IF(AND($B71&lt;&gt;"",$B71=Statement!$C$6,$J71=Statement!$C$8,$K71=1),1,0)</f>
        <v>0</v>
      </c>
      <c r="Q71" s="29" t="str">
        <f aca="false">IF($P71=1,SUM($P$5:$P71),"")</f>
        <v/>
      </c>
      <c r="R71" s="29" t="n">
        <f aca="false">IF(AND($B71&lt;&gt;"",$B71=Statement!$C$6,$M71=Statement!$C$8),1,0)</f>
        <v>0</v>
      </c>
      <c r="S71" s="29" t="str">
        <f aca="false">IF($R71=1,SUM($R$5:$R71),"")</f>
        <v/>
      </c>
    </row>
    <row r="72" customFormat="false" ht="15" hidden="false" customHeight="false" outlineLevel="0" collapsed="false">
      <c r="A72" s="28"/>
      <c r="B72" s="10"/>
      <c r="C72" s="10"/>
      <c r="D72" s="10"/>
      <c r="E72" s="23"/>
      <c r="F72" s="23"/>
      <c r="G72" s="10"/>
      <c r="H72" s="10"/>
      <c r="I72" s="28"/>
      <c r="J72" s="29" t="str">
        <f aca="false">IF(OR($A72="",$B72=""),"",IF(YEAR($A72)=Settings!$C$4,MONTH($A72),""))</f>
        <v/>
      </c>
      <c r="K72" s="29" t="str">
        <f aca="false">IF($A72="","",IF(OR($J72="",$B72=""),0,IF(OR($G72="Won",$H72="Yes"),1,0)))</f>
        <v/>
      </c>
      <c r="L72" s="30" t="str">
        <f aca="false">IF($B72="","",IFERROR(IF(INDEX(Settings!$E$12:$E$21,MATCH($B72,Settings!$B$12:$B$21,0))="Gross margin",N($F72),N($E72)),""))</f>
        <v/>
      </c>
      <c r="M72" s="29" t="str">
        <f aca="false">IF(AND($G72="Cancelled",$H72="Yes",$I72&lt;&gt;""),IF(YEAR($I72)=Settings!$C$4,MONTH($I72),""),"")</f>
        <v/>
      </c>
      <c r="N72" s="31" t="str">
        <f aca="false">IF($M72="","",IFERROR(IF($J72="",IF(INDEX(Settings!$D$12:$D$21,MATCH($B72,Settings!$B$12:$B$21,0))="Tiered",INDEX(Settings!$I$12:$I$21,MATCH($B72,Settings!$B$12:$B$21,0)),INDEX(Settings!$G$12:$G$21,MATCH($B72,Settings!$B$12:$B$21,0))),INDEX(Calculation!$U$6:$U$125,(MATCH($B72,Settings!$B$12:$B$21,0)-1)*12+$J72)),0))</f>
        <v/>
      </c>
      <c r="O72" s="30" t="n">
        <f aca="false">IF($M72="",0,N($L72)*N($N72))</f>
        <v>0</v>
      </c>
      <c r="P72" s="29" t="n">
        <f aca="false">IF(AND($B72&lt;&gt;"",$B72=Statement!$C$6,$J72=Statement!$C$8,$K72=1),1,0)</f>
        <v>0</v>
      </c>
      <c r="Q72" s="29" t="str">
        <f aca="false">IF($P72=1,SUM($P$5:$P72),"")</f>
        <v/>
      </c>
      <c r="R72" s="29" t="n">
        <f aca="false">IF(AND($B72&lt;&gt;"",$B72=Statement!$C$6,$M72=Statement!$C$8),1,0)</f>
        <v>0</v>
      </c>
      <c r="S72" s="29" t="str">
        <f aca="false">IF($R72=1,SUM($R$5:$R72),"")</f>
        <v/>
      </c>
    </row>
    <row r="73" customFormat="false" ht="15" hidden="false" customHeight="false" outlineLevel="0" collapsed="false">
      <c r="A73" s="28"/>
      <c r="B73" s="10"/>
      <c r="C73" s="10"/>
      <c r="D73" s="10"/>
      <c r="E73" s="23"/>
      <c r="F73" s="23"/>
      <c r="G73" s="10"/>
      <c r="H73" s="10"/>
      <c r="I73" s="28"/>
      <c r="J73" s="29" t="str">
        <f aca="false">IF(OR($A73="",$B73=""),"",IF(YEAR($A73)=Settings!$C$4,MONTH($A73),""))</f>
        <v/>
      </c>
      <c r="K73" s="29" t="str">
        <f aca="false">IF($A73="","",IF(OR($J73="",$B73=""),0,IF(OR($G73="Won",$H73="Yes"),1,0)))</f>
        <v/>
      </c>
      <c r="L73" s="30" t="str">
        <f aca="false">IF($B73="","",IFERROR(IF(INDEX(Settings!$E$12:$E$21,MATCH($B73,Settings!$B$12:$B$21,0))="Gross margin",N($F73),N($E73)),""))</f>
        <v/>
      </c>
      <c r="M73" s="29" t="str">
        <f aca="false">IF(AND($G73="Cancelled",$H73="Yes",$I73&lt;&gt;""),IF(YEAR($I73)=Settings!$C$4,MONTH($I73),""),"")</f>
        <v/>
      </c>
      <c r="N73" s="31" t="str">
        <f aca="false">IF($M73="","",IFERROR(IF($J73="",IF(INDEX(Settings!$D$12:$D$21,MATCH($B73,Settings!$B$12:$B$21,0))="Tiered",INDEX(Settings!$I$12:$I$21,MATCH($B73,Settings!$B$12:$B$21,0)),INDEX(Settings!$G$12:$G$21,MATCH($B73,Settings!$B$12:$B$21,0))),INDEX(Calculation!$U$6:$U$125,(MATCH($B73,Settings!$B$12:$B$21,0)-1)*12+$J73)),0))</f>
        <v/>
      </c>
      <c r="O73" s="30" t="n">
        <f aca="false">IF($M73="",0,N($L73)*N($N73))</f>
        <v>0</v>
      </c>
      <c r="P73" s="29" t="n">
        <f aca="false">IF(AND($B73&lt;&gt;"",$B73=Statement!$C$6,$J73=Statement!$C$8,$K73=1),1,0)</f>
        <v>0</v>
      </c>
      <c r="Q73" s="29" t="str">
        <f aca="false">IF($P73=1,SUM($P$5:$P73),"")</f>
        <v/>
      </c>
      <c r="R73" s="29" t="n">
        <f aca="false">IF(AND($B73&lt;&gt;"",$B73=Statement!$C$6,$M73=Statement!$C$8),1,0)</f>
        <v>0</v>
      </c>
      <c r="S73" s="29" t="str">
        <f aca="false">IF($R73=1,SUM($R$5:$R73),"")</f>
        <v/>
      </c>
    </row>
    <row r="74" customFormat="false" ht="15" hidden="false" customHeight="false" outlineLevel="0" collapsed="false">
      <c r="A74" s="28"/>
      <c r="B74" s="10"/>
      <c r="C74" s="10"/>
      <c r="D74" s="10"/>
      <c r="E74" s="23"/>
      <c r="F74" s="23"/>
      <c r="G74" s="10"/>
      <c r="H74" s="10"/>
      <c r="I74" s="28"/>
      <c r="J74" s="29" t="str">
        <f aca="false">IF(OR($A74="",$B74=""),"",IF(YEAR($A74)=Settings!$C$4,MONTH($A74),""))</f>
        <v/>
      </c>
      <c r="K74" s="29" t="str">
        <f aca="false">IF($A74="","",IF(OR($J74="",$B74=""),0,IF(OR($G74="Won",$H74="Yes"),1,0)))</f>
        <v/>
      </c>
      <c r="L74" s="30" t="str">
        <f aca="false">IF($B74="","",IFERROR(IF(INDEX(Settings!$E$12:$E$21,MATCH($B74,Settings!$B$12:$B$21,0))="Gross margin",N($F74),N($E74)),""))</f>
        <v/>
      </c>
      <c r="M74" s="29" t="str">
        <f aca="false">IF(AND($G74="Cancelled",$H74="Yes",$I74&lt;&gt;""),IF(YEAR($I74)=Settings!$C$4,MONTH($I74),""),"")</f>
        <v/>
      </c>
      <c r="N74" s="31" t="str">
        <f aca="false">IF($M74="","",IFERROR(IF($J74="",IF(INDEX(Settings!$D$12:$D$21,MATCH($B74,Settings!$B$12:$B$21,0))="Tiered",INDEX(Settings!$I$12:$I$21,MATCH($B74,Settings!$B$12:$B$21,0)),INDEX(Settings!$G$12:$G$21,MATCH($B74,Settings!$B$12:$B$21,0))),INDEX(Calculation!$U$6:$U$125,(MATCH($B74,Settings!$B$12:$B$21,0)-1)*12+$J74)),0))</f>
        <v/>
      </c>
      <c r="O74" s="30" t="n">
        <f aca="false">IF($M74="",0,N($L74)*N($N74))</f>
        <v>0</v>
      </c>
      <c r="P74" s="29" t="n">
        <f aca="false">IF(AND($B74&lt;&gt;"",$B74=Statement!$C$6,$J74=Statement!$C$8,$K74=1),1,0)</f>
        <v>0</v>
      </c>
      <c r="Q74" s="29" t="str">
        <f aca="false">IF($P74=1,SUM($P$5:$P74),"")</f>
        <v/>
      </c>
      <c r="R74" s="29" t="n">
        <f aca="false">IF(AND($B74&lt;&gt;"",$B74=Statement!$C$6,$M74=Statement!$C$8),1,0)</f>
        <v>0</v>
      </c>
      <c r="S74" s="29" t="str">
        <f aca="false">IF($R74=1,SUM($R$5:$R74),"")</f>
        <v/>
      </c>
    </row>
    <row r="75" customFormat="false" ht="15" hidden="false" customHeight="false" outlineLevel="0" collapsed="false">
      <c r="A75" s="28"/>
      <c r="B75" s="10"/>
      <c r="C75" s="10"/>
      <c r="D75" s="10"/>
      <c r="E75" s="23"/>
      <c r="F75" s="23"/>
      <c r="G75" s="10"/>
      <c r="H75" s="10"/>
      <c r="I75" s="28"/>
      <c r="J75" s="29" t="str">
        <f aca="false">IF(OR($A75="",$B75=""),"",IF(YEAR($A75)=Settings!$C$4,MONTH($A75),""))</f>
        <v/>
      </c>
      <c r="K75" s="29" t="str">
        <f aca="false">IF($A75="","",IF(OR($J75="",$B75=""),0,IF(OR($G75="Won",$H75="Yes"),1,0)))</f>
        <v/>
      </c>
      <c r="L75" s="30" t="str">
        <f aca="false">IF($B75="","",IFERROR(IF(INDEX(Settings!$E$12:$E$21,MATCH($B75,Settings!$B$12:$B$21,0))="Gross margin",N($F75),N($E75)),""))</f>
        <v/>
      </c>
      <c r="M75" s="29" t="str">
        <f aca="false">IF(AND($G75="Cancelled",$H75="Yes",$I75&lt;&gt;""),IF(YEAR($I75)=Settings!$C$4,MONTH($I75),""),"")</f>
        <v/>
      </c>
      <c r="N75" s="31" t="str">
        <f aca="false">IF($M75="","",IFERROR(IF($J75="",IF(INDEX(Settings!$D$12:$D$21,MATCH($B75,Settings!$B$12:$B$21,0))="Tiered",INDEX(Settings!$I$12:$I$21,MATCH($B75,Settings!$B$12:$B$21,0)),INDEX(Settings!$G$12:$G$21,MATCH($B75,Settings!$B$12:$B$21,0))),INDEX(Calculation!$U$6:$U$125,(MATCH($B75,Settings!$B$12:$B$21,0)-1)*12+$J75)),0))</f>
        <v/>
      </c>
      <c r="O75" s="30" t="n">
        <f aca="false">IF($M75="",0,N($L75)*N($N75))</f>
        <v>0</v>
      </c>
      <c r="P75" s="29" t="n">
        <f aca="false">IF(AND($B75&lt;&gt;"",$B75=Statement!$C$6,$J75=Statement!$C$8,$K75=1),1,0)</f>
        <v>0</v>
      </c>
      <c r="Q75" s="29" t="str">
        <f aca="false">IF($P75=1,SUM($P$5:$P75),"")</f>
        <v/>
      </c>
      <c r="R75" s="29" t="n">
        <f aca="false">IF(AND($B75&lt;&gt;"",$B75=Statement!$C$6,$M75=Statement!$C$8),1,0)</f>
        <v>0</v>
      </c>
      <c r="S75" s="29" t="str">
        <f aca="false">IF($R75=1,SUM($R$5:$R75),"")</f>
        <v/>
      </c>
    </row>
    <row r="76" customFormat="false" ht="15" hidden="false" customHeight="false" outlineLevel="0" collapsed="false">
      <c r="A76" s="28"/>
      <c r="B76" s="10"/>
      <c r="C76" s="10"/>
      <c r="D76" s="10"/>
      <c r="E76" s="23"/>
      <c r="F76" s="23"/>
      <c r="G76" s="10"/>
      <c r="H76" s="10"/>
      <c r="I76" s="28"/>
      <c r="J76" s="29" t="str">
        <f aca="false">IF(OR($A76="",$B76=""),"",IF(YEAR($A76)=Settings!$C$4,MONTH($A76),""))</f>
        <v/>
      </c>
      <c r="K76" s="29" t="str">
        <f aca="false">IF($A76="","",IF(OR($J76="",$B76=""),0,IF(OR($G76="Won",$H76="Yes"),1,0)))</f>
        <v/>
      </c>
      <c r="L76" s="30" t="str">
        <f aca="false">IF($B76="","",IFERROR(IF(INDEX(Settings!$E$12:$E$21,MATCH($B76,Settings!$B$12:$B$21,0))="Gross margin",N($F76),N($E76)),""))</f>
        <v/>
      </c>
      <c r="M76" s="29" t="str">
        <f aca="false">IF(AND($G76="Cancelled",$H76="Yes",$I76&lt;&gt;""),IF(YEAR($I76)=Settings!$C$4,MONTH($I76),""),"")</f>
        <v/>
      </c>
      <c r="N76" s="31" t="str">
        <f aca="false">IF($M76="","",IFERROR(IF($J76="",IF(INDEX(Settings!$D$12:$D$21,MATCH($B76,Settings!$B$12:$B$21,0))="Tiered",INDEX(Settings!$I$12:$I$21,MATCH($B76,Settings!$B$12:$B$21,0)),INDEX(Settings!$G$12:$G$21,MATCH($B76,Settings!$B$12:$B$21,0))),INDEX(Calculation!$U$6:$U$125,(MATCH($B76,Settings!$B$12:$B$21,0)-1)*12+$J76)),0))</f>
        <v/>
      </c>
      <c r="O76" s="30" t="n">
        <f aca="false">IF($M76="",0,N($L76)*N($N76))</f>
        <v>0</v>
      </c>
      <c r="P76" s="29" t="n">
        <f aca="false">IF(AND($B76&lt;&gt;"",$B76=Statement!$C$6,$J76=Statement!$C$8,$K76=1),1,0)</f>
        <v>0</v>
      </c>
      <c r="Q76" s="29" t="str">
        <f aca="false">IF($P76=1,SUM($P$5:$P76),"")</f>
        <v/>
      </c>
      <c r="R76" s="29" t="n">
        <f aca="false">IF(AND($B76&lt;&gt;"",$B76=Statement!$C$6,$M76=Statement!$C$8),1,0)</f>
        <v>0</v>
      </c>
      <c r="S76" s="29" t="str">
        <f aca="false">IF($R76=1,SUM($R$5:$R76),"")</f>
        <v/>
      </c>
    </row>
    <row r="77" customFormat="false" ht="15" hidden="false" customHeight="false" outlineLevel="0" collapsed="false">
      <c r="A77" s="28"/>
      <c r="B77" s="10"/>
      <c r="C77" s="10"/>
      <c r="D77" s="10"/>
      <c r="E77" s="23"/>
      <c r="F77" s="23"/>
      <c r="G77" s="10"/>
      <c r="H77" s="10"/>
      <c r="I77" s="28"/>
      <c r="J77" s="29" t="str">
        <f aca="false">IF(OR($A77="",$B77=""),"",IF(YEAR($A77)=Settings!$C$4,MONTH($A77),""))</f>
        <v/>
      </c>
      <c r="K77" s="29" t="str">
        <f aca="false">IF($A77="","",IF(OR($J77="",$B77=""),0,IF(OR($G77="Won",$H77="Yes"),1,0)))</f>
        <v/>
      </c>
      <c r="L77" s="30" t="str">
        <f aca="false">IF($B77="","",IFERROR(IF(INDEX(Settings!$E$12:$E$21,MATCH($B77,Settings!$B$12:$B$21,0))="Gross margin",N($F77),N($E77)),""))</f>
        <v/>
      </c>
      <c r="M77" s="29" t="str">
        <f aca="false">IF(AND($G77="Cancelled",$H77="Yes",$I77&lt;&gt;""),IF(YEAR($I77)=Settings!$C$4,MONTH($I77),""),"")</f>
        <v/>
      </c>
      <c r="N77" s="31" t="str">
        <f aca="false">IF($M77="","",IFERROR(IF($J77="",IF(INDEX(Settings!$D$12:$D$21,MATCH($B77,Settings!$B$12:$B$21,0))="Tiered",INDEX(Settings!$I$12:$I$21,MATCH($B77,Settings!$B$12:$B$21,0)),INDEX(Settings!$G$12:$G$21,MATCH($B77,Settings!$B$12:$B$21,0))),INDEX(Calculation!$U$6:$U$125,(MATCH($B77,Settings!$B$12:$B$21,0)-1)*12+$J77)),0))</f>
        <v/>
      </c>
      <c r="O77" s="30" t="n">
        <f aca="false">IF($M77="",0,N($L77)*N($N77))</f>
        <v>0</v>
      </c>
      <c r="P77" s="29" t="n">
        <f aca="false">IF(AND($B77&lt;&gt;"",$B77=Statement!$C$6,$J77=Statement!$C$8,$K77=1),1,0)</f>
        <v>0</v>
      </c>
      <c r="Q77" s="29" t="str">
        <f aca="false">IF($P77=1,SUM($P$5:$P77),"")</f>
        <v/>
      </c>
      <c r="R77" s="29" t="n">
        <f aca="false">IF(AND($B77&lt;&gt;"",$B77=Statement!$C$6,$M77=Statement!$C$8),1,0)</f>
        <v>0</v>
      </c>
      <c r="S77" s="29" t="str">
        <f aca="false">IF($R77=1,SUM($R$5:$R77),"")</f>
        <v/>
      </c>
    </row>
    <row r="78" customFormat="false" ht="15" hidden="false" customHeight="false" outlineLevel="0" collapsed="false">
      <c r="A78" s="28"/>
      <c r="B78" s="10"/>
      <c r="C78" s="10"/>
      <c r="D78" s="10"/>
      <c r="E78" s="23"/>
      <c r="F78" s="23"/>
      <c r="G78" s="10"/>
      <c r="H78" s="10"/>
      <c r="I78" s="28"/>
      <c r="J78" s="29" t="str">
        <f aca="false">IF(OR($A78="",$B78=""),"",IF(YEAR($A78)=Settings!$C$4,MONTH($A78),""))</f>
        <v/>
      </c>
      <c r="K78" s="29" t="str">
        <f aca="false">IF($A78="","",IF(OR($J78="",$B78=""),0,IF(OR($G78="Won",$H78="Yes"),1,0)))</f>
        <v/>
      </c>
      <c r="L78" s="30" t="str">
        <f aca="false">IF($B78="","",IFERROR(IF(INDEX(Settings!$E$12:$E$21,MATCH($B78,Settings!$B$12:$B$21,0))="Gross margin",N($F78),N($E78)),""))</f>
        <v/>
      </c>
      <c r="M78" s="29" t="str">
        <f aca="false">IF(AND($G78="Cancelled",$H78="Yes",$I78&lt;&gt;""),IF(YEAR($I78)=Settings!$C$4,MONTH($I78),""),"")</f>
        <v/>
      </c>
      <c r="N78" s="31" t="str">
        <f aca="false">IF($M78="","",IFERROR(IF($J78="",IF(INDEX(Settings!$D$12:$D$21,MATCH($B78,Settings!$B$12:$B$21,0))="Tiered",INDEX(Settings!$I$12:$I$21,MATCH($B78,Settings!$B$12:$B$21,0)),INDEX(Settings!$G$12:$G$21,MATCH($B78,Settings!$B$12:$B$21,0))),INDEX(Calculation!$U$6:$U$125,(MATCH($B78,Settings!$B$12:$B$21,0)-1)*12+$J78)),0))</f>
        <v/>
      </c>
      <c r="O78" s="30" t="n">
        <f aca="false">IF($M78="",0,N($L78)*N($N78))</f>
        <v>0</v>
      </c>
      <c r="P78" s="29" t="n">
        <f aca="false">IF(AND($B78&lt;&gt;"",$B78=Statement!$C$6,$J78=Statement!$C$8,$K78=1),1,0)</f>
        <v>0</v>
      </c>
      <c r="Q78" s="29" t="str">
        <f aca="false">IF($P78=1,SUM($P$5:$P78),"")</f>
        <v/>
      </c>
      <c r="R78" s="29" t="n">
        <f aca="false">IF(AND($B78&lt;&gt;"",$B78=Statement!$C$6,$M78=Statement!$C$8),1,0)</f>
        <v>0</v>
      </c>
      <c r="S78" s="29" t="str">
        <f aca="false">IF($R78=1,SUM($R$5:$R78),"")</f>
        <v/>
      </c>
    </row>
    <row r="79" customFormat="false" ht="15" hidden="false" customHeight="false" outlineLevel="0" collapsed="false">
      <c r="A79" s="28"/>
      <c r="B79" s="10"/>
      <c r="C79" s="10"/>
      <c r="D79" s="10"/>
      <c r="E79" s="23"/>
      <c r="F79" s="23"/>
      <c r="G79" s="10"/>
      <c r="H79" s="10"/>
      <c r="I79" s="28"/>
      <c r="J79" s="29" t="str">
        <f aca="false">IF(OR($A79="",$B79=""),"",IF(YEAR($A79)=Settings!$C$4,MONTH($A79),""))</f>
        <v/>
      </c>
      <c r="K79" s="29" t="str">
        <f aca="false">IF($A79="","",IF(OR($J79="",$B79=""),0,IF(OR($G79="Won",$H79="Yes"),1,0)))</f>
        <v/>
      </c>
      <c r="L79" s="30" t="str">
        <f aca="false">IF($B79="","",IFERROR(IF(INDEX(Settings!$E$12:$E$21,MATCH($B79,Settings!$B$12:$B$21,0))="Gross margin",N($F79),N($E79)),""))</f>
        <v/>
      </c>
      <c r="M79" s="29" t="str">
        <f aca="false">IF(AND($G79="Cancelled",$H79="Yes",$I79&lt;&gt;""),IF(YEAR($I79)=Settings!$C$4,MONTH($I79),""),"")</f>
        <v/>
      </c>
      <c r="N79" s="31" t="str">
        <f aca="false">IF($M79="","",IFERROR(IF($J79="",IF(INDEX(Settings!$D$12:$D$21,MATCH($B79,Settings!$B$12:$B$21,0))="Tiered",INDEX(Settings!$I$12:$I$21,MATCH($B79,Settings!$B$12:$B$21,0)),INDEX(Settings!$G$12:$G$21,MATCH($B79,Settings!$B$12:$B$21,0))),INDEX(Calculation!$U$6:$U$125,(MATCH($B79,Settings!$B$12:$B$21,0)-1)*12+$J79)),0))</f>
        <v/>
      </c>
      <c r="O79" s="30" t="n">
        <f aca="false">IF($M79="",0,N($L79)*N($N79))</f>
        <v>0</v>
      </c>
      <c r="P79" s="29" t="n">
        <f aca="false">IF(AND($B79&lt;&gt;"",$B79=Statement!$C$6,$J79=Statement!$C$8,$K79=1),1,0)</f>
        <v>0</v>
      </c>
      <c r="Q79" s="29" t="str">
        <f aca="false">IF($P79=1,SUM($P$5:$P79),"")</f>
        <v/>
      </c>
      <c r="R79" s="29" t="n">
        <f aca="false">IF(AND($B79&lt;&gt;"",$B79=Statement!$C$6,$M79=Statement!$C$8),1,0)</f>
        <v>0</v>
      </c>
      <c r="S79" s="29" t="str">
        <f aca="false">IF($R79=1,SUM($R$5:$R79),"")</f>
        <v/>
      </c>
    </row>
    <row r="80" customFormat="false" ht="15" hidden="false" customHeight="false" outlineLevel="0" collapsed="false">
      <c r="A80" s="28"/>
      <c r="B80" s="10"/>
      <c r="C80" s="10"/>
      <c r="D80" s="10"/>
      <c r="E80" s="23"/>
      <c r="F80" s="23"/>
      <c r="G80" s="10"/>
      <c r="H80" s="10"/>
      <c r="I80" s="28"/>
      <c r="J80" s="29" t="str">
        <f aca="false">IF(OR($A80="",$B80=""),"",IF(YEAR($A80)=Settings!$C$4,MONTH($A80),""))</f>
        <v/>
      </c>
      <c r="K80" s="29" t="str">
        <f aca="false">IF($A80="","",IF(OR($J80="",$B80=""),0,IF(OR($G80="Won",$H80="Yes"),1,0)))</f>
        <v/>
      </c>
      <c r="L80" s="30" t="str">
        <f aca="false">IF($B80="","",IFERROR(IF(INDEX(Settings!$E$12:$E$21,MATCH($B80,Settings!$B$12:$B$21,0))="Gross margin",N($F80),N($E80)),""))</f>
        <v/>
      </c>
      <c r="M80" s="29" t="str">
        <f aca="false">IF(AND($G80="Cancelled",$H80="Yes",$I80&lt;&gt;""),IF(YEAR($I80)=Settings!$C$4,MONTH($I80),""),"")</f>
        <v/>
      </c>
      <c r="N80" s="31" t="str">
        <f aca="false">IF($M80="","",IFERROR(IF($J80="",IF(INDEX(Settings!$D$12:$D$21,MATCH($B80,Settings!$B$12:$B$21,0))="Tiered",INDEX(Settings!$I$12:$I$21,MATCH($B80,Settings!$B$12:$B$21,0)),INDEX(Settings!$G$12:$G$21,MATCH($B80,Settings!$B$12:$B$21,0))),INDEX(Calculation!$U$6:$U$125,(MATCH($B80,Settings!$B$12:$B$21,0)-1)*12+$J80)),0))</f>
        <v/>
      </c>
      <c r="O80" s="30" t="n">
        <f aca="false">IF($M80="",0,N($L80)*N($N80))</f>
        <v>0</v>
      </c>
      <c r="P80" s="29" t="n">
        <f aca="false">IF(AND($B80&lt;&gt;"",$B80=Statement!$C$6,$J80=Statement!$C$8,$K80=1),1,0)</f>
        <v>0</v>
      </c>
      <c r="Q80" s="29" t="str">
        <f aca="false">IF($P80=1,SUM($P$5:$P80),"")</f>
        <v/>
      </c>
      <c r="R80" s="29" t="n">
        <f aca="false">IF(AND($B80&lt;&gt;"",$B80=Statement!$C$6,$M80=Statement!$C$8),1,0)</f>
        <v>0</v>
      </c>
      <c r="S80" s="29" t="str">
        <f aca="false">IF($R80=1,SUM($R$5:$R80),"")</f>
        <v/>
      </c>
    </row>
    <row r="81" customFormat="false" ht="15" hidden="false" customHeight="false" outlineLevel="0" collapsed="false">
      <c r="A81" s="28"/>
      <c r="B81" s="10"/>
      <c r="C81" s="10"/>
      <c r="D81" s="10"/>
      <c r="E81" s="23"/>
      <c r="F81" s="23"/>
      <c r="G81" s="10"/>
      <c r="H81" s="10"/>
      <c r="I81" s="28"/>
      <c r="J81" s="29" t="str">
        <f aca="false">IF(OR($A81="",$B81=""),"",IF(YEAR($A81)=Settings!$C$4,MONTH($A81),""))</f>
        <v/>
      </c>
      <c r="K81" s="29" t="str">
        <f aca="false">IF($A81="","",IF(OR($J81="",$B81=""),0,IF(OR($G81="Won",$H81="Yes"),1,0)))</f>
        <v/>
      </c>
      <c r="L81" s="30" t="str">
        <f aca="false">IF($B81="","",IFERROR(IF(INDEX(Settings!$E$12:$E$21,MATCH($B81,Settings!$B$12:$B$21,0))="Gross margin",N($F81),N($E81)),""))</f>
        <v/>
      </c>
      <c r="M81" s="29" t="str">
        <f aca="false">IF(AND($G81="Cancelled",$H81="Yes",$I81&lt;&gt;""),IF(YEAR($I81)=Settings!$C$4,MONTH($I81),""),"")</f>
        <v/>
      </c>
      <c r="N81" s="31" t="str">
        <f aca="false">IF($M81="","",IFERROR(IF($J81="",IF(INDEX(Settings!$D$12:$D$21,MATCH($B81,Settings!$B$12:$B$21,0))="Tiered",INDEX(Settings!$I$12:$I$21,MATCH($B81,Settings!$B$12:$B$21,0)),INDEX(Settings!$G$12:$G$21,MATCH($B81,Settings!$B$12:$B$21,0))),INDEX(Calculation!$U$6:$U$125,(MATCH($B81,Settings!$B$12:$B$21,0)-1)*12+$J81)),0))</f>
        <v/>
      </c>
      <c r="O81" s="30" t="n">
        <f aca="false">IF($M81="",0,N($L81)*N($N81))</f>
        <v>0</v>
      </c>
      <c r="P81" s="29" t="n">
        <f aca="false">IF(AND($B81&lt;&gt;"",$B81=Statement!$C$6,$J81=Statement!$C$8,$K81=1),1,0)</f>
        <v>0</v>
      </c>
      <c r="Q81" s="29" t="str">
        <f aca="false">IF($P81=1,SUM($P$5:$P81),"")</f>
        <v/>
      </c>
      <c r="R81" s="29" t="n">
        <f aca="false">IF(AND($B81&lt;&gt;"",$B81=Statement!$C$6,$M81=Statement!$C$8),1,0)</f>
        <v>0</v>
      </c>
      <c r="S81" s="29" t="str">
        <f aca="false">IF($R81=1,SUM($R$5:$R81),"")</f>
        <v/>
      </c>
    </row>
    <row r="82" customFormat="false" ht="15" hidden="false" customHeight="false" outlineLevel="0" collapsed="false">
      <c r="A82" s="28"/>
      <c r="B82" s="10"/>
      <c r="C82" s="10"/>
      <c r="D82" s="10"/>
      <c r="E82" s="23"/>
      <c r="F82" s="23"/>
      <c r="G82" s="10"/>
      <c r="H82" s="10"/>
      <c r="I82" s="28"/>
      <c r="J82" s="29" t="str">
        <f aca="false">IF(OR($A82="",$B82=""),"",IF(YEAR($A82)=Settings!$C$4,MONTH($A82),""))</f>
        <v/>
      </c>
      <c r="K82" s="29" t="str">
        <f aca="false">IF($A82="","",IF(OR($J82="",$B82=""),0,IF(OR($G82="Won",$H82="Yes"),1,0)))</f>
        <v/>
      </c>
      <c r="L82" s="30" t="str">
        <f aca="false">IF($B82="","",IFERROR(IF(INDEX(Settings!$E$12:$E$21,MATCH($B82,Settings!$B$12:$B$21,0))="Gross margin",N($F82),N($E82)),""))</f>
        <v/>
      </c>
      <c r="M82" s="29" t="str">
        <f aca="false">IF(AND($G82="Cancelled",$H82="Yes",$I82&lt;&gt;""),IF(YEAR($I82)=Settings!$C$4,MONTH($I82),""),"")</f>
        <v/>
      </c>
      <c r="N82" s="31" t="str">
        <f aca="false">IF($M82="","",IFERROR(IF($J82="",IF(INDEX(Settings!$D$12:$D$21,MATCH($B82,Settings!$B$12:$B$21,0))="Tiered",INDEX(Settings!$I$12:$I$21,MATCH($B82,Settings!$B$12:$B$21,0)),INDEX(Settings!$G$12:$G$21,MATCH($B82,Settings!$B$12:$B$21,0))),INDEX(Calculation!$U$6:$U$125,(MATCH($B82,Settings!$B$12:$B$21,0)-1)*12+$J82)),0))</f>
        <v/>
      </c>
      <c r="O82" s="30" t="n">
        <f aca="false">IF($M82="",0,N($L82)*N($N82))</f>
        <v>0</v>
      </c>
      <c r="P82" s="29" t="n">
        <f aca="false">IF(AND($B82&lt;&gt;"",$B82=Statement!$C$6,$J82=Statement!$C$8,$K82=1),1,0)</f>
        <v>0</v>
      </c>
      <c r="Q82" s="29" t="str">
        <f aca="false">IF($P82=1,SUM($P$5:$P82),"")</f>
        <v/>
      </c>
      <c r="R82" s="29" t="n">
        <f aca="false">IF(AND($B82&lt;&gt;"",$B82=Statement!$C$6,$M82=Statement!$C$8),1,0)</f>
        <v>0</v>
      </c>
      <c r="S82" s="29" t="str">
        <f aca="false">IF($R82=1,SUM($R$5:$R82),"")</f>
        <v/>
      </c>
    </row>
    <row r="83" customFormat="false" ht="15" hidden="false" customHeight="false" outlineLevel="0" collapsed="false">
      <c r="A83" s="28"/>
      <c r="B83" s="10"/>
      <c r="C83" s="10"/>
      <c r="D83" s="10"/>
      <c r="E83" s="23"/>
      <c r="F83" s="23"/>
      <c r="G83" s="10"/>
      <c r="H83" s="10"/>
      <c r="I83" s="28"/>
      <c r="J83" s="29" t="str">
        <f aca="false">IF(OR($A83="",$B83=""),"",IF(YEAR($A83)=Settings!$C$4,MONTH($A83),""))</f>
        <v/>
      </c>
      <c r="K83" s="29" t="str">
        <f aca="false">IF($A83="","",IF(OR($J83="",$B83=""),0,IF(OR($G83="Won",$H83="Yes"),1,0)))</f>
        <v/>
      </c>
      <c r="L83" s="30" t="str">
        <f aca="false">IF($B83="","",IFERROR(IF(INDEX(Settings!$E$12:$E$21,MATCH($B83,Settings!$B$12:$B$21,0))="Gross margin",N($F83),N($E83)),""))</f>
        <v/>
      </c>
      <c r="M83" s="29" t="str">
        <f aca="false">IF(AND($G83="Cancelled",$H83="Yes",$I83&lt;&gt;""),IF(YEAR($I83)=Settings!$C$4,MONTH($I83),""),"")</f>
        <v/>
      </c>
      <c r="N83" s="31" t="str">
        <f aca="false">IF($M83="","",IFERROR(IF($J83="",IF(INDEX(Settings!$D$12:$D$21,MATCH($B83,Settings!$B$12:$B$21,0))="Tiered",INDEX(Settings!$I$12:$I$21,MATCH($B83,Settings!$B$12:$B$21,0)),INDEX(Settings!$G$12:$G$21,MATCH($B83,Settings!$B$12:$B$21,0))),INDEX(Calculation!$U$6:$U$125,(MATCH($B83,Settings!$B$12:$B$21,0)-1)*12+$J83)),0))</f>
        <v/>
      </c>
      <c r="O83" s="30" t="n">
        <f aca="false">IF($M83="",0,N($L83)*N($N83))</f>
        <v>0</v>
      </c>
      <c r="P83" s="29" t="n">
        <f aca="false">IF(AND($B83&lt;&gt;"",$B83=Statement!$C$6,$J83=Statement!$C$8,$K83=1),1,0)</f>
        <v>0</v>
      </c>
      <c r="Q83" s="29" t="str">
        <f aca="false">IF($P83=1,SUM($P$5:$P83),"")</f>
        <v/>
      </c>
      <c r="R83" s="29" t="n">
        <f aca="false">IF(AND($B83&lt;&gt;"",$B83=Statement!$C$6,$M83=Statement!$C$8),1,0)</f>
        <v>0</v>
      </c>
      <c r="S83" s="29" t="str">
        <f aca="false">IF($R83=1,SUM($R$5:$R83),"")</f>
        <v/>
      </c>
    </row>
    <row r="84" customFormat="false" ht="15" hidden="false" customHeight="false" outlineLevel="0" collapsed="false">
      <c r="A84" s="28"/>
      <c r="B84" s="10"/>
      <c r="C84" s="10"/>
      <c r="D84" s="10"/>
      <c r="E84" s="23"/>
      <c r="F84" s="23"/>
      <c r="G84" s="10"/>
      <c r="H84" s="10"/>
      <c r="I84" s="28"/>
      <c r="J84" s="29" t="str">
        <f aca="false">IF(OR($A84="",$B84=""),"",IF(YEAR($A84)=Settings!$C$4,MONTH($A84),""))</f>
        <v/>
      </c>
      <c r="K84" s="29" t="str">
        <f aca="false">IF($A84="","",IF(OR($J84="",$B84=""),0,IF(OR($G84="Won",$H84="Yes"),1,0)))</f>
        <v/>
      </c>
      <c r="L84" s="30" t="str">
        <f aca="false">IF($B84="","",IFERROR(IF(INDEX(Settings!$E$12:$E$21,MATCH($B84,Settings!$B$12:$B$21,0))="Gross margin",N($F84),N($E84)),""))</f>
        <v/>
      </c>
      <c r="M84" s="29" t="str">
        <f aca="false">IF(AND($G84="Cancelled",$H84="Yes",$I84&lt;&gt;""),IF(YEAR($I84)=Settings!$C$4,MONTH($I84),""),"")</f>
        <v/>
      </c>
      <c r="N84" s="31" t="str">
        <f aca="false">IF($M84="","",IFERROR(IF($J84="",IF(INDEX(Settings!$D$12:$D$21,MATCH($B84,Settings!$B$12:$B$21,0))="Tiered",INDEX(Settings!$I$12:$I$21,MATCH($B84,Settings!$B$12:$B$21,0)),INDEX(Settings!$G$12:$G$21,MATCH($B84,Settings!$B$12:$B$21,0))),INDEX(Calculation!$U$6:$U$125,(MATCH($B84,Settings!$B$12:$B$21,0)-1)*12+$J84)),0))</f>
        <v/>
      </c>
      <c r="O84" s="30" t="n">
        <f aca="false">IF($M84="",0,N($L84)*N($N84))</f>
        <v>0</v>
      </c>
      <c r="P84" s="29" t="n">
        <f aca="false">IF(AND($B84&lt;&gt;"",$B84=Statement!$C$6,$J84=Statement!$C$8,$K84=1),1,0)</f>
        <v>0</v>
      </c>
      <c r="Q84" s="29" t="str">
        <f aca="false">IF($P84=1,SUM($P$5:$P84),"")</f>
        <v/>
      </c>
      <c r="R84" s="29" t="n">
        <f aca="false">IF(AND($B84&lt;&gt;"",$B84=Statement!$C$6,$M84=Statement!$C$8),1,0)</f>
        <v>0</v>
      </c>
      <c r="S84" s="29" t="str">
        <f aca="false">IF($R84=1,SUM($R$5:$R84),"")</f>
        <v/>
      </c>
    </row>
    <row r="85" customFormat="false" ht="15" hidden="false" customHeight="false" outlineLevel="0" collapsed="false">
      <c r="A85" s="28"/>
      <c r="B85" s="10"/>
      <c r="C85" s="10"/>
      <c r="D85" s="10"/>
      <c r="E85" s="23"/>
      <c r="F85" s="23"/>
      <c r="G85" s="10"/>
      <c r="H85" s="10"/>
      <c r="I85" s="28"/>
      <c r="J85" s="29" t="str">
        <f aca="false">IF(OR($A85="",$B85=""),"",IF(YEAR($A85)=Settings!$C$4,MONTH($A85),""))</f>
        <v/>
      </c>
      <c r="K85" s="29" t="str">
        <f aca="false">IF($A85="","",IF(OR($J85="",$B85=""),0,IF(OR($G85="Won",$H85="Yes"),1,0)))</f>
        <v/>
      </c>
      <c r="L85" s="30" t="str">
        <f aca="false">IF($B85="","",IFERROR(IF(INDEX(Settings!$E$12:$E$21,MATCH($B85,Settings!$B$12:$B$21,0))="Gross margin",N($F85),N($E85)),""))</f>
        <v/>
      </c>
      <c r="M85" s="29" t="str">
        <f aca="false">IF(AND($G85="Cancelled",$H85="Yes",$I85&lt;&gt;""),IF(YEAR($I85)=Settings!$C$4,MONTH($I85),""),"")</f>
        <v/>
      </c>
      <c r="N85" s="31" t="str">
        <f aca="false">IF($M85="","",IFERROR(IF($J85="",IF(INDEX(Settings!$D$12:$D$21,MATCH($B85,Settings!$B$12:$B$21,0))="Tiered",INDEX(Settings!$I$12:$I$21,MATCH($B85,Settings!$B$12:$B$21,0)),INDEX(Settings!$G$12:$G$21,MATCH($B85,Settings!$B$12:$B$21,0))),INDEX(Calculation!$U$6:$U$125,(MATCH($B85,Settings!$B$12:$B$21,0)-1)*12+$J85)),0))</f>
        <v/>
      </c>
      <c r="O85" s="30" t="n">
        <f aca="false">IF($M85="",0,N($L85)*N($N85))</f>
        <v>0</v>
      </c>
      <c r="P85" s="29" t="n">
        <f aca="false">IF(AND($B85&lt;&gt;"",$B85=Statement!$C$6,$J85=Statement!$C$8,$K85=1),1,0)</f>
        <v>0</v>
      </c>
      <c r="Q85" s="29" t="str">
        <f aca="false">IF($P85=1,SUM($P$5:$P85),"")</f>
        <v/>
      </c>
      <c r="R85" s="29" t="n">
        <f aca="false">IF(AND($B85&lt;&gt;"",$B85=Statement!$C$6,$M85=Statement!$C$8),1,0)</f>
        <v>0</v>
      </c>
      <c r="S85" s="29" t="str">
        <f aca="false">IF($R85=1,SUM($R$5:$R85),"")</f>
        <v/>
      </c>
    </row>
    <row r="86" customFormat="false" ht="15" hidden="false" customHeight="false" outlineLevel="0" collapsed="false">
      <c r="A86" s="28"/>
      <c r="B86" s="10"/>
      <c r="C86" s="10"/>
      <c r="D86" s="10"/>
      <c r="E86" s="23"/>
      <c r="F86" s="23"/>
      <c r="G86" s="10"/>
      <c r="H86" s="10"/>
      <c r="I86" s="28"/>
      <c r="J86" s="29" t="str">
        <f aca="false">IF(OR($A86="",$B86=""),"",IF(YEAR($A86)=Settings!$C$4,MONTH($A86),""))</f>
        <v/>
      </c>
      <c r="K86" s="29" t="str">
        <f aca="false">IF($A86="","",IF(OR($J86="",$B86=""),0,IF(OR($G86="Won",$H86="Yes"),1,0)))</f>
        <v/>
      </c>
      <c r="L86" s="30" t="str">
        <f aca="false">IF($B86="","",IFERROR(IF(INDEX(Settings!$E$12:$E$21,MATCH($B86,Settings!$B$12:$B$21,0))="Gross margin",N($F86),N($E86)),""))</f>
        <v/>
      </c>
      <c r="M86" s="29" t="str">
        <f aca="false">IF(AND($G86="Cancelled",$H86="Yes",$I86&lt;&gt;""),IF(YEAR($I86)=Settings!$C$4,MONTH($I86),""),"")</f>
        <v/>
      </c>
      <c r="N86" s="31" t="str">
        <f aca="false">IF($M86="","",IFERROR(IF($J86="",IF(INDEX(Settings!$D$12:$D$21,MATCH($B86,Settings!$B$12:$B$21,0))="Tiered",INDEX(Settings!$I$12:$I$21,MATCH($B86,Settings!$B$12:$B$21,0)),INDEX(Settings!$G$12:$G$21,MATCH($B86,Settings!$B$12:$B$21,0))),INDEX(Calculation!$U$6:$U$125,(MATCH($B86,Settings!$B$12:$B$21,0)-1)*12+$J86)),0))</f>
        <v/>
      </c>
      <c r="O86" s="30" t="n">
        <f aca="false">IF($M86="",0,N($L86)*N($N86))</f>
        <v>0</v>
      </c>
      <c r="P86" s="29" t="n">
        <f aca="false">IF(AND($B86&lt;&gt;"",$B86=Statement!$C$6,$J86=Statement!$C$8,$K86=1),1,0)</f>
        <v>0</v>
      </c>
      <c r="Q86" s="29" t="str">
        <f aca="false">IF($P86=1,SUM($P$5:$P86),"")</f>
        <v/>
      </c>
      <c r="R86" s="29" t="n">
        <f aca="false">IF(AND($B86&lt;&gt;"",$B86=Statement!$C$6,$M86=Statement!$C$8),1,0)</f>
        <v>0</v>
      </c>
      <c r="S86" s="29" t="str">
        <f aca="false">IF($R86=1,SUM($R$5:$R86),"")</f>
        <v/>
      </c>
    </row>
    <row r="87" customFormat="false" ht="15" hidden="false" customHeight="false" outlineLevel="0" collapsed="false">
      <c r="A87" s="28"/>
      <c r="B87" s="10"/>
      <c r="C87" s="10"/>
      <c r="D87" s="10"/>
      <c r="E87" s="23"/>
      <c r="F87" s="23"/>
      <c r="G87" s="10"/>
      <c r="H87" s="10"/>
      <c r="I87" s="28"/>
      <c r="J87" s="29" t="str">
        <f aca="false">IF(OR($A87="",$B87=""),"",IF(YEAR($A87)=Settings!$C$4,MONTH($A87),""))</f>
        <v/>
      </c>
      <c r="K87" s="29" t="str">
        <f aca="false">IF($A87="","",IF(OR($J87="",$B87=""),0,IF(OR($G87="Won",$H87="Yes"),1,0)))</f>
        <v/>
      </c>
      <c r="L87" s="30" t="str">
        <f aca="false">IF($B87="","",IFERROR(IF(INDEX(Settings!$E$12:$E$21,MATCH($B87,Settings!$B$12:$B$21,0))="Gross margin",N($F87),N($E87)),""))</f>
        <v/>
      </c>
      <c r="M87" s="29" t="str">
        <f aca="false">IF(AND($G87="Cancelled",$H87="Yes",$I87&lt;&gt;""),IF(YEAR($I87)=Settings!$C$4,MONTH($I87),""),"")</f>
        <v/>
      </c>
      <c r="N87" s="31" t="str">
        <f aca="false">IF($M87="","",IFERROR(IF($J87="",IF(INDEX(Settings!$D$12:$D$21,MATCH($B87,Settings!$B$12:$B$21,0))="Tiered",INDEX(Settings!$I$12:$I$21,MATCH($B87,Settings!$B$12:$B$21,0)),INDEX(Settings!$G$12:$G$21,MATCH($B87,Settings!$B$12:$B$21,0))),INDEX(Calculation!$U$6:$U$125,(MATCH($B87,Settings!$B$12:$B$21,0)-1)*12+$J87)),0))</f>
        <v/>
      </c>
      <c r="O87" s="30" t="n">
        <f aca="false">IF($M87="",0,N($L87)*N($N87))</f>
        <v>0</v>
      </c>
      <c r="P87" s="29" t="n">
        <f aca="false">IF(AND($B87&lt;&gt;"",$B87=Statement!$C$6,$J87=Statement!$C$8,$K87=1),1,0)</f>
        <v>0</v>
      </c>
      <c r="Q87" s="29" t="str">
        <f aca="false">IF($P87=1,SUM($P$5:$P87),"")</f>
        <v/>
      </c>
      <c r="R87" s="29" t="n">
        <f aca="false">IF(AND($B87&lt;&gt;"",$B87=Statement!$C$6,$M87=Statement!$C$8),1,0)</f>
        <v>0</v>
      </c>
      <c r="S87" s="29" t="str">
        <f aca="false">IF($R87=1,SUM($R$5:$R87),"")</f>
        <v/>
      </c>
    </row>
    <row r="88" customFormat="false" ht="15" hidden="false" customHeight="false" outlineLevel="0" collapsed="false">
      <c r="A88" s="28"/>
      <c r="B88" s="10"/>
      <c r="C88" s="10"/>
      <c r="D88" s="10"/>
      <c r="E88" s="23"/>
      <c r="F88" s="23"/>
      <c r="G88" s="10"/>
      <c r="H88" s="10"/>
      <c r="I88" s="28"/>
      <c r="J88" s="29" t="str">
        <f aca="false">IF(OR($A88="",$B88=""),"",IF(YEAR($A88)=Settings!$C$4,MONTH($A88),""))</f>
        <v/>
      </c>
      <c r="K88" s="29" t="str">
        <f aca="false">IF($A88="","",IF(OR($J88="",$B88=""),0,IF(OR($G88="Won",$H88="Yes"),1,0)))</f>
        <v/>
      </c>
      <c r="L88" s="30" t="str">
        <f aca="false">IF($B88="","",IFERROR(IF(INDEX(Settings!$E$12:$E$21,MATCH($B88,Settings!$B$12:$B$21,0))="Gross margin",N($F88),N($E88)),""))</f>
        <v/>
      </c>
      <c r="M88" s="29" t="str">
        <f aca="false">IF(AND($G88="Cancelled",$H88="Yes",$I88&lt;&gt;""),IF(YEAR($I88)=Settings!$C$4,MONTH($I88),""),"")</f>
        <v/>
      </c>
      <c r="N88" s="31" t="str">
        <f aca="false">IF($M88="","",IFERROR(IF($J88="",IF(INDEX(Settings!$D$12:$D$21,MATCH($B88,Settings!$B$12:$B$21,0))="Tiered",INDEX(Settings!$I$12:$I$21,MATCH($B88,Settings!$B$12:$B$21,0)),INDEX(Settings!$G$12:$G$21,MATCH($B88,Settings!$B$12:$B$21,0))),INDEX(Calculation!$U$6:$U$125,(MATCH($B88,Settings!$B$12:$B$21,0)-1)*12+$J88)),0))</f>
        <v/>
      </c>
      <c r="O88" s="30" t="n">
        <f aca="false">IF($M88="",0,N($L88)*N($N88))</f>
        <v>0</v>
      </c>
      <c r="P88" s="29" t="n">
        <f aca="false">IF(AND($B88&lt;&gt;"",$B88=Statement!$C$6,$J88=Statement!$C$8,$K88=1),1,0)</f>
        <v>0</v>
      </c>
      <c r="Q88" s="29" t="str">
        <f aca="false">IF($P88=1,SUM($P$5:$P88),"")</f>
        <v/>
      </c>
      <c r="R88" s="29" t="n">
        <f aca="false">IF(AND($B88&lt;&gt;"",$B88=Statement!$C$6,$M88=Statement!$C$8),1,0)</f>
        <v>0</v>
      </c>
      <c r="S88" s="29" t="str">
        <f aca="false">IF($R88=1,SUM($R$5:$R88),"")</f>
        <v/>
      </c>
    </row>
    <row r="89" customFormat="false" ht="15" hidden="false" customHeight="false" outlineLevel="0" collapsed="false">
      <c r="A89" s="28"/>
      <c r="B89" s="10"/>
      <c r="C89" s="10"/>
      <c r="D89" s="10"/>
      <c r="E89" s="23"/>
      <c r="F89" s="23"/>
      <c r="G89" s="10"/>
      <c r="H89" s="10"/>
      <c r="I89" s="28"/>
      <c r="J89" s="29" t="str">
        <f aca="false">IF(OR($A89="",$B89=""),"",IF(YEAR($A89)=Settings!$C$4,MONTH($A89),""))</f>
        <v/>
      </c>
      <c r="K89" s="29" t="str">
        <f aca="false">IF($A89="","",IF(OR($J89="",$B89=""),0,IF(OR($G89="Won",$H89="Yes"),1,0)))</f>
        <v/>
      </c>
      <c r="L89" s="30" t="str">
        <f aca="false">IF($B89="","",IFERROR(IF(INDEX(Settings!$E$12:$E$21,MATCH($B89,Settings!$B$12:$B$21,0))="Gross margin",N($F89),N($E89)),""))</f>
        <v/>
      </c>
      <c r="M89" s="29" t="str">
        <f aca="false">IF(AND($G89="Cancelled",$H89="Yes",$I89&lt;&gt;""),IF(YEAR($I89)=Settings!$C$4,MONTH($I89),""),"")</f>
        <v/>
      </c>
      <c r="N89" s="31" t="str">
        <f aca="false">IF($M89="","",IFERROR(IF($J89="",IF(INDEX(Settings!$D$12:$D$21,MATCH($B89,Settings!$B$12:$B$21,0))="Tiered",INDEX(Settings!$I$12:$I$21,MATCH($B89,Settings!$B$12:$B$21,0)),INDEX(Settings!$G$12:$G$21,MATCH($B89,Settings!$B$12:$B$21,0))),INDEX(Calculation!$U$6:$U$125,(MATCH($B89,Settings!$B$12:$B$21,0)-1)*12+$J89)),0))</f>
        <v/>
      </c>
      <c r="O89" s="30" t="n">
        <f aca="false">IF($M89="",0,N($L89)*N($N89))</f>
        <v>0</v>
      </c>
      <c r="P89" s="29" t="n">
        <f aca="false">IF(AND($B89&lt;&gt;"",$B89=Statement!$C$6,$J89=Statement!$C$8,$K89=1),1,0)</f>
        <v>0</v>
      </c>
      <c r="Q89" s="29" t="str">
        <f aca="false">IF($P89=1,SUM($P$5:$P89),"")</f>
        <v/>
      </c>
      <c r="R89" s="29" t="n">
        <f aca="false">IF(AND($B89&lt;&gt;"",$B89=Statement!$C$6,$M89=Statement!$C$8),1,0)</f>
        <v>0</v>
      </c>
      <c r="S89" s="29" t="str">
        <f aca="false">IF($R89=1,SUM($R$5:$R89),"")</f>
        <v/>
      </c>
    </row>
    <row r="90" customFormat="false" ht="15" hidden="false" customHeight="false" outlineLevel="0" collapsed="false">
      <c r="A90" s="28"/>
      <c r="B90" s="10"/>
      <c r="C90" s="10"/>
      <c r="D90" s="10"/>
      <c r="E90" s="23"/>
      <c r="F90" s="23"/>
      <c r="G90" s="10"/>
      <c r="H90" s="10"/>
      <c r="I90" s="28"/>
      <c r="J90" s="29" t="str">
        <f aca="false">IF(OR($A90="",$B90=""),"",IF(YEAR($A90)=Settings!$C$4,MONTH($A90),""))</f>
        <v/>
      </c>
      <c r="K90" s="29" t="str">
        <f aca="false">IF($A90="","",IF(OR($J90="",$B90=""),0,IF(OR($G90="Won",$H90="Yes"),1,0)))</f>
        <v/>
      </c>
      <c r="L90" s="30" t="str">
        <f aca="false">IF($B90="","",IFERROR(IF(INDEX(Settings!$E$12:$E$21,MATCH($B90,Settings!$B$12:$B$21,0))="Gross margin",N($F90),N($E90)),""))</f>
        <v/>
      </c>
      <c r="M90" s="29" t="str">
        <f aca="false">IF(AND($G90="Cancelled",$H90="Yes",$I90&lt;&gt;""),IF(YEAR($I90)=Settings!$C$4,MONTH($I90),""),"")</f>
        <v/>
      </c>
      <c r="N90" s="31" t="str">
        <f aca="false">IF($M90="","",IFERROR(IF($J90="",IF(INDEX(Settings!$D$12:$D$21,MATCH($B90,Settings!$B$12:$B$21,0))="Tiered",INDEX(Settings!$I$12:$I$21,MATCH($B90,Settings!$B$12:$B$21,0)),INDEX(Settings!$G$12:$G$21,MATCH($B90,Settings!$B$12:$B$21,0))),INDEX(Calculation!$U$6:$U$125,(MATCH($B90,Settings!$B$12:$B$21,0)-1)*12+$J90)),0))</f>
        <v/>
      </c>
      <c r="O90" s="30" t="n">
        <f aca="false">IF($M90="",0,N($L90)*N($N90))</f>
        <v>0</v>
      </c>
      <c r="P90" s="29" t="n">
        <f aca="false">IF(AND($B90&lt;&gt;"",$B90=Statement!$C$6,$J90=Statement!$C$8,$K90=1),1,0)</f>
        <v>0</v>
      </c>
      <c r="Q90" s="29" t="str">
        <f aca="false">IF($P90=1,SUM($P$5:$P90),"")</f>
        <v/>
      </c>
      <c r="R90" s="29" t="n">
        <f aca="false">IF(AND($B90&lt;&gt;"",$B90=Statement!$C$6,$M90=Statement!$C$8),1,0)</f>
        <v>0</v>
      </c>
      <c r="S90" s="29" t="str">
        <f aca="false">IF($R90=1,SUM($R$5:$R90),"")</f>
        <v/>
      </c>
    </row>
    <row r="91" customFormat="false" ht="15" hidden="false" customHeight="false" outlineLevel="0" collapsed="false">
      <c r="A91" s="28"/>
      <c r="B91" s="10"/>
      <c r="C91" s="10"/>
      <c r="D91" s="10"/>
      <c r="E91" s="23"/>
      <c r="F91" s="23"/>
      <c r="G91" s="10"/>
      <c r="H91" s="10"/>
      <c r="I91" s="28"/>
      <c r="J91" s="29" t="str">
        <f aca="false">IF(OR($A91="",$B91=""),"",IF(YEAR($A91)=Settings!$C$4,MONTH($A91),""))</f>
        <v/>
      </c>
      <c r="K91" s="29" t="str">
        <f aca="false">IF($A91="","",IF(OR($J91="",$B91=""),0,IF(OR($G91="Won",$H91="Yes"),1,0)))</f>
        <v/>
      </c>
      <c r="L91" s="30" t="str">
        <f aca="false">IF($B91="","",IFERROR(IF(INDEX(Settings!$E$12:$E$21,MATCH($B91,Settings!$B$12:$B$21,0))="Gross margin",N($F91),N($E91)),""))</f>
        <v/>
      </c>
      <c r="M91" s="29" t="str">
        <f aca="false">IF(AND($G91="Cancelled",$H91="Yes",$I91&lt;&gt;""),IF(YEAR($I91)=Settings!$C$4,MONTH($I91),""),"")</f>
        <v/>
      </c>
      <c r="N91" s="31" t="str">
        <f aca="false">IF($M91="","",IFERROR(IF($J91="",IF(INDEX(Settings!$D$12:$D$21,MATCH($B91,Settings!$B$12:$B$21,0))="Tiered",INDEX(Settings!$I$12:$I$21,MATCH($B91,Settings!$B$12:$B$21,0)),INDEX(Settings!$G$12:$G$21,MATCH($B91,Settings!$B$12:$B$21,0))),INDEX(Calculation!$U$6:$U$125,(MATCH($B91,Settings!$B$12:$B$21,0)-1)*12+$J91)),0))</f>
        <v/>
      </c>
      <c r="O91" s="30" t="n">
        <f aca="false">IF($M91="",0,N($L91)*N($N91))</f>
        <v>0</v>
      </c>
      <c r="P91" s="29" t="n">
        <f aca="false">IF(AND($B91&lt;&gt;"",$B91=Statement!$C$6,$J91=Statement!$C$8,$K91=1),1,0)</f>
        <v>0</v>
      </c>
      <c r="Q91" s="29" t="str">
        <f aca="false">IF($P91=1,SUM($P$5:$P91),"")</f>
        <v/>
      </c>
      <c r="R91" s="29" t="n">
        <f aca="false">IF(AND($B91&lt;&gt;"",$B91=Statement!$C$6,$M91=Statement!$C$8),1,0)</f>
        <v>0</v>
      </c>
      <c r="S91" s="29" t="str">
        <f aca="false">IF($R91=1,SUM($R$5:$R91),"")</f>
        <v/>
      </c>
    </row>
    <row r="92" customFormat="false" ht="15" hidden="false" customHeight="false" outlineLevel="0" collapsed="false">
      <c r="A92" s="28"/>
      <c r="B92" s="10"/>
      <c r="C92" s="10"/>
      <c r="D92" s="10"/>
      <c r="E92" s="23"/>
      <c r="F92" s="23"/>
      <c r="G92" s="10"/>
      <c r="H92" s="10"/>
      <c r="I92" s="28"/>
      <c r="J92" s="29" t="str">
        <f aca="false">IF(OR($A92="",$B92=""),"",IF(YEAR($A92)=Settings!$C$4,MONTH($A92),""))</f>
        <v/>
      </c>
      <c r="K92" s="29" t="str">
        <f aca="false">IF($A92="","",IF(OR($J92="",$B92=""),0,IF(OR($G92="Won",$H92="Yes"),1,0)))</f>
        <v/>
      </c>
      <c r="L92" s="30" t="str">
        <f aca="false">IF($B92="","",IFERROR(IF(INDEX(Settings!$E$12:$E$21,MATCH($B92,Settings!$B$12:$B$21,0))="Gross margin",N($F92),N($E92)),""))</f>
        <v/>
      </c>
      <c r="M92" s="29" t="str">
        <f aca="false">IF(AND($G92="Cancelled",$H92="Yes",$I92&lt;&gt;""),IF(YEAR($I92)=Settings!$C$4,MONTH($I92),""),"")</f>
        <v/>
      </c>
      <c r="N92" s="31" t="str">
        <f aca="false">IF($M92="","",IFERROR(IF($J92="",IF(INDEX(Settings!$D$12:$D$21,MATCH($B92,Settings!$B$12:$B$21,0))="Tiered",INDEX(Settings!$I$12:$I$21,MATCH($B92,Settings!$B$12:$B$21,0)),INDEX(Settings!$G$12:$G$21,MATCH($B92,Settings!$B$12:$B$21,0))),INDEX(Calculation!$U$6:$U$125,(MATCH($B92,Settings!$B$12:$B$21,0)-1)*12+$J92)),0))</f>
        <v/>
      </c>
      <c r="O92" s="30" t="n">
        <f aca="false">IF($M92="",0,N($L92)*N($N92))</f>
        <v>0</v>
      </c>
      <c r="P92" s="29" t="n">
        <f aca="false">IF(AND($B92&lt;&gt;"",$B92=Statement!$C$6,$J92=Statement!$C$8,$K92=1),1,0)</f>
        <v>0</v>
      </c>
      <c r="Q92" s="29" t="str">
        <f aca="false">IF($P92=1,SUM($P$5:$P92),"")</f>
        <v/>
      </c>
      <c r="R92" s="29" t="n">
        <f aca="false">IF(AND($B92&lt;&gt;"",$B92=Statement!$C$6,$M92=Statement!$C$8),1,0)</f>
        <v>0</v>
      </c>
      <c r="S92" s="29" t="str">
        <f aca="false">IF($R92=1,SUM($R$5:$R92),"")</f>
        <v/>
      </c>
    </row>
    <row r="93" customFormat="false" ht="15" hidden="false" customHeight="false" outlineLevel="0" collapsed="false">
      <c r="A93" s="28"/>
      <c r="B93" s="10"/>
      <c r="C93" s="10"/>
      <c r="D93" s="10"/>
      <c r="E93" s="23"/>
      <c r="F93" s="23"/>
      <c r="G93" s="10"/>
      <c r="H93" s="10"/>
      <c r="I93" s="28"/>
      <c r="J93" s="29" t="str">
        <f aca="false">IF(OR($A93="",$B93=""),"",IF(YEAR($A93)=Settings!$C$4,MONTH($A93),""))</f>
        <v/>
      </c>
      <c r="K93" s="29" t="str">
        <f aca="false">IF($A93="","",IF(OR($J93="",$B93=""),0,IF(OR($G93="Won",$H93="Yes"),1,0)))</f>
        <v/>
      </c>
      <c r="L93" s="30" t="str">
        <f aca="false">IF($B93="","",IFERROR(IF(INDEX(Settings!$E$12:$E$21,MATCH($B93,Settings!$B$12:$B$21,0))="Gross margin",N($F93),N($E93)),""))</f>
        <v/>
      </c>
      <c r="M93" s="29" t="str">
        <f aca="false">IF(AND($G93="Cancelled",$H93="Yes",$I93&lt;&gt;""),IF(YEAR($I93)=Settings!$C$4,MONTH($I93),""),"")</f>
        <v/>
      </c>
      <c r="N93" s="31" t="str">
        <f aca="false">IF($M93="","",IFERROR(IF($J93="",IF(INDEX(Settings!$D$12:$D$21,MATCH($B93,Settings!$B$12:$B$21,0))="Tiered",INDEX(Settings!$I$12:$I$21,MATCH($B93,Settings!$B$12:$B$21,0)),INDEX(Settings!$G$12:$G$21,MATCH($B93,Settings!$B$12:$B$21,0))),INDEX(Calculation!$U$6:$U$125,(MATCH($B93,Settings!$B$12:$B$21,0)-1)*12+$J93)),0))</f>
        <v/>
      </c>
      <c r="O93" s="30" t="n">
        <f aca="false">IF($M93="",0,N($L93)*N($N93))</f>
        <v>0</v>
      </c>
      <c r="P93" s="29" t="n">
        <f aca="false">IF(AND($B93&lt;&gt;"",$B93=Statement!$C$6,$J93=Statement!$C$8,$K93=1),1,0)</f>
        <v>0</v>
      </c>
      <c r="Q93" s="29" t="str">
        <f aca="false">IF($P93=1,SUM($P$5:$P93),"")</f>
        <v/>
      </c>
      <c r="R93" s="29" t="n">
        <f aca="false">IF(AND($B93&lt;&gt;"",$B93=Statement!$C$6,$M93=Statement!$C$8),1,0)</f>
        <v>0</v>
      </c>
      <c r="S93" s="29" t="str">
        <f aca="false">IF($R93=1,SUM($R$5:$R93),"")</f>
        <v/>
      </c>
    </row>
    <row r="94" customFormat="false" ht="15" hidden="false" customHeight="false" outlineLevel="0" collapsed="false">
      <c r="A94" s="28"/>
      <c r="B94" s="10"/>
      <c r="C94" s="10"/>
      <c r="D94" s="10"/>
      <c r="E94" s="23"/>
      <c r="F94" s="23"/>
      <c r="G94" s="10"/>
      <c r="H94" s="10"/>
      <c r="I94" s="28"/>
      <c r="J94" s="29" t="str">
        <f aca="false">IF(OR($A94="",$B94=""),"",IF(YEAR($A94)=Settings!$C$4,MONTH($A94),""))</f>
        <v/>
      </c>
      <c r="K94" s="29" t="str">
        <f aca="false">IF($A94="","",IF(OR($J94="",$B94=""),0,IF(OR($G94="Won",$H94="Yes"),1,0)))</f>
        <v/>
      </c>
      <c r="L94" s="30" t="str">
        <f aca="false">IF($B94="","",IFERROR(IF(INDEX(Settings!$E$12:$E$21,MATCH($B94,Settings!$B$12:$B$21,0))="Gross margin",N($F94),N($E94)),""))</f>
        <v/>
      </c>
      <c r="M94" s="29" t="str">
        <f aca="false">IF(AND($G94="Cancelled",$H94="Yes",$I94&lt;&gt;""),IF(YEAR($I94)=Settings!$C$4,MONTH($I94),""),"")</f>
        <v/>
      </c>
      <c r="N94" s="31" t="str">
        <f aca="false">IF($M94="","",IFERROR(IF($J94="",IF(INDEX(Settings!$D$12:$D$21,MATCH($B94,Settings!$B$12:$B$21,0))="Tiered",INDEX(Settings!$I$12:$I$21,MATCH($B94,Settings!$B$12:$B$21,0)),INDEX(Settings!$G$12:$G$21,MATCH($B94,Settings!$B$12:$B$21,0))),INDEX(Calculation!$U$6:$U$125,(MATCH($B94,Settings!$B$12:$B$21,0)-1)*12+$J94)),0))</f>
        <v/>
      </c>
      <c r="O94" s="30" t="n">
        <f aca="false">IF($M94="",0,N($L94)*N($N94))</f>
        <v>0</v>
      </c>
      <c r="P94" s="29" t="n">
        <f aca="false">IF(AND($B94&lt;&gt;"",$B94=Statement!$C$6,$J94=Statement!$C$8,$K94=1),1,0)</f>
        <v>0</v>
      </c>
      <c r="Q94" s="29" t="str">
        <f aca="false">IF($P94=1,SUM($P$5:$P94),"")</f>
        <v/>
      </c>
      <c r="R94" s="29" t="n">
        <f aca="false">IF(AND($B94&lt;&gt;"",$B94=Statement!$C$6,$M94=Statement!$C$8),1,0)</f>
        <v>0</v>
      </c>
      <c r="S94" s="29" t="str">
        <f aca="false">IF($R94=1,SUM($R$5:$R94),"")</f>
        <v/>
      </c>
    </row>
    <row r="95" customFormat="false" ht="15" hidden="false" customHeight="false" outlineLevel="0" collapsed="false">
      <c r="A95" s="28"/>
      <c r="B95" s="10"/>
      <c r="C95" s="10"/>
      <c r="D95" s="10"/>
      <c r="E95" s="23"/>
      <c r="F95" s="23"/>
      <c r="G95" s="10"/>
      <c r="H95" s="10"/>
      <c r="I95" s="28"/>
      <c r="J95" s="29" t="str">
        <f aca="false">IF(OR($A95="",$B95=""),"",IF(YEAR($A95)=Settings!$C$4,MONTH($A95),""))</f>
        <v/>
      </c>
      <c r="K95" s="29" t="str">
        <f aca="false">IF($A95="","",IF(OR($J95="",$B95=""),0,IF(OR($G95="Won",$H95="Yes"),1,0)))</f>
        <v/>
      </c>
      <c r="L95" s="30" t="str">
        <f aca="false">IF($B95="","",IFERROR(IF(INDEX(Settings!$E$12:$E$21,MATCH($B95,Settings!$B$12:$B$21,0))="Gross margin",N($F95),N($E95)),""))</f>
        <v/>
      </c>
      <c r="M95" s="29" t="str">
        <f aca="false">IF(AND($G95="Cancelled",$H95="Yes",$I95&lt;&gt;""),IF(YEAR($I95)=Settings!$C$4,MONTH($I95),""),"")</f>
        <v/>
      </c>
      <c r="N95" s="31" t="str">
        <f aca="false">IF($M95="","",IFERROR(IF($J95="",IF(INDEX(Settings!$D$12:$D$21,MATCH($B95,Settings!$B$12:$B$21,0))="Tiered",INDEX(Settings!$I$12:$I$21,MATCH($B95,Settings!$B$12:$B$21,0)),INDEX(Settings!$G$12:$G$21,MATCH($B95,Settings!$B$12:$B$21,0))),INDEX(Calculation!$U$6:$U$125,(MATCH($B95,Settings!$B$12:$B$21,0)-1)*12+$J95)),0))</f>
        <v/>
      </c>
      <c r="O95" s="30" t="n">
        <f aca="false">IF($M95="",0,N($L95)*N($N95))</f>
        <v>0</v>
      </c>
      <c r="P95" s="29" t="n">
        <f aca="false">IF(AND($B95&lt;&gt;"",$B95=Statement!$C$6,$J95=Statement!$C$8,$K95=1),1,0)</f>
        <v>0</v>
      </c>
      <c r="Q95" s="29" t="str">
        <f aca="false">IF($P95=1,SUM($P$5:$P95),"")</f>
        <v/>
      </c>
      <c r="R95" s="29" t="n">
        <f aca="false">IF(AND($B95&lt;&gt;"",$B95=Statement!$C$6,$M95=Statement!$C$8),1,0)</f>
        <v>0</v>
      </c>
      <c r="S95" s="29" t="str">
        <f aca="false">IF($R95=1,SUM($R$5:$R95),"")</f>
        <v/>
      </c>
    </row>
    <row r="96" customFormat="false" ht="15" hidden="false" customHeight="false" outlineLevel="0" collapsed="false">
      <c r="A96" s="28"/>
      <c r="B96" s="10"/>
      <c r="C96" s="10"/>
      <c r="D96" s="10"/>
      <c r="E96" s="23"/>
      <c r="F96" s="23"/>
      <c r="G96" s="10"/>
      <c r="H96" s="10"/>
      <c r="I96" s="28"/>
      <c r="J96" s="29" t="str">
        <f aca="false">IF(OR($A96="",$B96=""),"",IF(YEAR($A96)=Settings!$C$4,MONTH($A96),""))</f>
        <v/>
      </c>
      <c r="K96" s="29" t="str">
        <f aca="false">IF($A96="","",IF(OR($J96="",$B96=""),0,IF(OR($G96="Won",$H96="Yes"),1,0)))</f>
        <v/>
      </c>
      <c r="L96" s="30" t="str">
        <f aca="false">IF($B96="","",IFERROR(IF(INDEX(Settings!$E$12:$E$21,MATCH($B96,Settings!$B$12:$B$21,0))="Gross margin",N($F96),N($E96)),""))</f>
        <v/>
      </c>
      <c r="M96" s="29" t="str">
        <f aca="false">IF(AND($G96="Cancelled",$H96="Yes",$I96&lt;&gt;""),IF(YEAR($I96)=Settings!$C$4,MONTH($I96),""),"")</f>
        <v/>
      </c>
      <c r="N96" s="31" t="str">
        <f aca="false">IF($M96="","",IFERROR(IF($J96="",IF(INDEX(Settings!$D$12:$D$21,MATCH($B96,Settings!$B$12:$B$21,0))="Tiered",INDEX(Settings!$I$12:$I$21,MATCH($B96,Settings!$B$12:$B$21,0)),INDEX(Settings!$G$12:$G$21,MATCH($B96,Settings!$B$12:$B$21,0))),INDEX(Calculation!$U$6:$U$125,(MATCH($B96,Settings!$B$12:$B$21,0)-1)*12+$J96)),0))</f>
        <v/>
      </c>
      <c r="O96" s="30" t="n">
        <f aca="false">IF($M96="",0,N($L96)*N($N96))</f>
        <v>0</v>
      </c>
      <c r="P96" s="29" t="n">
        <f aca="false">IF(AND($B96&lt;&gt;"",$B96=Statement!$C$6,$J96=Statement!$C$8,$K96=1),1,0)</f>
        <v>0</v>
      </c>
      <c r="Q96" s="29" t="str">
        <f aca="false">IF($P96=1,SUM($P$5:$P96),"")</f>
        <v/>
      </c>
      <c r="R96" s="29" t="n">
        <f aca="false">IF(AND($B96&lt;&gt;"",$B96=Statement!$C$6,$M96=Statement!$C$8),1,0)</f>
        <v>0</v>
      </c>
      <c r="S96" s="29" t="str">
        <f aca="false">IF($R96=1,SUM($R$5:$R96),"")</f>
        <v/>
      </c>
    </row>
    <row r="97" customFormat="false" ht="15" hidden="false" customHeight="false" outlineLevel="0" collapsed="false">
      <c r="A97" s="28"/>
      <c r="B97" s="10"/>
      <c r="C97" s="10"/>
      <c r="D97" s="10"/>
      <c r="E97" s="23"/>
      <c r="F97" s="23"/>
      <c r="G97" s="10"/>
      <c r="H97" s="10"/>
      <c r="I97" s="28"/>
      <c r="J97" s="29" t="str">
        <f aca="false">IF(OR($A97="",$B97=""),"",IF(YEAR($A97)=Settings!$C$4,MONTH($A97),""))</f>
        <v/>
      </c>
      <c r="K97" s="29" t="str">
        <f aca="false">IF($A97="","",IF(OR($J97="",$B97=""),0,IF(OR($G97="Won",$H97="Yes"),1,0)))</f>
        <v/>
      </c>
      <c r="L97" s="30" t="str">
        <f aca="false">IF($B97="","",IFERROR(IF(INDEX(Settings!$E$12:$E$21,MATCH($B97,Settings!$B$12:$B$21,0))="Gross margin",N($F97),N($E97)),""))</f>
        <v/>
      </c>
      <c r="M97" s="29" t="str">
        <f aca="false">IF(AND($G97="Cancelled",$H97="Yes",$I97&lt;&gt;""),IF(YEAR($I97)=Settings!$C$4,MONTH($I97),""),"")</f>
        <v/>
      </c>
      <c r="N97" s="31" t="str">
        <f aca="false">IF($M97="","",IFERROR(IF($J97="",IF(INDEX(Settings!$D$12:$D$21,MATCH($B97,Settings!$B$12:$B$21,0))="Tiered",INDEX(Settings!$I$12:$I$21,MATCH($B97,Settings!$B$12:$B$21,0)),INDEX(Settings!$G$12:$G$21,MATCH($B97,Settings!$B$12:$B$21,0))),INDEX(Calculation!$U$6:$U$125,(MATCH($B97,Settings!$B$12:$B$21,0)-1)*12+$J97)),0))</f>
        <v/>
      </c>
      <c r="O97" s="30" t="n">
        <f aca="false">IF($M97="",0,N($L97)*N($N97))</f>
        <v>0</v>
      </c>
      <c r="P97" s="29" t="n">
        <f aca="false">IF(AND($B97&lt;&gt;"",$B97=Statement!$C$6,$J97=Statement!$C$8,$K97=1),1,0)</f>
        <v>0</v>
      </c>
      <c r="Q97" s="29" t="str">
        <f aca="false">IF($P97=1,SUM($P$5:$P97),"")</f>
        <v/>
      </c>
      <c r="R97" s="29" t="n">
        <f aca="false">IF(AND($B97&lt;&gt;"",$B97=Statement!$C$6,$M97=Statement!$C$8),1,0)</f>
        <v>0</v>
      </c>
      <c r="S97" s="29" t="str">
        <f aca="false">IF($R97=1,SUM($R$5:$R97),"")</f>
        <v/>
      </c>
    </row>
    <row r="98" customFormat="false" ht="15" hidden="false" customHeight="false" outlineLevel="0" collapsed="false">
      <c r="A98" s="28"/>
      <c r="B98" s="10"/>
      <c r="C98" s="10"/>
      <c r="D98" s="10"/>
      <c r="E98" s="23"/>
      <c r="F98" s="23"/>
      <c r="G98" s="10"/>
      <c r="H98" s="10"/>
      <c r="I98" s="28"/>
      <c r="J98" s="29" t="str">
        <f aca="false">IF(OR($A98="",$B98=""),"",IF(YEAR($A98)=Settings!$C$4,MONTH($A98),""))</f>
        <v/>
      </c>
      <c r="K98" s="29" t="str">
        <f aca="false">IF($A98="","",IF(OR($J98="",$B98=""),0,IF(OR($G98="Won",$H98="Yes"),1,0)))</f>
        <v/>
      </c>
      <c r="L98" s="30" t="str">
        <f aca="false">IF($B98="","",IFERROR(IF(INDEX(Settings!$E$12:$E$21,MATCH($B98,Settings!$B$12:$B$21,0))="Gross margin",N($F98),N($E98)),""))</f>
        <v/>
      </c>
      <c r="M98" s="29" t="str">
        <f aca="false">IF(AND($G98="Cancelled",$H98="Yes",$I98&lt;&gt;""),IF(YEAR($I98)=Settings!$C$4,MONTH($I98),""),"")</f>
        <v/>
      </c>
      <c r="N98" s="31" t="str">
        <f aca="false">IF($M98="","",IFERROR(IF($J98="",IF(INDEX(Settings!$D$12:$D$21,MATCH($B98,Settings!$B$12:$B$21,0))="Tiered",INDEX(Settings!$I$12:$I$21,MATCH($B98,Settings!$B$12:$B$21,0)),INDEX(Settings!$G$12:$G$21,MATCH($B98,Settings!$B$12:$B$21,0))),INDEX(Calculation!$U$6:$U$125,(MATCH($B98,Settings!$B$12:$B$21,0)-1)*12+$J98)),0))</f>
        <v/>
      </c>
      <c r="O98" s="30" t="n">
        <f aca="false">IF($M98="",0,N($L98)*N($N98))</f>
        <v>0</v>
      </c>
      <c r="P98" s="29" t="n">
        <f aca="false">IF(AND($B98&lt;&gt;"",$B98=Statement!$C$6,$J98=Statement!$C$8,$K98=1),1,0)</f>
        <v>0</v>
      </c>
      <c r="Q98" s="29" t="str">
        <f aca="false">IF($P98=1,SUM($P$5:$P98),"")</f>
        <v/>
      </c>
      <c r="R98" s="29" t="n">
        <f aca="false">IF(AND($B98&lt;&gt;"",$B98=Statement!$C$6,$M98=Statement!$C$8),1,0)</f>
        <v>0</v>
      </c>
      <c r="S98" s="29" t="str">
        <f aca="false">IF($R98=1,SUM($R$5:$R98),"")</f>
        <v/>
      </c>
    </row>
    <row r="99" customFormat="false" ht="15" hidden="false" customHeight="false" outlineLevel="0" collapsed="false">
      <c r="A99" s="28"/>
      <c r="B99" s="10"/>
      <c r="C99" s="10"/>
      <c r="D99" s="10"/>
      <c r="E99" s="23"/>
      <c r="F99" s="23"/>
      <c r="G99" s="10"/>
      <c r="H99" s="10"/>
      <c r="I99" s="28"/>
      <c r="J99" s="29" t="str">
        <f aca="false">IF(OR($A99="",$B99=""),"",IF(YEAR($A99)=Settings!$C$4,MONTH($A99),""))</f>
        <v/>
      </c>
      <c r="K99" s="29" t="str">
        <f aca="false">IF($A99="","",IF(OR($J99="",$B99=""),0,IF(OR($G99="Won",$H99="Yes"),1,0)))</f>
        <v/>
      </c>
      <c r="L99" s="30" t="str">
        <f aca="false">IF($B99="","",IFERROR(IF(INDEX(Settings!$E$12:$E$21,MATCH($B99,Settings!$B$12:$B$21,0))="Gross margin",N($F99),N($E99)),""))</f>
        <v/>
      </c>
      <c r="M99" s="29" t="str">
        <f aca="false">IF(AND($G99="Cancelled",$H99="Yes",$I99&lt;&gt;""),IF(YEAR($I99)=Settings!$C$4,MONTH($I99),""),"")</f>
        <v/>
      </c>
      <c r="N99" s="31" t="str">
        <f aca="false">IF($M99="","",IFERROR(IF($J99="",IF(INDEX(Settings!$D$12:$D$21,MATCH($B99,Settings!$B$12:$B$21,0))="Tiered",INDEX(Settings!$I$12:$I$21,MATCH($B99,Settings!$B$12:$B$21,0)),INDEX(Settings!$G$12:$G$21,MATCH($B99,Settings!$B$12:$B$21,0))),INDEX(Calculation!$U$6:$U$125,(MATCH($B99,Settings!$B$12:$B$21,0)-1)*12+$J99)),0))</f>
        <v/>
      </c>
      <c r="O99" s="30" t="n">
        <f aca="false">IF($M99="",0,N($L99)*N($N99))</f>
        <v>0</v>
      </c>
      <c r="P99" s="29" t="n">
        <f aca="false">IF(AND($B99&lt;&gt;"",$B99=Statement!$C$6,$J99=Statement!$C$8,$K99=1),1,0)</f>
        <v>0</v>
      </c>
      <c r="Q99" s="29" t="str">
        <f aca="false">IF($P99=1,SUM($P$5:$P99),"")</f>
        <v/>
      </c>
      <c r="R99" s="29" t="n">
        <f aca="false">IF(AND($B99&lt;&gt;"",$B99=Statement!$C$6,$M99=Statement!$C$8),1,0)</f>
        <v>0</v>
      </c>
      <c r="S99" s="29" t="str">
        <f aca="false">IF($R99=1,SUM($R$5:$R99),"")</f>
        <v/>
      </c>
    </row>
    <row r="100" customFormat="false" ht="15" hidden="false" customHeight="false" outlineLevel="0" collapsed="false">
      <c r="A100" s="28"/>
      <c r="B100" s="10"/>
      <c r="C100" s="10"/>
      <c r="D100" s="10"/>
      <c r="E100" s="23"/>
      <c r="F100" s="23"/>
      <c r="G100" s="10"/>
      <c r="H100" s="10"/>
      <c r="I100" s="28"/>
      <c r="J100" s="29" t="str">
        <f aca="false">IF(OR($A100="",$B100=""),"",IF(YEAR($A100)=Settings!$C$4,MONTH($A100),""))</f>
        <v/>
      </c>
      <c r="K100" s="29" t="str">
        <f aca="false">IF($A100="","",IF(OR($J100="",$B100=""),0,IF(OR($G100="Won",$H100="Yes"),1,0)))</f>
        <v/>
      </c>
      <c r="L100" s="30" t="str">
        <f aca="false">IF($B100="","",IFERROR(IF(INDEX(Settings!$E$12:$E$21,MATCH($B100,Settings!$B$12:$B$21,0))="Gross margin",N($F100),N($E100)),""))</f>
        <v/>
      </c>
      <c r="M100" s="29" t="str">
        <f aca="false">IF(AND($G100="Cancelled",$H100="Yes",$I100&lt;&gt;""),IF(YEAR($I100)=Settings!$C$4,MONTH($I100),""),"")</f>
        <v/>
      </c>
      <c r="N100" s="31" t="str">
        <f aca="false">IF($M100="","",IFERROR(IF($J100="",IF(INDEX(Settings!$D$12:$D$21,MATCH($B100,Settings!$B$12:$B$21,0))="Tiered",INDEX(Settings!$I$12:$I$21,MATCH($B100,Settings!$B$12:$B$21,0)),INDEX(Settings!$G$12:$G$21,MATCH($B100,Settings!$B$12:$B$21,0))),INDEX(Calculation!$U$6:$U$125,(MATCH($B100,Settings!$B$12:$B$21,0)-1)*12+$J100)),0))</f>
        <v/>
      </c>
      <c r="O100" s="30" t="n">
        <f aca="false">IF($M100="",0,N($L100)*N($N100))</f>
        <v>0</v>
      </c>
      <c r="P100" s="29" t="n">
        <f aca="false">IF(AND($B100&lt;&gt;"",$B100=Statement!$C$6,$J100=Statement!$C$8,$K100=1),1,0)</f>
        <v>0</v>
      </c>
      <c r="Q100" s="29" t="str">
        <f aca="false">IF($P100=1,SUM($P$5:$P100),"")</f>
        <v/>
      </c>
      <c r="R100" s="29" t="n">
        <f aca="false">IF(AND($B100&lt;&gt;"",$B100=Statement!$C$6,$M100=Statement!$C$8),1,0)</f>
        <v>0</v>
      </c>
      <c r="S100" s="29" t="str">
        <f aca="false">IF($R100=1,SUM($R$5:$R100),"")</f>
        <v/>
      </c>
    </row>
    <row r="101" customFormat="false" ht="15" hidden="false" customHeight="false" outlineLevel="0" collapsed="false">
      <c r="A101" s="28"/>
      <c r="B101" s="10"/>
      <c r="C101" s="10"/>
      <c r="D101" s="10"/>
      <c r="E101" s="23"/>
      <c r="F101" s="23"/>
      <c r="G101" s="10"/>
      <c r="H101" s="10"/>
      <c r="I101" s="28"/>
      <c r="J101" s="29" t="str">
        <f aca="false">IF(OR($A101="",$B101=""),"",IF(YEAR($A101)=Settings!$C$4,MONTH($A101),""))</f>
        <v/>
      </c>
      <c r="K101" s="29" t="str">
        <f aca="false">IF($A101="","",IF(OR($J101="",$B101=""),0,IF(OR($G101="Won",$H101="Yes"),1,0)))</f>
        <v/>
      </c>
      <c r="L101" s="30" t="str">
        <f aca="false">IF($B101="","",IFERROR(IF(INDEX(Settings!$E$12:$E$21,MATCH($B101,Settings!$B$12:$B$21,0))="Gross margin",N($F101),N($E101)),""))</f>
        <v/>
      </c>
      <c r="M101" s="29" t="str">
        <f aca="false">IF(AND($G101="Cancelled",$H101="Yes",$I101&lt;&gt;""),IF(YEAR($I101)=Settings!$C$4,MONTH($I101),""),"")</f>
        <v/>
      </c>
      <c r="N101" s="31" t="str">
        <f aca="false">IF($M101="","",IFERROR(IF($J101="",IF(INDEX(Settings!$D$12:$D$21,MATCH($B101,Settings!$B$12:$B$21,0))="Tiered",INDEX(Settings!$I$12:$I$21,MATCH($B101,Settings!$B$12:$B$21,0)),INDEX(Settings!$G$12:$G$21,MATCH($B101,Settings!$B$12:$B$21,0))),INDEX(Calculation!$U$6:$U$125,(MATCH($B101,Settings!$B$12:$B$21,0)-1)*12+$J101)),0))</f>
        <v/>
      </c>
      <c r="O101" s="30" t="n">
        <f aca="false">IF($M101="",0,N($L101)*N($N101))</f>
        <v>0</v>
      </c>
      <c r="P101" s="29" t="n">
        <f aca="false">IF(AND($B101&lt;&gt;"",$B101=Statement!$C$6,$J101=Statement!$C$8,$K101=1),1,0)</f>
        <v>0</v>
      </c>
      <c r="Q101" s="29" t="str">
        <f aca="false">IF($P101=1,SUM($P$5:$P101),"")</f>
        <v/>
      </c>
      <c r="R101" s="29" t="n">
        <f aca="false">IF(AND($B101&lt;&gt;"",$B101=Statement!$C$6,$M101=Statement!$C$8),1,0)</f>
        <v>0</v>
      </c>
      <c r="S101" s="29" t="str">
        <f aca="false">IF($R101=1,SUM($R$5:$R101),"")</f>
        <v/>
      </c>
    </row>
    <row r="102" customFormat="false" ht="15" hidden="false" customHeight="false" outlineLevel="0" collapsed="false">
      <c r="A102" s="28"/>
      <c r="B102" s="10"/>
      <c r="C102" s="10"/>
      <c r="D102" s="10"/>
      <c r="E102" s="23"/>
      <c r="F102" s="23"/>
      <c r="G102" s="10"/>
      <c r="H102" s="10"/>
      <c r="I102" s="28"/>
      <c r="J102" s="29" t="str">
        <f aca="false">IF(OR($A102="",$B102=""),"",IF(YEAR($A102)=Settings!$C$4,MONTH($A102),""))</f>
        <v/>
      </c>
      <c r="K102" s="29" t="str">
        <f aca="false">IF($A102="","",IF(OR($J102="",$B102=""),0,IF(OR($G102="Won",$H102="Yes"),1,0)))</f>
        <v/>
      </c>
      <c r="L102" s="30" t="str">
        <f aca="false">IF($B102="","",IFERROR(IF(INDEX(Settings!$E$12:$E$21,MATCH($B102,Settings!$B$12:$B$21,0))="Gross margin",N($F102),N($E102)),""))</f>
        <v/>
      </c>
      <c r="M102" s="29" t="str">
        <f aca="false">IF(AND($G102="Cancelled",$H102="Yes",$I102&lt;&gt;""),IF(YEAR($I102)=Settings!$C$4,MONTH($I102),""),"")</f>
        <v/>
      </c>
      <c r="N102" s="31" t="str">
        <f aca="false">IF($M102="","",IFERROR(IF($J102="",IF(INDEX(Settings!$D$12:$D$21,MATCH($B102,Settings!$B$12:$B$21,0))="Tiered",INDEX(Settings!$I$12:$I$21,MATCH($B102,Settings!$B$12:$B$21,0)),INDEX(Settings!$G$12:$G$21,MATCH($B102,Settings!$B$12:$B$21,0))),INDEX(Calculation!$U$6:$U$125,(MATCH($B102,Settings!$B$12:$B$21,0)-1)*12+$J102)),0))</f>
        <v/>
      </c>
      <c r="O102" s="30" t="n">
        <f aca="false">IF($M102="",0,N($L102)*N($N102))</f>
        <v>0</v>
      </c>
      <c r="P102" s="29" t="n">
        <f aca="false">IF(AND($B102&lt;&gt;"",$B102=Statement!$C$6,$J102=Statement!$C$8,$K102=1),1,0)</f>
        <v>0</v>
      </c>
      <c r="Q102" s="29" t="str">
        <f aca="false">IF($P102=1,SUM($P$5:$P102),"")</f>
        <v/>
      </c>
      <c r="R102" s="29" t="n">
        <f aca="false">IF(AND($B102&lt;&gt;"",$B102=Statement!$C$6,$M102=Statement!$C$8),1,0)</f>
        <v>0</v>
      </c>
      <c r="S102" s="29" t="str">
        <f aca="false">IF($R102=1,SUM($R$5:$R102),"")</f>
        <v/>
      </c>
    </row>
    <row r="103" customFormat="false" ht="15" hidden="false" customHeight="false" outlineLevel="0" collapsed="false">
      <c r="A103" s="28"/>
      <c r="B103" s="10"/>
      <c r="C103" s="10"/>
      <c r="D103" s="10"/>
      <c r="E103" s="23"/>
      <c r="F103" s="23"/>
      <c r="G103" s="10"/>
      <c r="H103" s="10"/>
      <c r="I103" s="28"/>
      <c r="J103" s="29" t="str">
        <f aca="false">IF(OR($A103="",$B103=""),"",IF(YEAR($A103)=Settings!$C$4,MONTH($A103),""))</f>
        <v/>
      </c>
      <c r="K103" s="29" t="str">
        <f aca="false">IF($A103="","",IF(OR($J103="",$B103=""),0,IF(OR($G103="Won",$H103="Yes"),1,0)))</f>
        <v/>
      </c>
      <c r="L103" s="30" t="str">
        <f aca="false">IF($B103="","",IFERROR(IF(INDEX(Settings!$E$12:$E$21,MATCH($B103,Settings!$B$12:$B$21,0))="Gross margin",N($F103),N($E103)),""))</f>
        <v/>
      </c>
      <c r="M103" s="29" t="str">
        <f aca="false">IF(AND($G103="Cancelled",$H103="Yes",$I103&lt;&gt;""),IF(YEAR($I103)=Settings!$C$4,MONTH($I103),""),"")</f>
        <v/>
      </c>
      <c r="N103" s="31" t="str">
        <f aca="false">IF($M103="","",IFERROR(IF($J103="",IF(INDEX(Settings!$D$12:$D$21,MATCH($B103,Settings!$B$12:$B$21,0))="Tiered",INDEX(Settings!$I$12:$I$21,MATCH($B103,Settings!$B$12:$B$21,0)),INDEX(Settings!$G$12:$G$21,MATCH($B103,Settings!$B$12:$B$21,0))),INDEX(Calculation!$U$6:$U$125,(MATCH($B103,Settings!$B$12:$B$21,0)-1)*12+$J103)),0))</f>
        <v/>
      </c>
      <c r="O103" s="30" t="n">
        <f aca="false">IF($M103="",0,N($L103)*N($N103))</f>
        <v>0</v>
      </c>
      <c r="P103" s="29" t="n">
        <f aca="false">IF(AND($B103&lt;&gt;"",$B103=Statement!$C$6,$J103=Statement!$C$8,$K103=1),1,0)</f>
        <v>0</v>
      </c>
      <c r="Q103" s="29" t="str">
        <f aca="false">IF($P103=1,SUM($P$5:$P103),"")</f>
        <v/>
      </c>
      <c r="R103" s="29" t="n">
        <f aca="false">IF(AND($B103&lt;&gt;"",$B103=Statement!$C$6,$M103=Statement!$C$8),1,0)</f>
        <v>0</v>
      </c>
      <c r="S103" s="29" t="str">
        <f aca="false">IF($R103=1,SUM($R$5:$R103),"")</f>
        <v/>
      </c>
    </row>
    <row r="104" customFormat="false" ht="15" hidden="false" customHeight="false" outlineLevel="0" collapsed="false">
      <c r="A104" s="28"/>
      <c r="B104" s="10"/>
      <c r="C104" s="10"/>
      <c r="D104" s="10"/>
      <c r="E104" s="23"/>
      <c r="F104" s="23"/>
      <c r="G104" s="10"/>
      <c r="H104" s="10"/>
      <c r="I104" s="28"/>
      <c r="J104" s="29" t="str">
        <f aca="false">IF(OR($A104="",$B104=""),"",IF(YEAR($A104)=Settings!$C$4,MONTH($A104),""))</f>
        <v/>
      </c>
      <c r="K104" s="29" t="str">
        <f aca="false">IF($A104="","",IF(OR($J104="",$B104=""),0,IF(OR($G104="Won",$H104="Yes"),1,0)))</f>
        <v/>
      </c>
      <c r="L104" s="30" t="str">
        <f aca="false">IF($B104="","",IFERROR(IF(INDEX(Settings!$E$12:$E$21,MATCH($B104,Settings!$B$12:$B$21,0))="Gross margin",N($F104),N($E104)),""))</f>
        <v/>
      </c>
      <c r="M104" s="29" t="str">
        <f aca="false">IF(AND($G104="Cancelled",$H104="Yes",$I104&lt;&gt;""),IF(YEAR($I104)=Settings!$C$4,MONTH($I104),""),"")</f>
        <v/>
      </c>
      <c r="N104" s="31" t="str">
        <f aca="false">IF($M104="","",IFERROR(IF($J104="",IF(INDEX(Settings!$D$12:$D$21,MATCH($B104,Settings!$B$12:$B$21,0))="Tiered",INDEX(Settings!$I$12:$I$21,MATCH($B104,Settings!$B$12:$B$21,0)),INDEX(Settings!$G$12:$G$21,MATCH($B104,Settings!$B$12:$B$21,0))),INDEX(Calculation!$U$6:$U$125,(MATCH($B104,Settings!$B$12:$B$21,0)-1)*12+$J104)),0))</f>
        <v/>
      </c>
      <c r="O104" s="30" t="n">
        <f aca="false">IF($M104="",0,N($L104)*N($N104))</f>
        <v>0</v>
      </c>
      <c r="P104" s="29" t="n">
        <f aca="false">IF(AND($B104&lt;&gt;"",$B104=Statement!$C$6,$J104=Statement!$C$8,$K104=1),1,0)</f>
        <v>0</v>
      </c>
      <c r="Q104" s="29" t="str">
        <f aca="false">IF($P104=1,SUM($P$5:$P104),"")</f>
        <v/>
      </c>
      <c r="R104" s="29" t="n">
        <f aca="false">IF(AND($B104&lt;&gt;"",$B104=Statement!$C$6,$M104=Statement!$C$8),1,0)</f>
        <v>0</v>
      </c>
      <c r="S104" s="29" t="str">
        <f aca="false">IF($R104=1,SUM($R$5:$R104),"")</f>
        <v/>
      </c>
    </row>
    <row r="105" customFormat="false" ht="15" hidden="false" customHeight="false" outlineLevel="0" collapsed="false">
      <c r="A105" s="28"/>
      <c r="B105" s="10"/>
      <c r="C105" s="10"/>
      <c r="D105" s="10"/>
      <c r="E105" s="23"/>
      <c r="F105" s="23"/>
      <c r="G105" s="10"/>
      <c r="H105" s="10"/>
      <c r="I105" s="28"/>
      <c r="J105" s="29" t="str">
        <f aca="false">IF(OR($A105="",$B105=""),"",IF(YEAR($A105)=Settings!$C$4,MONTH($A105),""))</f>
        <v/>
      </c>
      <c r="K105" s="29" t="str">
        <f aca="false">IF($A105="","",IF(OR($J105="",$B105=""),0,IF(OR($G105="Won",$H105="Yes"),1,0)))</f>
        <v/>
      </c>
      <c r="L105" s="30" t="str">
        <f aca="false">IF($B105="","",IFERROR(IF(INDEX(Settings!$E$12:$E$21,MATCH($B105,Settings!$B$12:$B$21,0))="Gross margin",N($F105),N($E105)),""))</f>
        <v/>
      </c>
      <c r="M105" s="29" t="str">
        <f aca="false">IF(AND($G105="Cancelled",$H105="Yes",$I105&lt;&gt;""),IF(YEAR($I105)=Settings!$C$4,MONTH($I105),""),"")</f>
        <v/>
      </c>
      <c r="N105" s="31" t="str">
        <f aca="false">IF($M105="","",IFERROR(IF($J105="",IF(INDEX(Settings!$D$12:$D$21,MATCH($B105,Settings!$B$12:$B$21,0))="Tiered",INDEX(Settings!$I$12:$I$21,MATCH($B105,Settings!$B$12:$B$21,0)),INDEX(Settings!$G$12:$G$21,MATCH($B105,Settings!$B$12:$B$21,0))),INDEX(Calculation!$U$6:$U$125,(MATCH($B105,Settings!$B$12:$B$21,0)-1)*12+$J105)),0))</f>
        <v/>
      </c>
      <c r="O105" s="30" t="n">
        <f aca="false">IF($M105="",0,N($L105)*N($N105))</f>
        <v>0</v>
      </c>
      <c r="P105" s="29" t="n">
        <f aca="false">IF(AND($B105&lt;&gt;"",$B105=Statement!$C$6,$J105=Statement!$C$8,$K105=1),1,0)</f>
        <v>0</v>
      </c>
      <c r="Q105" s="29" t="str">
        <f aca="false">IF($P105=1,SUM($P$5:$P105),"")</f>
        <v/>
      </c>
      <c r="R105" s="29" t="n">
        <f aca="false">IF(AND($B105&lt;&gt;"",$B105=Statement!$C$6,$M105=Statement!$C$8),1,0)</f>
        <v>0</v>
      </c>
      <c r="S105" s="29" t="str">
        <f aca="false">IF($R105=1,SUM($R$5:$R105),"")</f>
        <v/>
      </c>
    </row>
    <row r="106" customFormat="false" ht="15" hidden="false" customHeight="false" outlineLevel="0" collapsed="false">
      <c r="A106" s="28"/>
      <c r="B106" s="10"/>
      <c r="C106" s="10"/>
      <c r="D106" s="10"/>
      <c r="E106" s="23"/>
      <c r="F106" s="23"/>
      <c r="G106" s="10"/>
      <c r="H106" s="10"/>
      <c r="I106" s="28"/>
      <c r="J106" s="29" t="str">
        <f aca="false">IF(OR($A106="",$B106=""),"",IF(YEAR($A106)=Settings!$C$4,MONTH($A106),""))</f>
        <v/>
      </c>
      <c r="K106" s="29" t="str">
        <f aca="false">IF($A106="","",IF(OR($J106="",$B106=""),0,IF(OR($G106="Won",$H106="Yes"),1,0)))</f>
        <v/>
      </c>
      <c r="L106" s="30" t="str">
        <f aca="false">IF($B106="","",IFERROR(IF(INDEX(Settings!$E$12:$E$21,MATCH($B106,Settings!$B$12:$B$21,0))="Gross margin",N($F106),N($E106)),""))</f>
        <v/>
      </c>
      <c r="M106" s="29" t="str">
        <f aca="false">IF(AND($G106="Cancelled",$H106="Yes",$I106&lt;&gt;""),IF(YEAR($I106)=Settings!$C$4,MONTH($I106),""),"")</f>
        <v/>
      </c>
      <c r="N106" s="31" t="str">
        <f aca="false">IF($M106="","",IFERROR(IF($J106="",IF(INDEX(Settings!$D$12:$D$21,MATCH($B106,Settings!$B$12:$B$21,0))="Tiered",INDEX(Settings!$I$12:$I$21,MATCH($B106,Settings!$B$12:$B$21,0)),INDEX(Settings!$G$12:$G$21,MATCH($B106,Settings!$B$12:$B$21,0))),INDEX(Calculation!$U$6:$U$125,(MATCH($B106,Settings!$B$12:$B$21,0)-1)*12+$J106)),0))</f>
        <v/>
      </c>
      <c r="O106" s="30" t="n">
        <f aca="false">IF($M106="",0,N($L106)*N($N106))</f>
        <v>0</v>
      </c>
      <c r="P106" s="29" t="n">
        <f aca="false">IF(AND($B106&lt;&gt;"",$B106=Statement!$C$6,$J106=Statement!$C$8,$K106=1),1,0)</f>
        <v>0</v>
      </c>
      <c r="Q106" s="29" t="str">
        <f aca="false">IF($P106=1,SUM($P$5:$P106),"")</f>
        <v/>
      </c>
      <c r="R106" s="29" t="n">
        <f aca="false">IF(AND($B106&lt;&gt;"",$B106=Statement!$C$6,$M106=Statement!$C$8),1,0)</f>
        <v>0</v>
      </c>
      <c r="S106" s="29" t="str">
        <f aca="false">IF($R106=1,SUM($R$5:$R106),"")</f>
        <v/>
      </c>
    </row>
    <row r="107" customFormat="false" ht="15" hidden="false" customHeight="false" outlineLevel="0" collapsed="false">
      <c r="A107" s="28"/>
      <c r="B107" s="10"/>
      <c r="C107" s="10"/>
      <c r="D107" s="10"/>
      <c r="E107" s="23"/>
      <c r="F107" s="23"/>
      <c r="G107" s="10"/>
      <c r="H107" s="10"/>
      <c r="I107" s="28"/>
      <c r="J107" s="29" t="str">
        <f aca="false">IF(OR($A107="",$B107=""),"",IF(YEAR($A107)=Settings!$C$4,MONTH($A107),""))</f>
        <v/>
      </c>
      <c r="K107" s="29" t="str">
        <f aca="false">IF($A107="","",IF(OR($J107="",$B107=""),0,IF(OR($G107="Won",$H107="Yes"),1,0)))</f>
        <v/>
      </c>
      <c r="L107" s="30" t="str">
        <f aca="false">IF($B107="","",IFERROR(IF(INDEX(Settings!$E$12:$E$21,MATCH($B107,Settings!$B$12:$B$21,0))="Gross margin",N($F107),N($E107)),""))</f>
        <v/>
      </c>
      <c r="M107" s="29" t="str">
        <f aca="false">IF(AND($G107="Cancelled",$H107="Yes",$I107&lt;&gt;""),IF(YEAR($I107)=Settings!$C$4,MONTH($I107),""),"")</f>
        <v/>
      </c>
      <c r="N107" s="31" t="str">
        <f aca="false">IF($M107="","",IFERROR(IF($J107="",IF(INDEX(Settings!$D$12:$D$21,MATCH($B107,Settings!$B$12:$B$21,0))="Tiered",INDEX(Settings!$I$12:$I$21,MATCH($B107,Settings!$B$12:$B$21,0)),INDEX(Settings!$G$12:$G$21,MATCH($B107,Settings!$B$12:$B$21,0))),INDEX(Calculation!$U$6:$U$125,(MATCH($B107,Settings!$B$12:$B$21,0)-1)*12+$J107)),0))</f>
        <v/>
      </c>
      <c r="O107" s="30" t="n">
        <f aca="false">IF($M107="",0,N($L107)*N($N107))</f>
        <v>0</v>
      </c>
      <c r="P107" s="29" t="n">
        <f aca="false">IF(AND($B107&lt;&gt;"",$B107=Statement!$C$6,$J107=Statement!$C$8,$K107=1),1,0)</f>
        <v>0</v>
      </c>
      <c r="Q107" s="29" t="str">
        <f aca="false">IF($P107=1,SUM($P$5:$P107),"")</f>
        <v/>
      </c>
      <c r="R107" s="29" t="n">
        <f aca="false">IF(AND($B107&lt;&gt;"",$B107=Statement!$C$6,$M107=Statement!$C$8),1,0)</f>
        <v>0</v>
      </c>
      <c r="S107" s="29" t="str">
        <f aca="false">IF($R107=1,SUM($R$5:$R107),"")</f>
        <v/>
      </c>
    </row>
    <row r="108" customFormat="false" ht="15" hidden="false" customHeight="false" outlineLevel="0" collapsed="false">
      <c r="A108" s="28"/>
      <c r="B108" s="10"/>
      <c r="C108" s="10"/>
      <c r="D108" s="10"/>
      <c r="E108" s="23"/>
      <c r="F108" s="23"/>
      <c r="G108" s="10"/>
      <c r="H108" s="10"/>
      <c r="I108" s="28"/>
      <c r="J108" s="29" t="str">
        <f aca="false">IF(OR($A108="",$B108=""),"",IF(YEAR($A108)=Settings!$C$4,MONTH($A108),""))</f>
        <v/>
      </c>
      <c r="K108" s="29" t="str">
        <f aca="false">IF($A108="","",IF(OR($J108="",$B108=""),0,IF(OR($G108="Won",$H108="Yes"),1,0)))</f>
        <v/>
      </c>
      <c r="L108" s="30" t="str">
        <f aca="false">IF($B108="","",IFERROR(IF(INDEX(Settings!$E$12:$E$21,MATCH($B108,Settings!$B$12:$B$21,0))="Gross margin",N($F108),N($E108)),""))</f>
        <v/>
      </c>
      <c r="M108" s="29" t="str">
        <f aca="false">IF(AND($G108="Cancelled",$H108="Yes",$I108&lt;&gt;""),IF(YEAR($I108)=Settings!$C$4,MONTH($I108),""),"")</f>
        <v/>
      </c>
      <c r="N108" s="31" t="str">
        <f aca="false">IF($M108="","",IFERROR(IF($J108="",IF(INDEX(Settings!$D$12:$D$21,MATCH($B108,Settings!$B$12:$B$21,0))="Tiered",INDEX(Settings!$I$12:$I$21,MATCH($B108,Settings!$B$12:$B$21,0)),INDEX(Settings!$G$12:$G$21,MATCH($B108,Settings!$B$12:$B$21,0))),INDEX(Calculation!$U$6:$U$125,(MATCH($B108,Settings!$B$12:$B$21,0)-1)*12+$J108)),0))</f>
        <v/>
      </c>
      <c r="O108" s="30" t="n">
        <f aca="false">IF($M108="",0,N($L108)*N($N108))</f>
        <v>0</v>
      </c>
      <c r="P108" s="29" t="n">
        <f aca="false">IF(AND($B108&lt;&gt;"",$B108=Statement!$C$6,$J108=Statement!$C$8,$K108=1),1,0)</f>
        <v>0</v>
      </c>
      <c r="Q108" s="29" t="str">
        <f aca="false">IF($P108=1,SUM($P$5:$P108),"")</f>
        <v/>
      </c>
      <c r="R108" s="29" t="n">
        <f aca="false">IF(AND($B108&lt;&gt;"",$B108=Statement!$C$6,$M108=Statement!$C$8),1,0)</f>
        <v>0</v>
      </c>
      <c r="S108" s="29" t="str">
        <f aca="false">IF($R108=1,SUM($R$5:$R108),"")</f>
        <v/>
      </c>
    </row>
    <row r="109" customFormat="false" ht="15" hidden="false" customHeight="false" outlineLevel="0" collapsed="false">
      <c r="A109" s="28"/>
      <c r="B109" s="10"/>
      <c r="C109" s="10"/>
      <c r="D109" s="10"/>
      <c r="E109" s="23"/>
      <c r="F109" s="23"/>
      <c r="G109" s="10"/>
      <c r="H109" s="10"/>
      <c r="I109" s="28"/>
      <c r="J109" s="29" t="str">
        <f aca="false">IF(OR($A109="",$B109=""),"",IF(YEAR($A109)=Settings!$C$4,MONTH($A109),""))</f>
        <v/>
      </c>
      <c r="K109" s="29" t="str">
        <f aca="false">IF($A109="","",IF(OR($J109="",$B109=""),0,IF(OR($G109="Won",$H109="Yes"),1,0)))</f>
        <v/>
      </c>
      <c r="L109" s="30" t="str">
        <f aca="false">IF($B109="","",IFERROR(IF(INDEX(Settings!$E$12:$E$21,MATCH($B109,Settings!$B$12:$B$21,0))="Gross margin",N($F109),N($E109)),""))</f>
        <v/>
      </c>
      <c r="M109" s="29" t="str">
        <f aca="false">IF(AND($G109="Cancelled",$H109="Yes",$I109&lt;&gt;""),IF(YEAR($I109)=Settings!$C$4,MONTH($I109),""),"")</f>
        <v/>
      </c>
      <c r="N109" s="31" t="str">
        <f aca="false">IF($M109="","",IFERROR(IF($J109="",IF(INDEX(Settings!$D$12:$D$21,MATCH($B109,Settings!$B$12:$B$21,0))="Tiered",INDEX(Settings!$I$12:$I$21,MATCH($B109,Settings!$B$12:$B$21,0)),INDEX(Settings!$G$12:$G$21,MATCH($B109,Settings!$B$12:$B$21,0))),INDEX(Calculation!$U$6:$U$125,(MATCH($B109,Settings!$B$12:$B$21,0)-1)*12+$J109)),0))</f>
        <v/>
      </c>
      <c r="O109" s="30" t="n">
        <f aca="false">IF($M109="",0,N($L109)*N($N109))</f>
        <v>0</v>
      </c>
      <c r="P109" s="29" t="n">
        <f aca="false">IF(AND($B109&lt;&gt;"",$B109=Statement!$C$6,$J109=Statement!$C$8,$K109=1),1,0)</f>
        <v>0</v>
      </c>
      <c r="Q109" s="29" t="str">
        <f aca="false">IF($P109=1,SUM($P$5:$P109),"")</f>
        <v/>
      </c>
      <c r="R109" s="29" t="n">
        <f aca="false">IF(AND($B109&lt;&gt;"",$B109=Statement!$C$6,$M109=Statement!$C$8),1,0)</f>
        <v>0</v>
      </c>
      <c r="S109" s="29" t="str">
        <f aca="false">IF($R109=1,SUM($R$5:$R109),"")</f>
        <v/>
      </c>
    </row>
    <row r="110" customFormat="false" ht="15" hidden="false" customHeight="false" outlineLevel="0" collapsed="false">
      <c r="A110" s="28"/>
      <c r="B110" s="10"/>
      <c r="C110" s="10"/>
      <c r="D110" s="10"/>
      <c r="E110" s="23"/>
      <c r="F110" s="23"/>
      <c r="G110" s="10"/>
      <c r="H110" s="10"/>
      <c r="I110" s="28"/>
      <c r="J110" s="29" t="str">
        <f aca="false">IF(OR($A110="",$B110=""),"",IF(YEAR($A110)=Settings!$C$4,MONTH($A110),""))</f>
        <v/>
      </c>
      <c r="K110" s="29" t="str">
        <f aca="false">IF($A110="","",IF(OR($J110="",$B110=""),0,IF(OR($G110="Won",$H110="Yes"),1,0)))</f>
        <v/>
      </c>
      <c r="L110" s="30" t="str">
        <f aca="false">IF($B110="","",IFERROR(IF(INDEX(Settings!$E$12:$E$21,MATCH($B110,Settings!$B$12:$B$21,0))="Gross margin",N($F110),N($E110)),""))</f>
        <v/>
      </c>
      <c r="M110" s="29" t="str">
        <f aca="false">IF(AND($G110="Cancelled",$H110="Yes",$I110&lt;&gt;""),IF(YEAR($I110)=Settings!$C$4,MONTH($I110),""),"")</f>
        <v/>
      </c>
      <c r="N110" s="31" t="str">
        <f aca="false">IF($M110="","",IFERROR(IF($J110="",IF(INDEX(Settings!$D$12:$D$21,MATCH($B110,Settings!$B$12:$B$21,0))="Tiered",INDEX(Settings!$I$12:$I$21,MATCH($B110,Settings!$B$12:$B$21,0)),INDEX(Settings!$G$12:$G$21,MATCH($B110,Settings!$B$12:$B$21,0))),INDEX(Calculation!$U$6:$U$125,(MATCH($B110,Settings!$B$12:$B$21,0)-1)*12+$J110)),0))</f>
        <v/>
      </c>
      <c r="O110" s="30" t="n">
        <f aca="false">IF($M110="",0,N($L110)*N($N110))</f>
        <v>0</v>
      </c>
      <c r="P110" s="29" t="n">
        <f aca="false">IF(AND($B110&lt;&gt;"",$B110=Statement!$C$6,$J110=Statement!$C$8,$K110=1),1,0)</f>
        <v>0</v>
      </c>
      <c r="Q110" s="29" t="str">
        <f aca="false">IF($P110=1,SUM($P$5:$P110),"")</f>
        <v/>
      </c>
      <c r="R110" s="29" t="n">
        <f aca="false">IF(AND($B110&lt;&gt;"",$B110=Statement!$C$6,$M110=Statement!$C$8),1,0)</f>
        <v>0</v>
      </c>
      <c r="S110" s="29" t="str">
        <f aca="false">IF($R110=1,SUM($R$5:$R110),"")</f>
        <v/>
      </c>
    </row>
    <row r="111" customFormat="false" ht="15" hidden="false" customHeight="false" outlineLevel="0" collapsed="false">
      <c r="A111" s="28"/>
      <c r="B111" s="10"/>
      <c r="C111" s="10"/>
      <c r="D111" s="10"/>
      <c r="E111" s="23"/>
      <c r="F111" s="23"/>
      <c r="G111" s="10"/>
      <c r="H111" s="10"/>
      <c r="I111" s="28"/>
      <c r="J111" s="29" t="str">
        <f aca="false">IF(OR($A111="",$B111=""),"",IF(YEAR($A111)=Settings!$C$4,MONTH($A111),""))</f>
        <v/>
      </c>
      <c r="K111" s="29" t="str">
        <f aca="false">IF($A111="","",IF(OR($J111="",$B111=""),0,IF(OR($G111="Won",$H111="Yes"),1,0)))</f>
        <v/>
      </c>
      <c r="L111" s="30" t="str">
        <f aca="false">IF($B111="","",IFERROR(IF(INDEX(Settings!$E$12:$E$21,MATCH($B111,Settings!$B$12:$B$21,0))="Gross margin",N($F111),N($E111)),""))</f>
        <v/>
      </c>
      <c r="M111" s="29" t="str">
        <f aca="false">IF(AND($G111="Cancelled",$H111="Yes",$I111&lt;&gt;""),IF(YEAR($I111)=Settings!$C$4,MONTH($I111),""),"")</f>
        <v/>
      </c>
      <c r="N111" s="31" t="str">
        <f aca="false">IF($M111="","",IFERROR(IF($J111="",IF(INDEX(Settings!$D$12:$D$21,MATCH($B111,Settings!$B$12:$B$21,0))="Tiered",INDEX(Settings!$I$12:$I$21,MATCH($B111,Settings!$B$12:$B$21,0)),INDEX(Settings!$G$12:$G$21,MATCH($B111,Settings!$B$12:$B$21,0))),INDEX(Calculation!$U$6:$U$125,(MATCH($B111,Settings!$B$12:$B$21,0)-1)*12+$J111)),0))</f>
        <v/>
      </c>
      <c r="O111" s="30" t="n">
        <f aca="false">IF($M111="",0,N($L111)*N($N111))</f>
        <v>0</v>
      </c>
      <c r="P111" s="29" t="n">
        <f aca="false">IF(AND($B111&lt;&gt;"",$B111=Statement!$C$6,$J111=Statement!$C$8,$K111=1),1,0)</f>
        <v>0</v>
      </c>
      <c r="Q111" s="29" t="str">
        <f aca="false">IF($P111=1,SUM($P$5:$P111),"")</f>
        <v/>
      </c>
      <c r="R111" s="29" t="n">
        <f aca="false">IF(AND($B111&lt;&gt;"",$B111=Statement!$C$6,$M111=Statement!$C$8),1,0)</f>
        <v>0</v>
      </c>
      <c r="S111" s="29" t="str">
        <f aca="false">IF($R111=1,SUM($R$5:$R111),"")</f>
        <v/>
      </c>
    </row>
    <row r="112" customFormat="false" ht="15" hidden="false" customHeight="false" outlineLevel="0" collapsed="false">
      <c r="A112" s="28"/>
      <c r="B112" s="10"/>
      <c r="C112" s="10"/>
      <c r="D112" s="10"/>
      <c r="E112" s="23"/>
      <c r="F112" s="23"/>
      <c r="G112" s="10"/>
      <c r="H112" s="10"/>
      <c r="I112" s="28"/>
      <c r="J112" s="29" t="str">
        <f aca="false">IF(OR($A112="",$B112=""),"",IF(YEAR($A112)=Settings!$C$4,MONTH($A112),""))</f>
        <v/>
      </c>
      <c r="K112" s="29" t="str">
        <f aca="false">IF($A112="","",IF(OR($J112="",$B112=""),0,IF(OR($G112="Won",$H112="Yes"),1,0)))</f>
        <v/>
      </c>
      <c r="L112" s="30" t="str">
        <f aca="false">IF($B112="","",IFERROR(IF(INDEX(Settings!$E$12:$E$21,MATCH($B112,Settings!$B$12:$B$21,0))="Gross margin",N($F112),N($E112)),""))</f>
        <v/>
      </c>
      <c r="M112" s="29" t="str">
        <f aca="false">IF(AND($G112="Cancelled",$H112="Yes",$I112&lt;&gt;""),IF(YEAR($I112)=Settings!$C$4,MONTH($I112),""),"")</f>
        <v/>
      </c>
      <c r="N112" s="31" t="str">
        <f aca="false">IF($M112="","",IFERROR(IF($J112="",IF(INDEX(Settings!$D$12:$D$21,MATCH($B112,Settings!$B$12:$B$21,0))="Tiered",INDEX(Settings!$I$12:$I$21,MATCH($B112,Settings!$B$12:$B$21,0)),INDEX(Settings!$G$12:$G$21,MATCH($B112,Settings!$B$12:$B$21,0))),INDEX(Calculation!$U$6:$U$125,(MATCH($B112,Settings!$B$12:$B$21,0)-1)*12+$J112)),0))</f>
        <v/>
      </c>
      <c r="O112" s="30" t="n">
        <f aca="false">IF($M112="",0,N($L112)*N($N112))</f>
        <v>0</v>
      </c>
      <c r="P112" s="29" t="n">
        <f aca="false">IF(AND($B112&lt;&gt;"",$B112=Statement!$C$6,$J112=Statement!$C$8,$K112=1),1,0)</f>
        <v>0</v>
      </c>
      <c r="Q112" s="29" t="str">
        <f aca="false">IF($P112=1,SUM($P$5:$P112),"")</f>
        <v/>
      </c>
      <c r="R112" s="29" t="n">
        <f aca="false">IF(AND($B112&lt;&gt;"",$B112=Statement!$C$6,$M112=Statement!$C$8),1,0)</f>
        <v>0</v>
      </c>
      <c r="S112" s="29" t="str">
        <f aca="false">IF($R112=1,SUM($R$5:$R112),"")</f>
        <v/>
      </c>
    </row>
    <row r="113" customFormat="false" ht="15" hidden="false" customHeight="false" outlineLevel="0" collapsed="false">
      <c r="A113" s="28"/>
      <c r="B113" s="10"/>
      <c r="C113" s="10"/>
      <c r="D113" s="10"/>
      <c r="E113" s="23"/>
      <c r="F113" s="23"/>
      <c r="G113" s="10"/>
      <c r="H113" s="10"/>
      <c r="I113" s="28"/>
      <c r="J113" s="29" t="str">
        <f aca="false">IF(OR($A113="",$B113=""),"",IF(YEAR($A113)=Settings!$C$4,MONTH($A113),""))</f>
        <v/>
      </c>
      <c r="K113" s="29" t="str">
        <f aca="false">IF($A113="","",IF(OR($J113="",$B113=""),0,IF(OR($G113="Won",$H113="Yes"),1,0)))</f>
        <v/>
      </c>
      <c r="L113" s="30" t="str">
        <f aca="false">IF($B113="","",IFERROR(IF(INDEX(Settings!$E$12:$E$21,MATCH($B113,Settings!$B$12:$B$21,0))="Gross margin",N($F113),N($E113)),""))</f>
        <v/>
      </c>
      <c r="M113" s="29" t="str">
        <f aca="false">IF(AND($G113="Cancelled",$H113="Yes",$I113&lt;&gt;""),IF(YEAR($I113)=Settings!$C$4,MONTH($I113),""),"")</f>
        <v/>
      </c>
      <c r="N113" s="31" t="str">
        <f aca="false">IF($M113="","",IFERROR(IF($J113="",IF(INDEX(Settings!$D$12:$D$21,MATCH($B113,Settings!$B$12:$B$21,0))="Tiered",INDEX(Settings!$I$12:$I$21,MATCH($B113,Settings!$B$12:$B$21,0)),INDEX(Settings!$G$12:$G$21,MATCH($B113,Settings!$B$12:$B$21,0))),INDEX(Calculation!$U$6:$U$125,(MATCH($B113,Settings!$B$12:$B$21,0)-1)*12+$J113)),0))</f>
        <v/>
      </c>
      <c r="O113" s="30" t="n">
        <f aca="false">IF($M113="",0,N($L113)*N($N113))</f>
        <v>0</v>
      </c>
      <c r="P113" s="29" t="n">
        <f aca="false">IF(AND($B113&lt;&gt;"",$B113=Statement!$C$6,$J113=Statement!$C$8,$K113=1),1,0)</f>
        <v>0</v>
      </c>
      <c r="Q113" s="29" t="str">
        <f aca="false">IF($P113=1,SUM($P$5:$P113),"")</f>
        <v/>
      </c>
      <c r="R113" s="29" t="n">
        <f aca="false">IF(AND($B113&lt;&gt;"",$B113=Statement!$C$6,$M113=Statement!$C$8),1,0)</f>
        <v>0</v>
      </c>
      <c r="S113" s="29" t="str">
        <f aca="false">IF($R113=1,SUM($R$5:$R113),"")</f>
        <v/>
      </c>
    </row>
    <row r="114" customFormat="false" ht="15" hidden="false" customHeight="false" outlineLevel="0" collapsed="false">
      <c r="A114" s="28"/>
      <c r="B114" s="10"/>
      <c r="C114" s="10"/>
      <c r="D114" s="10"/>
      <c r="E114" s="23"/>
      <c r="F114" s="23"/>
      <c r="G114" s="10"/>
      <c r="H114" s="10"/>
      <c r="I114" s="28"/>
      <c r="J114" s="29" t="str">
        <f aca="false">IF(OR($A114="",$B114=""),"",IF(YEAR($A114)=Settings!$C$4,MONTH($A114),""))</f>
        <v/>
      </c>
      <c r="K114" s="29" t="str">
        <f aca="false">IF($A114="","",IF(OR($J114="",$B114=""),0,IF(OR($G114="Won",$H114="Yes"),1,0)))</f>
        <v/>
      </c>
      <c r="L114" s="30" t="str">
        <f aca="false">IF($B114="","",IFERROR(IF(INDEX(Settings!$E$12:$E$21,MATCH($B114,Settings!$B$12:$B$21,0))="Gross margin",N($F114),N($E114)),""))</f>
        <v/>
      </c>
      <c r="M114" s="29" t="str">
        <f aca="false">IF(AND($G114="Cancelled",$H114="Yes",$I114&lt;&gt;""),IF(YEAR($I114)=Settings!$C$4,MONTH($I114),""),"")</f>
        <v/>
      </c>
      <c r="N114" s="31" t="str">
        <f aca="false">IF($M114="","",IFERROR(IF($J114="",IF(INDEX(Settings!$D$12:$D$21,MATCH($B114,Settings!$B$12:$B$21,0))="Tiered",INDEX(Settings!$I$12:$I$21,MATCH($B114,Settings!$B$12:$B$21,0)),INDEX(Settings!$G$12:$G$21,MATCH($B114,Settings!$B$12:$B$21,0))),INDEX(Calculation!$U$6:$U$125,(MATCH($B114,Settings!$B$12:$B$21,0)-1)*12+$J114)),0))</f>
        <v/>
      </c>
      <c r="O114" s="30" t="n">
        <f aca="false">IF($M114="",0,N($L114)*N($N114))</f>
        <v>0</v>
      </c>
      <c r="P114" s="29" t="n">
        <f aca="false">IF(AND($B114&lt;&gt;"",$B114=Statement!$C$6,$J114=Statement!$C$8,$K114=1),1,0)</f>
        <v>0</v>
      </c>
      <c r="Q114" s="29" t="str">
        <f aca="false">IF($P114=1,SUM($P$5:$P114),"")</f>
        <v/>
      </c>
      <c r="R114" s="29" t="n">
        <f aca="false">IF(AND($B114&lt;&gt;"",$B114=Statement!$C$6,$M114=Statement!$C$8),1,0)</f>
        <v>0</v>
      </c>
      <c r="S114" s="29" t="str">
        <f aca="false">IF($R114=1,SUM($R$5:$R114),"")</f>
        <v/>
      </c>
    </row>
    <row r="115" customFormat="false" ht="15" hidden="false" customHeight="false" outlineLevel="0" collapsed="false">
      <c r="A115" s="28"/>
      <c r="B115" s="10"/>
      <c r="C115" s="10"/>
      <c r="D115" s="10"/>
      <c r="E115" s="23"/>
      <c r="F115" s="23"/>
      <c r="G115" s="10"/>
      <c r="H115" s="10"/>
      <c r="I115" s="28"/>
      <c r="J115" s="29" t="str">
        <f aca="false">IF(OR($A115="",$B115=""),"",IF(YEAR($A115)=Settings!$C$4,MONTH($A115),""))</f>
        <v/>
      </c>
      <c r="K115" s="29" t="str">
        <f aca="false">IF($A115="","",IF(OR($J115="",$B115=""),0,IF(OR($G115="Won",$H115="Yes"),1,0)))</f>
        <v/>
      </c>
      <c r="L115" s="30" t="str">
        <f aca="false">IF($B115="","",IFERROR(IF(INDEX(Settings!$E$12:$E$21,MATCH($B115,Settings!$B$12:$B$21,0))="Gross margin",N($F115),N($E115)),""))</f>
        <v/>
      </c>
      <c r="M115" s="29" t="str">
        <f aca="false">IF(AND($G115="Cancelled",$H115="Yes",$I115&lt;&gt;""),IF(YEAR($I115)=Settings!$C$4,MONTH($I115),""),"")</f>
        <v/>
      </c>
      <c r="N115" s="31" t="str">
        <f aca="false">IF($M115="","",IFERROR(IF($J115="",IF(INDEX(Settings!$D$12:$D$21,MATCH($B115,Settings!$B$12:$B$21,0))="Tiered",INDEX(Settings!$I$12:$I$21,MATCH($B115,Settings!$B$12:$B$21,0)),INDEX(Settings!$G$12:$G$21,MATCH($B115,Settings!$B$12:$B$21,0))),INDEX(Calculation!$U$6:$U$125,(MATCH($B115,Settings!$B$12:$B$21,0)-1)*12+$J115)),0))</f>
        <v/>
      </c>
      <c r="O115" s="30" t="n">
        <f aca="false">IF($M115="",0,N($L115)*N($N115))</f>
        <v>0</v>
      </c>
      <c r="P115" s="29" t="n">
        <f aca="false">IF(AND($B115&lt;&gt;"",$B115=Statement!$C$6,$J115=Statement!$C$8,$K115=1),1,0)</f>
        <v>0</v>
      </c>
      <c r="Q115" s="29" t="str">
        <f aca="false">IF($P115=1,SUM($P$5:$P115),"")</f>
        <v/>
      </c>
      <c r="R115" s="29" t="n">
        <f aca="false">IF(AND($B115&lt;&gt;"",$B115=Statement!$C$6,$M115=Statement!$C$8),1,0)</f>
        <v>0</v>
      </c>
      <c r="S115" s="29" t="str">
        <f aca="false">IF($R115=1,SUM($R$5:$R115),"")</f>
        <v/>
      </c>
    </row>
    <row r="116" customFormat="false" ht="15" hidden="false" customHeight="false" outlineLevel="0" collapsed="false">
      <c r="A116" s="28"/>
      <c r="B116" s="10"/>
      <c r="C116" s="10"/>
      <c r="D116" s="10"/>
      <c r="E116" s="23"/>
      <c r="F116" s="23"/>
      <c r="G116" s="10"/>
      <c r="H116" s="10"/>
      <c r="I116" s="28"/>
      <c r="J116" s="29" t="str">
        <f aca="false">IF(OR($A116="",$B116=""),"",IF(YEAR($A116)=Settings!$C$4,MONTH($A116),""))</f>
        <v/>
      </c>
      <c r="K116" s="29" t="str">
        <f aca="false">IF($A116="","",IF(OR($J116="",$B116=""),0,IF(OR($G116="Won",$H116="Yes"),1,0)))</f>
        <v/>
      </c>
      <c r="L116" s="30" t="str">
        <f aca="false">IF($B116="","",IFERROR(IF(INDEX(Settings!$E$12:$E$21,MATCH($B116,Settings!$B$12:$B$21,0))="Gross margin",N($F116),N($E116)),""))</f>
        <v/>
      </c>
      <c r="M116" s="29" t="str">
        <f aca="false">IF(AND($G116="Cancelled",$H116="Yes",$I116&lt;&gt;""),IF(YEAR($I116)=Settings!$C$4,MONTH($I116),""),"")</f>
        <v/>
      </c>
      <c r="N116" s="31" t="str">
        <f aca="false">IF($M116="","",IFERROR(IF($J116="",IF(INDEX(Settings!$D$12:$D$21,MATCH($B116,Settings!$B$12:$B$21,0))="Tiered",INDEX(Settings!$I$12:$I$21,MATCH($B116,Settings!$B$12:$B$21,0)),INDEX(Settings!$G$12:$G$21,MATCH($B116,Settings!$B$12:$B$21,0))),INDEX(Calculation!$U$6:$U$125,(MATCH($B116,Settings!$B$12:$B$21,0)-1)*12+$J116)),0))</f>
        <v/>
      </c>
      <c r="O116" s="30" t="n">
        <f aca="false">IF($M116="",0,N($L116)*N($N116))</f>
        <v>0</v>
      </c>
      <c r="P116" s="29" t="n">
        <f aca="false">IF(AND($B116&lt;&gt;"",$B116=Statement!$C$6,$J116=Statement!$C$8,$K116=1),1,0)</f>
        <v>0</v>
      </c>
      <c r="Q116" s="29" t="str">
        <f aca="false">IF($P116=1,SUM($P$5:$P116),"")</f>
        <v/>
      </c>
      <c r="R116" s="29" t="n">
        <f aca="false">IF(AND($B116&lt;&gt;"",$B116=Statement!$C$6,$M116=Statement!$C$8),1,0)</f>
        <v>0</v>
      </c>
      <c r="S116" s="29" t="str">
        <f aca="false">IF($R116=1,SUM($R$5:$R116),"")</f>
        <v/>
      </c>
    </row>
    <row r="117" customFormat="false" ht="15" hidden="false" customHeight="false" outlineLevel="0" collapsed="false">
      <c r="A117" s="28"/>
      <c r="B117" s="10"/>
      <c r="C117" s="10"/>
      <c r="D117" s="10"/>
      <c r="E117" s="23"/>
      <c r="F117" s="23"/>
      <c r="G117" s="10"/>
      <c r="H117" s="10"/>
      <c r="I117" s="28"/>
      <c r="J117" s="29" t="str">
        <f aca="false">IF(OR($A117="",$B117=""),"",IF(YEAR($A117)=Settings!$C$4,MONTH($A117),""))</f>
        <v/>
      </c>
      <c r="K117" s="29" t="str">
        <f aca="false">IF($A117="","",IF(OR($J117="",$B117=""),0,IF(OR($G117="Won",$H117="Yes"),1,0)))</f>
        <v/>
      </c>
      <c r="L117" s="30" t="str">
        <f aca="false">IF($B117="","",IFERROR(IF(INDEX(Settings!$E$12:$E$21,MATCH($B117,Settings!$B$12:$B$21,0))="Gross margin",N($F117),N($E117)),""))</f>
        <v/>
      </c>
      <c r="M117" s="29" t="str">
        <f aca="false">IF(AND($G117="Cancelled",$H117="Yes",$I117&lt;&gt;""),IF(YEAR($I117)=Settings!$C$4,MONTH($I117),""),"")</f>
        <v/>
      </c>
      <c r="N117" s="31" t="str">
        <f aca="false">IF($M117="","",IFERROR(IF($J117="",IF(INDEX(Settings!$D$12:$D$21,MATCH($B117,Settings!$B$12:$B$21,0))="Tiered",INDEX(Settings!$I$12:$I$21,MATCH($B117,Settings!$B$12:$B$21,0)),INDEX(Settings!$G$12:$G$21,MATCH($B117,Settings!$B$12:$B$21,0))),INDEX(Calculation!$U$6:$U$125,(MATCH($B117,Settings!$B$12:$B$21,0)-1)*12+$J117)),0))</f>
        <v/>
      </c>
      <c r="O117" s="30" t="n">
        <f aca="false">IF($M117="",0,N($L117)*N($N117))</f>
        <v>0</v>
      </c>
      <c r="P117" s="29" t="n">
        <f aca="false">IF(AND($B117&lt;&gt;"",$B117=Statement!$C$6,$J117=Statement!$C$8,$K117=1),1,0)</f>
        <v>0</v>
      </c>
      <c r="Q117" s="29" t="str">
        <f aca="false">IF($P117=1,SUM($P$5:$P117),"")</f>
        <v/>
      </c>
      <c r="R117" s="29" t="n">
        <f aca="false">IF(AND($B117&lt;&gt;"",$B117=Statement!$C$6,$M117=Statement!$C$8),1,0)</f>
        <v>0</v>
      </c>
      <c r="S117" s="29" t="str">
        <f aca="false">IF($R117=1,SUM($R$5:$R117),"")</f>
        <v/>
      </c>
    </row>
    <row r="118" customFormat="false" ht="15" hidden="false" customHeight="false" outlineLevel="0" collapsed="false">
      <c r="A118" s="28"/>
      <c r="B118" s="10"/>
      <c r="C118" s="10"/>
      <c r="D118" s="10"/>
      <c r="E118" s="23"/>
      <c r="F118" s="23"/>
      <c r="G118" s="10"/>
      <c r="H118" s="10"/>
      <c r="I118" s="28"/>
      <c r="J118" s="29" t="str">
        <f aca="false">IF(OR($A118="",$B118=""),"",IF(YEAR($A118)=Settings!$C$4,MONTH($A118),""))</f>
        <v/>
      </c>
      <c r="K118" s="29" t="str">
        <f aca="false">IF($A118="","",IF(OR($J118="",$B118=""),0,IF(OR($G118="Won",$H118="Yes"),1,0)))</f>
        <v/>
      </c>
      <c r="L118" s="30" t="str">
        <f aca="false">IF($B118="","",IFERROR(IF(INDEX(Settings!$E$12:$E$21,MATCH($B118,Settings!$B$12:$B$21,0))="Gross margin",N($F118),N($E118)),""))</f>
        <v/>
      </c>
      <c r="M118" s="29" t="str">
        <f aca="false">IF(AND($G118="Cancelled",$H118="Yes",$I118&lt;&gt;""),IF(YEAR($I118)=Settings!$C$4,MONTH($I118),""),"")</f>
        <v/>
      </c>
      <c r="N118" s="31" t="str">
        <f aca="false">IF($M118="","",IFERROR(IF($J118="",IF(INDEX(Settings!$D$12:$D$21,MATCH($B118,Settings!$B$12:$B$21,0))="Tiered",INDEX(Settings!$I$12:$I$21,MATCH($B118,Settings!$B$12:$B$21,0)),INDEX(Settings!$G$12:$G$21,MATCH($B118,Settings!$B$12:$B$21,0))),INDEX(Calculation!$U$6:$U$125,(MATCH($B118,Settings!$B$12:$B$21,0)-1)*12+$J118)),0))</f>
        <v/>
      </c>
      <c r="O118" s="30" t="n">
        <f aca="false">IF($M118="",0,N($L118)*N($N118))</f>
        <v>0</v>
      </c>
      <c r="P118" s="29" t="n">
        <f aca="false">IF(AND($B118&lt;&gt;"",$B118=Statement!$C$6,$J118=Statement!$C$8,$K118=1),1,0)</f>
        <v>0</v>
      </c>
      <c r="Q118" s="29" t="str">
        <f aca="false">IF($P118=1,SUM($P$5:$P118),"")</f>
        <v/>
      </c>
      <c r="R118" s="29" t="n">
        <f aca="false">IF(AND($B118&lt;&gt;"",$B118=Statement!$C$6,$M118=Statement!$C$8),1,0)</f>
        <v>0</v>
      </c>
      <c r="S118" s="29" t="str">
        <f aca="false">IF($R118=1,SUM($R$5:$R118),"")</f>
        <v/>
      </c>
    </row>
    <row r="119" customFormat="false" ht="15" hidden="false" customHeight="false" outlineLevel="0" collapsed="false">
      <c r="A119" s="28"/>
      <c r="B119" s="10"/>
      <c r="C119" s="10"/>
      <c r="D119" s="10"/>
      <c r="E119" s="23"/>
      <c r="F119" s="23"/>
      <c r="G119" s="10"/>
      <c r="H119" s="10"/>
      <c r="I119" s="28"/>
      <c r="J119" s="29" t="str">
        <f aca="false">IF(OR($A119="",$B119=""),"",IF(YEAR($A119)=Settings!$C$4,MONTH($A119),""))</f>
        <v/>
      </c>
      <c r="K119" s="29" t="str">
        <f aca="false">IF($A119="","",IF(OR($J119="",$B119=""),0,IF(OR($G119="Won",$H119="Yes"),1,0)))</f>
        <v/>
      </c>
      <c r="L119" s="30" t="str">
        <f aca="false">IF($B119="","",IFERROR(IF(INDEX(Settings!$E$12:$E$21,MATCH($B119,Settings!$B$12:$B$21,0))="Gross margin",N($F119),N($E119)),""))</f>
        <v/>
      </c>
      <c r="M119" s="29" t="str">
        <f aca="false">IF(AND($G119="Cancelled",$H119="Yes",$I119&lt;&gt;""),IF(YEAR($I119)=Settings!$C$4,MONTH($I119),""),"")</f>
        <v/>
      </c>
      <c r="N119" s="31" t="str">
        <f aca="false">IF($M119="","",IFERROR(IF($J119="",IF(INDEX(Settings!$D$12:$D$21,MATCH($B119,Settings!$B$12:$B$21,0))="Tiered",INDEX(Settings!$I$12:$I$21,MATCH($B119,Settings!$B$12:$B$21,0)),INDEX(Settings!$G$12:$G$21,MATCH($B119,Settings!$B$12:$B$21,0))),INDEX(Calculation!$U$6:$U$125,(MATCH($B119,Settings!$B$12:$B$21,0)-1)*12+$J119)),0))</f>
        <v/>
      </c>
      <c r="O119" s="30" t="n">
        <f aca="false">IF($M119="",0,N($L119)*N($N119))</f>
        <v>0</v>
      </c>
      <c r="P119" s="29" t="n">
        <f aca="false">IF(AND($B119&lt;&gt;"",$B119=Statement!$C$6,$J119=Statement!$C$8,$K119=1),1,0)</f>
        <v>0</v>
      </c>
      <c r="Q119" s="29" t="str">
        <f aca="false">IF($P119=1,SUM($P$5:$P119),"")</f>
        <v/>
      </c>
      <c r="R119" s="29" t="n">
        <f aca="false">IF(AND($B119&lt;&gt;"",$B119=Statement!$C$6,$M119=Statement!$C$8),1,0)</f>
        <v>0</v>
      </c>
      <c r="S119" s="29" t="str">
        <f aca="false">IF($R119=1,SUM($R$5:$R119),"")</f>
        <v/>
      </c>
    </row>
    <row r="120" customFormat="false" ht="15" hidden="false" customHeight="false" outlineLevel="0" collapsed="false">
      <c r="A120" s="28"/>
      <c r="B120" s="10"/>
      <c r="C120" s="10"/>
      <c r="D120" s="10"/>
      <c r="E120" s="23"/>
      <c r="F120" s="23"/>
      <c r="G120" s="10"/>
      <c r="H120" s="10"/>
      <c r="I120" s="28"/>
      <c r="J120" s="29" t="str">
        <f aca="false">IF(OR($A120="",$B120=""),"",IF(YEAR($A120)=Settings!$C$4,MONTH($A120),""))</f>
        <v/>
      </c>
      <c r="K120" s="29" t="str">
        <f aca="false">IF($A120="","",IF(OR($J120="",$B120=""),0,IF(OR($G120="Won",$H120="Yes"),1,0)))</f>
        <v/>
      </c>
      <c r="L120" s="30" t="str">
        <f aca="false">IF($B120="","",IFERROR(IF(INDEX(Settings!$E$12:$E$21,MATCH($B120,Settings!$B$12:$B$21,0))="Gross margin",N($F120),N($E120)),""))</f>
        <v/>
      </c>
      <c r="M120" s="29" t="str">
        <f aca="false">IF(AND($G120="Cancelled",$H120="Yes",$I120&lt;&gt;""),IF(YEAR($I120)=Settings!$C$4,MONTH($I120),""),"")</f>
        <v/>
      </c>
      <c r="N120" s="31" t="str">
        <f aca="false">IF($M120="","",IFERROR(IF($J120="",IF(INDEX(Settings!$D$12:$D$21,MATCH($B120,Settings!$B$12:$B$21,0))="Tiered",INDEX(Settings!$I$12:$I$21,MATCH($B120,Settings!$B$12:$B$21,0)),INDEX(Settings!$G$12:$G$21,MATCH($B120,Settings!$B$12:$B$21,0))),INDEX(Calculation!$U$6:$U$125,(MATCH($B120,Settings!$B$12:$B$21,0)-1)*12+$J120)),0))</f>
        <v/>
      </c>
      <c r="O120" s="30" t="n">
        <f aca="false">IF($M120="",0,N($L120)*N($N120))</f>
        <v>0</v>
      </c>
      <c r="P120" s="29" t="n">
        <f aca="false">IF(AND($B120&lt;&gt;"",$B120=Statement!$C$6,$J120=Statement!$C$8,$K120=1),1,0)</f>
        <v>0</v>
      </c>
      <c r="Q120" s="29" t="str">
        <f aca="false">IF($P120=1,SUM($P$5:$P120),"")</f>
        <v/>
      </c>
      <c r="R120" s="29" t="n">
        <f aca="false">IF(AND($B120&lt;&gt;"",$B120=Statement!$C$6,$M120=Statement!$C$8),1,0)</f>
        <v>0</v>
      </c>
      <c r="S120" s="29" t="str">
        <f aca="false">IF($R120=1,SUM($R$5:$R120),"")</f>
        <v/>
      </c>
    </row>
    <row r="121" customFormat="false" ht="15" hidden="false" customHeight="false" outlineLevel="0" collapsed="false">
      <c r="A121" s="28"/>
      <c r="B121" s="10"/>
      <c r="C121" s="10"/>
      <c r="D121" s="10"/>
      <c r="E121" s="23"/>
      <c r="F121" s="23"/>
      <c r="G121" s="10"/>
      <c r="H121" s="10"/>
      <c r="I121" s="28"/>
      <c r="J121" s="29" t="str">
        <f aca="false">IF(OR($A121="",$B121=""),"",IF(YEAR($A121)=Settings!$C$4,MONTH($A121),""))</f>
        <v/>
      </c>
      <c r="K121" s="29" t="str">
        <f aca="false">IF($A121="","",IF(OR($J121="",$B121=""),0,IF(OR($G121="Won",$H121="Yes"),1,0)))</f>
        <v/>
      </c>
      <c r="L121" s="30" t="str">
        <f aca="false">IF($B121="","",IFERROR(IF(INDEX(Settings!$E$12:$E$21,MATCH($B121,Settings!$B$12:$B$21,0))="Gross margin",N($F121),N($E121)),""))</f>
        <v/>
      </c>
      <c r="M121" s="29" t="str">
        <f aca="false">IF(AND($G121="Cancelled",$H121="Yes",$I121&lt;&gt;""),IF(YEAR($I121)=Settings!$C$4,MONTH($I121),""),"")</f>
        <v/>
      </c>
      <c r="N121" s="31" t="str">
        <f aca="false">IF($M121="","",IFERROR(IF($J121="",IF(INDEX(Settings!$D$12:$D$21,MATCH($B121,Settings!$B$12:$B$21,0))="Tiered",INDEX(Settings!$I$12:$I$21,MATCH($B121,Settings!$B$12:$B$21,0)),INDEX(Settings!$G$12:$G$21,MATCH($B121,Settings!$B$12:$B$21,0))),INDEX(Calculation!$U$6:$U$125,(MATCH($B121,Settings!$B$12:$B$21,0)-1)*12+$J121)),0))</f>
        <v/>
      </c>
      <c r="O121" s="30" t="n">
        <f aca="false">IF($M121="",0,N($L121)*N($N121))</f>
        <v>0</v>
      </c>
      <c r="P121" s="29" t="n">
        <f aca="false">IF(AND($B121&lt;&gt;"",$B121=Statement!$C$6,$J121=Statement!$C$8,$K121=1),1,0)</f>
        <v>0</v>
      </c>
      <c r="Q121" s="29" t="str">
        <f aca="false">IF($P121=1,SUM($P$5:$P121),"")</f>
        <v/>
      </c>
      <c r="R121" s="29" t="n">
        <f aca="false">IF(AND($B121&lt;&gt;"",$B121=Statement!$C$6,$M121=Statement!$C$8),1,0)</f>
        <v>0</v>
      </c>
      <c r="S121" s="29" t="str">
        <f aca="false">IF($R121=1,SUM($R$5:$R121),"")</f>
        <v/>
      </c>
    </row>
    <row r="122" customFormat="false" ht="15" hidden="false" customHeight="false" outlineLevel="0" collapsed="false">
      <c r="A122" s="28"/>
      <c r="B122" s="10"/>
      <c r="C122" s="10"/>
      <c r="D122" s="10"/>
      <c r="E122" s="23"/>
      <c r="F122" s="23"/>
      <c r="G122" s="10"/>
      <c r="H122" s="10"/>
      <c r="I122" s="28"/>
      <c r="J122" s="29" t="str">
        <f aca="false">IF(OR($A122="",$B122=""),"",IF(YEAR($A122)=Settings!$C$4,MONTH($A122),""))</f>
        <v/>
      </c>
      <c r="K122" s="29" t="str">
        <f aca="false">IF($A122="","",IF(OR($J122="",$B122=""),0,IF(OR($G122="Won",$H122="Yes"),1,0)))</f>
        <v/>
      </c>
      <c r="L122" s="30" t="str">
        <f aca="false">IF($B122="","",IFERROR(IF(INDEX(Settings!$E$12:$E$21,MATCH($B122,Settings!$B$12:$B$21,0))="Gross margin",N($F122),N($E122)),""))</f>
        <v/>
      </c>
      <c r="M122" s="29" t="str">
        <f aca="false">IF(AND($G122="Cancelled",$H122="Yes",$I122&lt;&gt;""),IF(YEAR($I122)=Settings!$C$4,MONTH($I122),""),"")</f>
        <v/>
      </c>
      <c r="N122" s="31" t="str">
        <f aca="false">IF($M122="","",IFERROR(IF($J122="",IF(INDEX(Settings!$D$12:$D$21,MATCH($B122,Settings!$B$12:$B$21,0))="Tiered",INDEX(Settings!$I$12:$I$21,MATCH($B122,Settings!$B$12:$B$21,0)),INDEX(Settings!$G$12:$G$21,MATCH($B122,Settings!$B$12:$B$21,0))),INDEX(Calculation!$U$6:$U$125,(MATCH($B122,Settings!$B$12:$B$21,0)-1)*12+$J122)),0))</f>
        <v/>
      </c>
      <c r="O122" s="30" t="n">
        <f aca="false">IF($M122="",0,N($L122)*N($N122))</f>
        <v>0</v>
      </c>
      <c r="P122" s="29" t="n">
        <f aca="false">IF(AND($B122&lt;&gt;"",$B122=Statement!$C$6,$J122=Statement!$C$8,$K122=1),1,0)</f>
        <v>0</v>
      </c>
      <c r="Q122" s="29" t="str">
        <f aca="false">IF($P122=1,SUM($P$5:$P122),"")</f>
        <v/>
      </c>
      <c r="R122" s="29" t="n">
        <f aca="false">IF(AND($B122&lt;&gt;"",$B122=Statement!$C$6,$M122=Statement!$C$8),1,0)</f>
        <v>0</v>
      </c>
      <c r="S122" s="29" t="str">
        <f aca="false">IF($R122=1,SUM($R$5:$R122),"")</f>
        <v/>
      </c>
    </row>
    <row r="123" customFormat="false" ht="15" hidden="false" customHeight="false" outlineLevel="0" collapsed="false">
      <c r="A123" s="28"/>
      <c r="B123" s="10"/>
      <c r="C123" s="10"/>
      <c r="D123" s="10"/>
      <c r="E123" s="23"/>
      <c r="F123" s="23"/>
      <c r="G123" s="10"/>
      <c r="H123" s="10"/>
      <c r="I123" s="28"/>
      <c r="J123" s="29" t="str">
        <f aca="false">IF(OR($A123="",$B123=""),"",IF(YEAR($A123)=Settings!$C$4,MONTH($A123),""))</f>
        <v/>
      </c>
      <c r="K123" s="29" t="str">
        <f aca="false">IF($A123="","",IF(OR($J123="",$B123=""),0,IF(OR($G123="Won",$H123="Yes"),1,0)))</f>
        <v/>
      </c>
      <c r="L123" s="30" t="str">
        <f aca="false">IF($B123="","",IFERROR(IF(INDEX(Settings!$E$12:$E$21,MATCH($B123,Settings!$B$12:$B$21,0))="Gross margin",N($F123),N($E123)),""))</f>
        <v/>
      </c>
      <c r="M123" s="29" t="str">
        <f aca="false">IF(AND($G123="Cancelled",$H123="Yes",$I123&lt;&gt;""),IF(YEAR($I123)=Settings!$C$4,MONTH($I123),""),"")</f>
        <v/>
      </c>
      <c r="N123" s="31" t="str">
        <f aca="false">IF($M123="","",IFERROR(IF($J123="",IF(INDEX(Settings!$D$12:$D$21,MATCH($B123,Settings!$B$12:$B$21,0))="Tiered",INDEX(Settings!$I$12:$I$21,MATCH($B123,Settings!$B$12:$B$21,0)),INDEX(Settings!$G$12:$G$21,MATCH($B123,Settings!$B$12:$B$21,0))),INDEX(Calculation!$U$6:$U$125,(MATCH($B123,Settings!$B$12:$B$21,0)-1)*12+$J123)),0))</f>
        <v/>
      </c>
      <c r="O123" s="30" t="n">
        <f aca="false">IF($M123="",0,N($L123)*N($N123))</f>
        <v>0</v>
      </c>
      <c r="P123" s="29" t="n">
        <f aca="false">IF(AND($B123&lt;&gt;"",$B123=Statement!$C$6,$J123=Statement!$C$8,$K123=1),1,0)</f>
        <v>0</v>
      </c>
      <c r="Q123" s="29" t="str">
        <f aca="false">IF($P123=1,SUM($P$5:$P123),"")</f>
        <v/>
      </c>
      <c r="R123" s="29" t="n">
        <f aca="false">IF(AND($B123&lt;&gt;"",$B123=Statement!$C$6,$M123=Statement!$C$8),1,0)</f>
        <v>0</v>
      </c>
      <c r="S123" s="29" t="str">
        <f aca="false">IF($R123=1,SUM($R$5:$R123),"")</f>
        <v/>
      </c>
    </row>
    <row r="124" customFormat="false" ht="15" hidden="false" customHeight="false" outlineLevel="0" collapsed="false">
      <c r="A124" s="28"/>
      <c r="B124" s="10"/>
      <c r="C124" s="10"/>
      <c r="D124" s="10"/>
      <c r="E124" s="23"/>
      <c r="F124" s="23"/>
      <c r="G124" s="10"/>
      <c r="H124" s="10"/>
      <c r="I124" s="28"/>
      <c r="J124" s="29" t="str">
        <f aca="false">IF(OR($A124="",$B124=""),"",IF(YEAR($A124)=Settings!$C$4,MONTH($A124),""))</f>
        <v/>
      </c>
      <c r="K124" s="29" t="str">
        <f aca="false">IF($A124="","",IF(OR($J124="",$B124=""),0,IF(OR($G124="Won",$H124="Yes"),1,0)))</f>
        <v/>
      </c>
      <c r="L124" s="30" t="str">
        <f aca="false">IF($B124="","",IFERROR(IF(INDEX(Settings!$E$12:$E$21,MATCH($B124,Settings!$B$12:$B$21,0))="Gross margin",N($F124),N($E124)),""))</f>
        <v/>
      </c>
      <c r="M124" s="29" t="str">
        <f aca="false">IF(AND($G124="Cancelled",$H124="Yes",$I124&lt;&gt;""),IF(YEAR($I124)=Settings!$C$4,MONTH($I124),""),"")</f>
        <v/>
      </c>
      <c r="N124" s="31" t="str">
        <f aca="false">IF($M124="","",IFERROR(IF($J124="",IF(INDEX(Settings!$D$12:$D$21,MATCH($B124,Settings!$B$12:$B$21,0))="Tiered",INDEX(Settings!$I$12:$I$21,MATCH($B124,Settings!$B$12:$B$21,0)),INDEX(Settings!$G$12:$G$21,MATCH($B124,Settings!$B$12:$B$21,0))),INDEX(Calculation!$U$6:$U$125,(MATCH($B124,Settings!$B$12:$B$21,0)-1)*12+$J124)),0))</f>
        <v/>
      </c>
      <c r="O124" s="30" t="n">
        <f aca="false">IF($M124="",0,N($L124)*N($N124))</f>
        <v>0</v>
      </c>
      <c r="P124" s="29" t="n">
        <f aca="false">IF(AND($B124&lt;&gt;"",$B124=Statement!$C$6,$J124=Statement!$C$8,$K124=1),1,0)</f>
        <v>0</v>
      </c>
      <c r="Q124" s="29" t="str">
        <f aca="false">IF($P124=1,SUM($P$5:$P124),"")</f>
        <v/>
      </c>
      <c r="R124" s="29" t="n">
        <f aca="false">IF(AND($B124&lt;&gt;"",$B124=Statement!$C$6,$M124=Statement!$C$8),1,0)</f>
        <v>0</v>
      </c>
      <c r="S124" s="29" t="str">
        <f aca="false">IF($R124=1,SUM($R$5:$R124),"")</f>
        <v/>
      </c>
    </row>
    <row r="125" customFormat="false" ht="15" hidden="false" customHeight="false" outlineLevel="0" collapsed="false">
      <c r="A125" s="28"/>
      <c r="B125" s="10"/>
      <c r="C125" s="10"/>
      <c r="D125" s="10"/>
      <c r="E125" s="23"/>
      <c r="F125" s="23"/>
      <c r="G125" s="10"/>
      <c r="H125" s="10"/>
      <c r="I125" s="28"/>
      <c r="J125" s="29" t="str">
        <f aca="false">IF(OR($A125="",$B125=""),"",IF(YEAR($A125)=Settings!$C$4,MONTH($A125),""))</f>
        <v/>
      </c>
      <c r="K125" s="29" t="str">
        <f aca="false">IF($A125="","",IF(OR($J125="",$B125=""),0,IF(OR($G125="Won",$H125="Yes"),1,0)))</f>
        <v/>
      </c>
      <c r="L125" s="30" t="str">
        <f aca="false">IF($B125="","",IFERROR(IF(INDEX(Settings!$E$12:$E$21,MATCH($B125,Settings!$B$12:$B$21,0))="Gross margin",N($F125),N($E125)),""))</f>
        <v/>
      </c>
      <c r="M125" s="29" t="str">
        <f aca="false">IF(AND($G125="Cancelled",$H125="Yes",$I125&lt;&gt;""),IF(YEAR($I125)=Settings!$C$4,MONTH($I125),""),"")</f>
        <v/>
      </c>
      <c r="N125" s="31" t="str">
        <f aca="false">IF($M125="","",IFERROR(IF($J125="",IF(INDEX(Settings!$D$12:$D$21,MATCH($B125,Settings!$B$12:$B$21,0))="Tiered",INDEX(Settings!$I$12:$I$21,MATCH($B125,Settings!$B$12:$B$21,0)),INDEX(Settings!$G$12:$G$21,MATCH($B125,Settings!$B$12:$B$21,0))),INDEX(Calculation!$U$6:$U$125,(MATCH($B125,Settings!$B$12:$B$21,0)-1)*12+$J125)),0))</f>
        <v/>
      </c>
      <c r="O125" s="30" t="n">
        <f aca="false">IF($M125="",0,N($L125)*N($N125))</f>
        <v>0</v>
      </c>
      <c r="P125" s="29" t="n">
        <f aca="false">IF(AND($B125&lt;&gt;"",$B125=Statement!$C$6,$J125=Statement!$C$8,$K125=1),1,0)</f>
        <v>0</v>
      </c>
      <c r="Q125" s="29" t="str">
        <f aca="false">IF($P125=1,SUM($P$5:$P125),"")</f>
        <v/>
      </c>
      <c r="R125" s="29" t="n">
        <f aca="false">IF(AND($B125&lt;&gt;"",$B125=Statement!$C$6,$M125=Statement!$C$8),1,0)</f>
        <v>0</v>
      </c>
      <c r="S125" s="29" t="str">
        <f aca="false">IF($R125=1,SUM($R$5:$R125),"")</f>
        <v/>
      </c>
    </row>
    <row r="126" customFormat="false" ht="15" hidden="false" customHeight="false" outlineLevel="0" collapsed="false">
      <c r="A126" s="28"/>
      <c r="B126" s="10"/>
      <c r="C126" s="10"/>
      <c r="D126" s="10"/>
      <c r="E126" s="23"/>
      <c r="F126" s="23"/>
      <c r="G126" s="10"/>
      <c r="H126" s="10"/>
      <c r="I126" s="28"/>
      <c r="J126" s="29" t="str">
        <f aca="false">IF(OR($A126="",$B126=""),"",IF(YEAR($A126)=Settings!$C$4,MONTH($A126),""))</f>
        <v/>
      </c>
      <c r="K126" s="29" t="str">
        <f aca="false">IF($A126="","",IF(OR($J126="",$B126=""),0,IF(OR($G126="Won",$H126="Yes"),1,0)))</f>
        <v/>
      </c>
      <c r="L126" s="30" t="str">
        <f aca="false">IF($B126="","",IFERROR(IF(INDEX(Settings!$E$12:$E$21,MATCH($B126,Settings!$B$12:$B$21,0))="Gross margin",N($F126),N($E126)),""))</f>
        <v/>
      </c>
      <c r="M126" s="29" t="str">
        <f aca="false">IF(AND($G126="Cancelled",$H126="Yes",$I126&lt;&gt;""),IF(YEAR($I126)=Settings!$C$4,MONTH($I126),""),"")</f>
        <v/>
      </c>
      <c r="N126" s="31" t="str">
        <f aca="false">IF($M126="","",IFERROR(IF($J126="",IF(INDEX(Settings!$D$12:$D$21,MATCH($B126,Settings!$B$12:$B$21,0))="Tiered",INDEX(Settings!$I$12:$I$21,MATCH($B126,Settings!$B$12:$B$21,0)),INDEX(Settings!$G$12:$G$21,MATCH($B126,Settings!$B$12:$B$21,0))),INDEX(Calculation!$U$6:$U$125,(MATCH($B126,Settings!$B$12:$B$21,0)-1)*12+$J126)),0))</f>
        <v/>
      </c>
      <c r="O126" s="30" t="n">
        <f aca="false">IF($M126="",0,N($L126)*N($N126))</f>
        <v>0</v>
      </c>
      <c r="P126" s="29" t="n">
        <f aca="false">IF(AND($B126&lt;&gt;"",$B126=Statement!$C$6,$J126=Statement!$C$8,$K126=1),1,0)</f>
        <v>0</v>
      </c>
      <c r="Q126" s="29" t="str">
        <f aca="false">IF($P126=1,SUM($P$5:$P126),"")</f>
        <v/>
      </c>
      <c r="R126" s="29" t="n">
        <f aca="false">IF(AND($B126&lt;&gt;"",$B126=Statement!$C$6,$M126=Statement!$C$8),1,0)</f>
        <v>0</v>
      </c>
      <c r="S126" s="29" t="str">
        <f aca="false">IF($R126=1,SUM($R$5:$R126),"")</f>
        <v/>
      </c>
    </row>
    <row r="127" customFormat="false" ht="15" hidden="false" customHeight="false" outlineLevel="0" collapsed="false">
      <c r="A127" s="28"/>
      <c r="B127" s="10"/>
      <c r="C127" s="10"/>
      <c r="D127" s="10"/>
      <c r="E127" s="23"/>
      <c r="F127" s="23"/>
      <c r="G127" s="10"/>
      <c r="H127" s="10"/>
      <c r="I127" s="28"/>
      <c r="J127" s="29" t="str">
        <f aca="false">IF(OR($A127="",$B127=""),"",IF(YEAR($A127)=Settings!$C$4,MONTH($A127),""))</f>
        <v/>
      </c>
      <c r="K127" s="29" t="str">
        <f aca="false">IF($A127="","",IF(OR($J127="",$B127=""),0,IF(OR($G127="Won",$H127="Yes"),1,0)))</f>
        <v/>
      </c>
      <c r="L127" s="30" t="str">
        <f aca="false">IF($B127="","",IFERROR(IF(INDEX(Settings!$E$12:$E$21,MATCH($B127,Settings!$B$12:$B$21,0))="Gross margin",N($F127),N($E127)),""))</f>
        <v/>
      </c>
      <c r="M127" s="29" t="str">
        <f aca="false">IF(AND($G127="Cancelled",$H127="Yes",$I127&lt;&gt;""),IF(YEAR($I127)=Settings!$C$4,MONTH($I127),""),"")</f>
        <v/>
      </c>
      <c r="N127" s="31" t="str">
        <f aca="false">IF($M127="","",IFERROR(IF($J127="",IF(INDEX(Settings!$D$12:$D$21,MATCH($B127,Settings!$B$12:$B$21,0))="Tiered",INDEX(Settings!$I$12:$I$21,MATCH($B127,Settings!$B$12:$B$21,0)),INDEX(Settings!$G$12:$G$21,MATCH($B127,Settings!$B$12:$B$21,0))),INDEX(Calculation!$U$6:$U$125,(MATCH($B127,Settings!$B$12:$B$21,0)-1)*12+$J127)),0))</f>
        <v/>
      </c>
      <c r="O127" s="30" t="n">
        <f aca="false">IF($M127="",0,N($L127)*N($N127))</f>
        <v>0</v>
      </c>
      <c r="P127" s="29" t="n">
        <f aca="false">IF(AND($B127&lt;&gt;"",$B127=Statement!$C$6,$J127=Statement!$C$8,$K127=1),1,0)</f>
        <v>0</v>
      </c>
      <c r="Q127" s="29" t="str">
        <f aca="false">IF($P127=1,SUM($P$5:$P127),"")</f>
        <v/>
      </c>
      <c r="R127" s="29" t="n">
        <f aca="false">IF(AND($B127&lt;&gt;"",$B127=Statement!$C$6,$M127=Statement!$C$8),1,0)</f>
        <v>0</v>
      </c>
      <c r="S127" s="29" t="str">
        <f aca="false">IF($R127=1,SUM($R$5:$R127),"")</f>
        <v/>
      </c>
    </row>
    <row r="128" customFormat="false" ht="15" hidden="false" customHeight="false" outlineLevel="0" collapsed="false">
      <c r="A128" s="28"/>
      <c r="B128" s="10"/>
      <c r="C128" s="10"/>
      <c r="D128" s="10"/>
      <c r="E128" s="23"/>
      <c r="F128" s="23"/>
      <c r="G128" s="10"/>
      <c r="H128" s="10"/>
      <c r="I128" s="28"/>
      <c r="J128" s="29" t="str">
        <f aca="false">IF(OR($A128="",$B128=""),"",IF(YEAR($A128)=Settings!$C$4,MONTH($A128),""))</f>
        <v/>
      </c>
      <c r="K128" s="29" t="str">
        <f aca="false">IF($A128="","",IF(OR($J128="",$B128=""),0,IF(OR($G128="Won",$H128="Yes"),1,0)))</f>
        <v/>
      </c>
      <c r="L128" s="30" t="str">
        <f aca="false">IF($B128="","",IFERROR(IF(INDEX(Settings!$E$12:$E$21,MATCH($B128,Settings!$B$12:$B$21,0))="Gross margin",N($F128),N($E128)),""))</f>
        <v/>
      </c>
      <c r="M128" s="29" t="str">
        <f aca="false">IF(AND($G128="Cancelled",$H128="Yes",$I128&lt;&gt;""),IF(YEAR($I128)=Settings!$C$4,MONTH($I128),""),"")</f>
        <v/>
      </c>
      <c r="N128" s="31" t="str">
        <f aca="false">IF($M128="","",IFERROR(IF($J128="",IF(INDEX(Settings!$D$12:$D$21,MATCH($B128,Settings!$B$12:$B$21,0))="Tiered",INDEX(Settings!$I$12:$I$21,MATCH($B128,Settings!$B$12:$B$21,0)),INDEX(Settings!$G$12:$G$21,MATCH($B128,Settings!$B$12:$B$21,0))),INDEX(Calculation!$U$6:$U$125,(MATCH($B128,Settings!$B$12:$B$21,0)-1)*12+$J128)),0))</f>
        <v/>
      </c>
      <c r="O128" s="30" t="n">
        <f aca="false">IF($M128="",0,N($L128)*N($N128))</f>
        <v>0</v>
      </c>
      <c r="P128" s="29" t="n">
        <f aca="false">IF(AND($B128&lt;&gt;"",$B128=Statement!$C$6,$J128=Statement!$C$8,$K128=1),1,0)</f>
        <v>0</v>
      </c>
      <c r="Q128" s="29" t="str">
        <f aca="false">IF($P128=1,SUM($P$5:$P128),"")</f>
        <v/>
      </c>
      <c r="R128" s="29" t="n">
        <f aca="false">IF(AND($B128&lt;&gt;"",$B128=Statement!$C$6,$M128=Statement!$C$8),1,0)</f>
        <v>0</v>
      </c>
      <c r="S128" s="29" t="str">
        <f aca="false">IF($R128=1,SUM($R$5:$R128),"")</f>
        <v/>
      </c>
    </row>
    <row r="129" customFormat="false" ht="15" hidden="false" customHeight="false" outlineLevel="0" collapsed="false">
      <c r="A129" s="28"/>
      <c r="B129" s="10"/>
      <c r="C129" s="10"/>
      <c r="D129" s="10"/>
      <c r="E129" s="23"/>
      <c r="F129" s="23"/>
      <c r="G129" s="10"/>
      <c r="H129" s="10"/>
      <c r="I129" s="28"/>
      <c r="J129" s="29" t="str">
        <f aca="false">IF(OR($A129="",$B129=""),"",IF(YEAR($A129)=Settings!$C$4,MONTH($A129),""))</f>
        <v/>
      </c>
      <c r="K129" s="29" t="str">
        <f aca="false">IF($A129="","",IF(OR($J129="",$B129=""),0,IF(OR($G129="Won",$H129="Yes"),1,0)))</f>
        <v/>
      </c>
      <c r="L129" s="30" t="str">
        <f aca="false">IF($B129="","",IFERROR(IF(INDEX(Settings!$E$12:$E$21,MATCH($B129,Settings!$B$12:$B$21,0))="Gross margin",N($F129),N($E129)),""))</f>
        <v/>
      </c>
      <c r="M129" s="29" t="str">
        <f aca="false">IF(AND($G129="Cancelled",$H129="Yes",$I129&lt;&gt;""),IF(YEAR($I129)=Settings!$C$4,MONTH($I129),""),"")</f>
        <v/>
      </c>
      <c r="N129" s="31" t="str">
        <f aca="false">IF($M129="","",IFERROR(IF($J129="",IF(INDEX(Settings!$D$12:$D$21,MATCH($B129,Settings!$B$12:$B$21,0))="Tiered",INDEX(Settings!$I$12:$I$21,MATCH($B129,Settings!$B$12:$B$21,0)),INDEX(Settings!$G$12:$G$21,MATCH($B129,Settings!$B$12:$B$21,0))),INDEX(Calculation!$U$6:$U$125,(MATCH($B129,Settings!$B$12:$B$21,0)-1)*12+$J129)),0))</f>
        <v/>
      </c>
      <c r="O129" s="30" t="n">
        <f aca="false">IF($M129="",0,N($L129)*N($N129))</f>
        <v>0</v>
      </c>
      <c r="P129" s="29" t="n">
        <f aca="false">IF(AND($B129&lt;&gt;"",$B129=Statement!$C$6,$J129=Statement!$C$8,$K129=1),1,0)</f>
        <v>0</v>
      </c>
      <c r="Q129" s="29" t="str">
        <f aca="false">IF($P129=1,SUM($P$5:$P129),"")</f>
        <v/>
      </c>
      <c r="R129" s="29" t="n">
        <f aca="false">IF(AND($B129&lt;&gt;"",$B129=Statement!$C$6,$M129=Statement!$C$8),1,0)</f>
        <v>0</v>
      </c>
      <c r="S129" s="29" t="str">
        <f aca="false">IF($R129=1,SUM($R$5:$R129),"")</f>
        <v/>
      </c>
    </row>
    <row r="130" customFormat="false" ht="15" hidden="false" customHeight="false" outlineLevel="0" collapsed="false">
      <c r="A130" s="28"/>
      <c r="B130" s="10"/>
      <c r="C130" s="10"/>
      <c r="D130" s="10"/>
      <c r="E130" s="23"/>
      <c r="F130" s="23"/>
      <c r="G130" s="10"/>
      <c r="H130" s="10"/>
      <c r="I130" s="28"/>
      <c r="J130" s="29" t="str">
        <f aca="false">IF(OR($A130="",$B130=""),"",IF(YEAR($A130)=Settings!$C$4,MONTH($A130),""))</f>
        <v/>
      </c>
      <c r="K130" s="29" t="str">
        <f aca="false">IF($A130="","",IF(OR($J130="",$B130=""),0,IF(OR($G130="Won",$H130="Yes"),1,0)))</f>
        <v/>
      </c>
      <c r="L130" s="30" t="str">
        <f aca="false">IF($B130="","",IFERROR(IF(INDEX(Settings!$E$12:$E$21,MATCH($B130,Settings!$B$12:$B$21,0))="Gross margin",N($F130),N($E130)),""))</f>
        <v/>
      </c>
      <c r="M130" s="29" t="str">
        <f aca="false">IF(AND($G130="Cancelled",$H130="Yes",$I130&lt;&gt;""),IF(YEAR($I130)=Settings!$C$4,MONTH($I130),""),"")</f>
        <v/>
      </c>
      <c r="N130" s="31" t="str">
        <f aca="false">IF($M130="","",IFERROR(IF($J130="",IF(INDEX(Settings!$D$12:$D$21,MATCH($B130,Settings!$B$12:$B$21,0))="Tiered",INDEX(Settings!$I$12:$I$21,MATCH($B130,Settings!$B$12:$B$21,0)),INDEX(Settings!$G$12:$G$21,MATCH($B130,Settings!$B$12:$B$21,0))),INDEX(Calculation!$U$6:$U$125,(MATCH($B130,Settings!$B$12:$B$21,0)-1)*12+$J130)),0))</f>
        <v/>
      </c>
      <c r="O130" s="30" t="n">
        <f aca="false">IF($M130="",0,N($L130)*N($N130))</f>
        <v>0</v>
      </c>
      <c r="P130" s="29" t="n">
        <f aca="false">IF(AND($B130&lt;&gt;"",$B130=Statement!$C$6,$J130=Statement!$C$8,$K130=1),1,0)</f>
        <v>0</v>
      </c>
      <c r="Q130" s="29" t="str">
        <f aca="false">IF($P130=1,SUM($P$5:$P130),"")</f>
        <v/>
      </c>
      <c r="R130" s="29" t="n">
        <f aca="false">IF(AND($B130&lt;&gt;"",$B130=Statement!$C$6,$M130=Statement!$C$8),1,0)</f>
        <v>0</v>
      </c>
      <c r="S130" s="29" t="str">
        <f aca="false">IF($R130=1,SUM($R$5:$R130),"")</f>
        <v/>
      </c>
    </row>
    <row r="131" customFormat="false" ht="15" hidden="false" customHeight="false" outlineLevel="0" collapsed="false">
      <c r="A131" s="28"/>
      <c r="B131" s="10"/>
      <c r="C131" s="10"/>
      <c r="D131" s="10"/>
      <c r="E131" s="23"/>
      <c r="F131" s="23"/>
      <c r="G131" s="10"/>
      <c r="H131" s="10"/>
      <c r="I131" s="28"/>
      <c r="J131" s="29" t="str">
        <f aca="false">IF(OR($A131="",$B131=""),"",IF(YEAR($A131)=Settings!$C$4,MONTH($A131),""))</f>
        <v/>
      </c>
      <c r="K131" s="29" t="str">
        <f aca="false">IF($A131="","",IF(OR($J131="",$B131=""),0,IF(OR($G131="Won",$H131="Yes"),1,0)))</f>
        <v/>
      </c>
      <c r="L131" s="30" t="str">
        <f aca="false">IF($B131="","",IFERROR(IF(INDEX(Settings!$E$12:$E$21,MATCH($B131,Settings!$B$12:$B$21,0))="Gross margin",N($F131),N($E131)),""))</f>
        <v/>
      </c>
      <c r="M131" s="29" t="str">
        <f aca="false">IF(AND($G131="Cancelled",$H131="Yes",$I131&lt;&gt;""),IF(YEAR($I131)=Settings!$C$4,MONTH($I131),""),"")</f>
        <v/>
      </c>
      <c r="N131" s="31" t="str">
        <f aca="false">IF($M131="","",IFERROR(IF($J131="",IF(INDEX(Settings!$D$12:$D$21,MATCH($B131,Settings!$B$12:$B$21,0))="Tiered",INDEX(Settings!$I$12:$I$21,MATCH($B131,Settings!$B$12:$B$21,0)),INDEX(Settings!$G$12:$G$21,MATCH($B131,Settings!$B$12:$B$21,0))),INDEX(Calculation!$U$6:$U$125,(MATCH($B131,Settings!$B$12:$B$21,0)-1)*12+$J131)),0))</f>
        <v/>
      </c>
      <c r="O131" s="30" t="n">
        <f aca="false">IF($M131="",0,N($L131)*N($N131))</f>
        <v>0</v>
      </c>
      <c r="P131" s="29" t="n">
        <f aca="false">IF(AND($B131&lt;&gt;"",$B131=Statement!$C$6,$J131=Statement!$C$8,$K131=1),1,0)</f>
        <v>0</v>
      </c>
      <c r="Q131" s="29" t="str">
        <f aca="false">IF($P131=1,SUM($P$5:$P131),"")</f>
        <v/>
      </c>
      <c r="R131" s="29" t="n">
        <f aca="false">IF(AND($B131&lt;&gt;"",$B131=Statement!$C$6,$M131=Statement!$C$8),1,0)</f>
        <v>0</v>
      </c>
      <c r="S131" s="29" t="str">
        <f aca="false">IF($R131=1,SUM($R$5:$R131),"")</f>
        <v/>
      </c>
    </row>
    <row r="132" customFormat="false" ht="15" hidden="false" customHeight="false" outlineLevel="0" collapsed="false">
      <c r="A132" s="28"/>
      <c r="B132" s="10"/>
      <c r="C132" s="10"/>
      <c r="D132" s="10"/>
      <c r="E132" s="23"/>
      <c r="F132" s="23"/>
      <c r="G132" s="10"/>
      <c r="H132" s="10"/>
      <c r="I132" s="28"/>
      <c r="J132" s="29" t="str">
        <f aca="false">IF(OR($A132="",$B132=""),"",IF(YEAR($A132)=Settings!$C$4,MONTH($A132),""))</f>
        <v/>
      </c>
      <c r="K132" s="29" t="str">
        <f aca="false">IF($A132="","",IF(OR($J132="",$B132=""),0,IF(OR($G132="Won",$H132="Yes"),1,0)))</f>
        <v/>
      </c>
      <c r="L132" s="30" t="str">
        <f aca="false">IF($B132="","",IFERROR(IF(INDEX(Settings!$E$12:$E$21,MATCH($B132,Settings!$B$12:$B$21,0))="Gross margin",N($F132),N($E132)),""))</f>
        <v/>
      </c>
      <c r="M132" s="29" t="str">
        <f aca="false">IF(AND($G132="Cancelled",$H132="Yes",$I132&lt;&gt;""),IF(YEAR($I132)=Settings!$C$4,MONTH($I132),""),"")</f>
        <v/>
      </c>
      <c r="N132" s="31" t="str">
        <f aca="false">IF($M132="","",IFERROR(IF($J132="",IF(INDEX(Settings!$D$12:$D$21,MATCH($B132,Settings!$B$12:$B$21,0))="Tiered",INDEX(Settings!$I$12:$I$21,MATCH($B132,Settings!$B$12:$B$21,0)),INDEX(Settings!$G$12:$G$21,MATCH($B132,Settings!$B$12:$B$21,0))),INDEX(Calculation!$U$6:$U$125,(MATCH($B132,Settings!$B$12:$B$21,0)-1)*12+$J132)),0))</f>
        <v/>
      </c>
      <c r="O132" s="30" t="n">
        <f aca="false">IF($M132="",0,N($L132)*N($N132))</f>
        <v>0</v>
      </c>
      <c r="P132" s="29" t="n">
        <f aca="false">IF(AND($B132&lt;&gt;"",$B132=Statement!$C$6,$J132=Statement!$C$8,$K132=1),1,0)</f>
        <v>0</v>
      </c>
      <c r="Q132" s="29" t="str">
        <f aca="false">IF($P132=1,SUM($P$5:$P132),"")</f>
        <v/>
      </c>
      <c r="R132" s="29" t="n">
        <f aca="false">IF(AND($B132&lt;&gt;"",$B132=Statement!$C$6,$M132=Statement!$C$8),1,0)</f>
        <v>0</v>
      </c>
      <c r="S132" s="29" t="str">
        <f aca="false">IF($R132=1,SUM($R$5:$R132),"")</f>
        <v/>
      </c>
    </row>
    <row r="133" customFormat="false" ht="15" hidden="false" customHeight="false" outlineLevel="0" collapsed="false">
      <c r="A133" s="28"/>
      <c r="B133" s="10"/>
      <c r="C133" s="10"/>
      <c r="D133" s="10"/>
      <c r="E133" s="23"/>
      <c r="F133" s="23"/>
      <c r="G133" s="10"/>
      <c r="H133" s="10"/>
      <c r="I133" s="28"/>
      <c r="J133" s="29" t="str">
        <f aca="false">IF(OR($A133="",$B133=""),"",IF(YEAR($A133)=Settings!$C$4,MONTH($A133),""))</f>
        <v/>
      </c>
      <c r="K133" s="29" t="str">
        <f aca="false">IF($A133="","",IF(OR($J133="",$B133=""),0,IF(OR($G133="Won",$H133="Yes"),1,0)))</f>
        <v/>
      </c>
      <c r="L133" s="30" t="str">
        <f aca="false">IF($B133="","",IFERROR(IF(INDEX(Settings!$E$12:$E$21,MATCH($B133,Settings!$B$12:$B$21,0))="Gross margin",N($F133),N($E133)),""))</f>
        <v/>
      </c>
      <c r="M133" s="29" t="str">
        <f aca="false">IF(AND($G133="Cancelled",$H133="Yes",$I133&lt;&gt;""),IF(YEAR($I133)=Settings!$C$4,MONTH($I133),""),"")</f>
        <v/>
      </c>
      <c r="N133" s="31" t="str">
        <f aca="false">IF($M133="","",IFERROR(IF($J133="",IF(INDEX(Settings!$D$12:$D$21,MATCH($B133,Settings!$B$12:$B$21,0))="Tiered",INDEX(Settings!$I$12:$I$21,MATCH($B133,Settings!$B$12:$B$21,0)),INDEX(Settings!$G$12:$G$21,MATCH($B133,Settings!$B$12:$B$21,0))),INDEX(Calculation!$U$6:$U$125,(MATCH($B133,Settings!$B$12:$B$21,0)-1)*12+$J133)),0))</f>
        <v/>
      </c>
      <c r="O133" s="30" t="n">
        <f aca="false">IF($M133="",0,N($L133)*N($N133))</f>
        <v>0</v>
      </c>
      <c r="P133" s="29" t="n">
        <f aca="false">IF(AND($B133&lt;&gt;"",$B133=Statement!$C$6,$J133=Statement!$C$8,$K133=1),1,0)</f>
        <v>0</v>
      </c>
      <c r="Q133" s="29" t="str">
        <f aca="false">IF($P133=1,SUM($P$5:$P133),"")</f>
        <v/>
      </c>
      <c r="R133" s="29" t="n">
        <f aca="false">IF(AND($B133&lt;&gt;"",$B133=Statement!$C$6,$M133=Statement!$C$8),1,0)</f>
        <v>0</v>
      </c>
      <c r="S133" s="29" t="str">
        <f aca="false">IF($R133=1,SUM($R$5:$R133),"")</f>
        <v/>
      </c>
    </row>
    <row r="134" customFormat="false" ht="15" hidden="false" customHeight="false" outlineLevel="0" collapsed="false">
      <c r="A134" s="28"/>
      <c r="B134" s="10"/>
      <c r="C134" s="10"/>
      <c r="D134" s="10"/>
      <c r="E134" s="23"/>
      <c r="F134" s="23"/>
      <c r="G134" s="10"/>
      <c r="H134" s="10"/>
      <c r="I134" s="28"/>
      <c r="J134" s="29" t="str">
        <f aca="false">IF(OR($A134="",$B134=""),"",IF(YEAR($A134)=Settings!$C$4,MONTH($A134),""))</f>
        <v/>
      </c>
      <c r="K134" s="29" t="str">
        <f aca="false">IF($A134="","",IF(OR($J134="",$B134=""),0,IF(OR($G134="Won",$H134="Yes"),1,0)))</f>
        <v/>
      </c>
      <c r="L134" s="30" t="str">
        <f aca="false">IF($B134="","",IFERROR(IF(INDEX(Settings!$E$12:$E$21,MATCH($B134,Settings!$B$12:$B$21,0))="Gross margin",N($F134),N($E134)),""))</f>
        <v/>
      </c>
      <c r="M134" s="29" t="str">
        <f aca="false">IF(AND($G134="Cancelled",$H134="Yes",$I134&lt;&gt;""),IF(YEAR($I134)=Settings!$C$4,MONTH($I134),""),"")</f>
        <v/>
      </c>
      <c r="N134" s="31" t="str">
        <f aca="false">IF($M134="","",IFERROR(IF($J134="",IF(INDEX(Settings!$D$12:$D$21,MATCH($B134,Settings!$B$12:$B$21,0))="Tiered",INDEX(Settings!$I$12:$I$21,MATCH($B134,Settings!$B$12:$B$21,0)),INDEX(Settings!$G$12:$G$21,MATCH($B134,Settings!$B$12:$B$21,0))),INDEX(Calculation!$U$6:$U$125,(MATCH($B134,Settings!$B$12:$B$21,0)-1)*12+$J134)),0))</f>
        <v/>
      </c>
      <c r="O134" s="30" t="n">
        <f aca="false">IF($M134="",0,N($L134)*N($N134))</f>
        <v>0</v>
      </c>
      <c r="P134" s="29" t="n">
        <f aca="false">IF(AND($B134&lt;&gt;"",$B134=Statement!$C$6,$J134=Statement!$C$8,$K134=1),1,0)</f>
        <v>0</v>
      </c>
      <c r="Q134" s="29" t="str">
        <f aca="false">IF($P134=1,SUM($P$5:$P134),"")</f>
        <v/>
      </c>
      <c r="R134" s="29" t="n">
        <f aca="false">IF(AND($B134&lt;&gt;"",$B134=Statement!$C$6,$M134=Statement!$C$8),1,0)</f>
        <v>0</v>
      </c>
      <c r="S134" s="29" t="str">
        <f aca="false">IF($R134=1,SUM($R$5:$R134),"")</f>
        <v/>
      </c>
    </row>
    <row r="135" customFormat="false" ht="15" hidden="false" customHeight="false" outlineLevel="0" collapsed="false">
      <c r="A135" s="28"/>
      <c r="B135" s="10"/>
      <c r="C135" s="10"/>
      <c r="D135" s="10"/>
      <c r="E135" s="23"/>
      <c r="F135" s="23"/>
      <c r="G135" s="10"/>
      <c r="H135" s="10"/>
      <c r="I135" s="28"/>
      <c r="J135" s="29" t="str">
        <f aca="false">IF(OR($A135="",$B135=""),"",IF(YEAR($A135)=Settings!$C$4,MONTH($A135),""))</f>
        <v/>
      </c>
      <c r="K135" s="29" t="str">
        <f aca="false">IF($A135="","",IF(OR($J135="",$B135=""),0,IF(OR($G135="Won",$H135="Yes"),1,0)))</f>
        <v/>
      </c>
      <c r="L135" s="30" t="str">
        <f aca="false">IF($B135="","",IFERROR(IF(INDEX(Settings!$E$12:$E$21,MATCH($B135,Settings!$B$12:$B$21,0))="Gross margin",N($F135),N($E135)),""))</f>
        <v/>
      </c>
      <c r="M135" s="29" t="str">
        <f aca="false">IF(AND($G135="Cancelled",$H135="Yes",$I135&lt;&gt;""),IF(YEAR($I135)=Settings!$C$4,MONTH($I135),""),"")</f>
        <v/>
      </c>
      <c r="N135" s="31" t="str">
        <f aca="false">IF($M135="","",IFERROR(IF($J135="",IF(INDEX(Settings!$D$12:$D$21,MATCH($B135,Settings!$B$12:$B$21,0))="Tiered",INDEX(Settings!$I$12:$I$21,MATCH($B135,Settings!$B$12:$B$21,0)),INDEX(Settings!$G$12:$G$21,MATCH($B135,Settings!$B$12:$B$21,0))),INDEX(Calculation!$U$6:$U$125,(MATCH($B135,Settings!$B$12:$B$21,0)-1)*12+$J135)),0))</f>
        <v/>
      </c>
      <c r="O135" s="30" t="n">
        <f aca="false">IF($M135="",0,N($L135)*N($N135))</f>
        <v>0</v>
      </c>
      <c r="P135" s="29" t="n">
        <f aca="false">IF(AND($B135&lt;&gt;"",$B135=Statement!$C$6,$J135=Statement!$C$8,$K135=1),1,0)</f>
        <v>0</v>
      </c>
      <c r="Q135" s="29" t="str">
        <f aca="false">IF($P135=1,SUM($P$5:$P135),"")</f>
        <v/>
      </c>
      <c r="R135" s="29" t="n">
        <f aca="false">IF(AND($B135&lt;&gt;"",$B135=Statement!$C$6,$M135=Statement!$C$8),1,0)</f>
        <v>0</v>
      </c>
      <c r="S135" s="29" t="str">
        <f aca="false">IF($R135=1,SUM($R$5:$R135),"")</f>
        <v/>
      </c>
    </row>
    <row r="136" customFormat="false" ht="15" hidden="false" customHeight="false" outlineLevel="0" collapsed="false">
      <c r="A136" s="28"/>
      <c r="B136" s="10"/>
      <c r="C136" s="10"/>
      <c r="D136" s="10"/>
      <c r="E136" s="23"/>
      <c r="F136" s="23"/>
      <c r="G136" s="10"/>
      <c r="H136" s="10"/>
      <c r="I136" s="28"/>
      <c r="J136" s="29" t="str">
        <f aca="false">IF(OR($A136="",$B136=""),"",IF(YEAR($A136)=Settings!$C$4,MONTH($A136),""))</f>
        <v/>
      </c>
      <c r="K136" s="29" t="str">
        <f aca="false">IF($A136="","",IF(OR($J136="",$B136=""),0,IF(OR($G136="Won",$H136="Yes"),1,0)))</f>
        <v/>
      </c>
      <c r="L136" s="30" t="str">
        <f aca="false">IF($B136="","",IFERROR(IF(INDEX(Settings!$E$12:$E$21,MATCH($B136,Settings!$B$12:$B$21,0))="Gross margin",N($F136),N($E136)),""))</f>
        <v/>
      </c>
      <c r="M136" s="29" t="str">
        <f aca="false">IF(AND($G136="Cancelled",$H136="Yes",$I136&lt;&gt;""),IF(YEAR($I136)=Settings!$C$4,MONTH($I136),""),"")</f>
        <v/>
      </c>
      <c r="N136" s="31" t="str">
        <f aca="false">IF($M136="","",IFERROR(IF($J136="",IF(INDEX(Settings!$D$12:$D$21,MATCH($B136,Settings!$B$12:$B$21,0))="Tiered",INDEX(Settings!$I$12:$I$21,MATCH($B136,Settings!$B$12:$B$21,0)),INDEX(Settings!$G$12:$G$21,MATCH($B136,Settings!$B$12:$B$21,0))),INDEX(Calculation!$U$6:$U$125,(MATCH($B136,Settings!$B$12:$B$21,0)-1)*12+$J136)),0))</f>
        <v/>
      </c>
      <c r="O136" s="30" t="n">
        <f aca="false">IF($M136="",0,N($L136)*N($N136))</f>
        <v>0</v>
      </c>
      <c r="P136" s="29" t="n">
        <f aca="false">IF(AND($B136&lt;&gt;"",$B136=Statement!$C$6,$J136=Statement!$C$8,$K136=1),1,0)</f>
        <v>0</v>
      </c>
      <c r="Q136" s="29" t="str">
        <f aca="false">IF($P136=1,SUM($P$5:$P136),"")</f>
        <v/>
      </c>
      <c r="R136" s="29" t="n">
        <f aca="false">IF(AND($B136&lt;&gt;"",$B136=Statement!$C$6,$M136=Statement!$C$8),1,0)</f>
        <v>0</v>
      </c>
      <c r="S136" s="29" t="str">
        <f aca="false">IF($R136=1,SUM($R$5:$R136),"")</f>
        <v/>
      </c>
    </row>
    <row r="137" customFormat="false" ht="15" hidden="false" customHeight="false" outlineLevel="0" collapsed="false">
      <c r="A137" s="28"/>
      <c r="B137" s="10"/>
      <c r="C137" s="10"/>
      <c r="D137" s="10"/>
      <c r="E137" s="23"/>
      <c r="F137" s="23"/>
      <c r="G137" s="10"/>
      <c r="H137" s="10"/>
      <c r="I137" s="28"/>
      <c r="J137" s="29" t="str">
        <f aca="false">IF(OR($A137="",$B137=""),"",IF(YEAR($A137)=Settings!$C$4,MONTH($A137),""))</f>
        <v/>
      </c>
      <c r="K137" s="29" t="str">
        <f aca="false">IF($A137="","",IF(OR($J137="",$B137=""),0,IF(OR($G137="Won",$H137="Yes"),1,0)))</f>
        <v/>
      </c>
      <c r="L137" s="30" t="str">
        <f aca="false">IF($B137="","",IFERROR(IF(INDEX(Settings!$E$12:$E$21,MATCH($B137,Settings!$B$12:$B$21,0))="Gross margin",N($F137),N($E137)),""))</f>
        <v/>
      </c>
      <c r="M137" s="29" t="str">
        <f aca="false">IF(AND($G137="Cancelled",$H137="Yes",$I137&lt;&gt;""),IF(YEAR($I137)=Settings!$C$4,MONTH($I137),""),"")</f>
        <v/>
      </c>
      <c r="N137" s="31" t="str">
        <f aca="false">IF($M137="","",IFERROR(IF($J137="",IF(INDEX(Settings!$D$12:$D$21,MATCH($B137,Settings!$B$12:$B$21,0))="Tiered",INDEX(Settings!$I$12:$I$21,MATCH($B137,Settings!$B$12:$B$21,0)),INDEX(Settings!$G$12:$G$21,MATCH($B137,Settings!$B$12:$B$21,0))),INDEX(Calculation!$U$6:$U$125,(MATCH($B137,Settings!$B$12:$B$21,0)-1)*12+$J137)),0))</f>
        <v/>
      </c>
      <c r="O137" s="30" t="n">
        <f aca="false">IF($M137="",0,N($L137)*N($N137))</f>
        <v>0</v>
      </c>
      <c r="P137" s="29" t="n">
        <f aca="false">IF(AND($B137&lt;&gt;"",$B137=Statement!$C$6,$J137=Statement!$C$8,$K137=1),1,0)</f>
        <v>0</v>
      </c>
      <c r="Q137" s="29" t="str">
        <f aca="false">IF($P137=1,SUM($P$5:$P137),"")</f>
        <v/>
      </c>
      <c r="R137" s="29" t="n">
        <f aca="false">IF(AND($B137&lt;&gt;"",$B137=Statement!$C$6,$M137=Statement!$C$8),1,0)</f>
        <v>0</v>
      </c>
      <c r="S137" s="29" t="str">
        <f aca="false">IF($R137=1,SUM($R$5:$R137),"")</f>
        <v/>
      </c>
    </row>
    <row r="138" customFormat="false" ht="15" hidden="false" customHeight="false" outlineLevel="0" collapsed="false">
      <c r="A138" s="28"/>
      <c r="B138" s="10"/>
      <c r="C138" s="10"/>
      <c r="D138" s="10"/>
      <c r="E138" s="23"/>
      <c r="F138" s="23"/>
      <c r="G138" s="10"/>
      <c r="H138" s="10"/>
      <c r="I138" s="28"/>
      <c r="J138" s="29" t="str">
        <f aca="false">IF(OR($A138="",$B138=""),"",IF(YEAR($A138)=Settings!$C$4,MONTH($A138),""))</f>
        <v/>
      </c>
      <c r="K138" s="29" t="str">
        <f aca="false">IF($A138="","",IF(OR($J138="",$B138=""),0,IF(OR($G138="Won",$H138="Yes"),1,0)))</f>
        <v/>
      </c>
      <c r="L138" s="30" t="str">
        <f aca="false">IF($B138="","",IFERROR(IF(INDEX(Settings!$E$12:$E$21,MATCH($B138,Settings!$B$12:$B$21,0))="Gross margin",N($F138),N($E138)),""))</f>
        <v/>
      </c>
      <c r="M138" s="29" t="str">
        <f aca="false">IF(AND($G138="Cancelled",$H138="Yes",$I138&lt;&gt;""),IF(YEAR($I138)=Settings!$C$4,MONTH($I138),""),"")</f>
        <v/>
      </c>
      <c r="N138" s="31" t="str">
        <f aca="false">IF($M138="","",IFERROR(IF($J138="",IF(INDEX(Settings!$D$12:$D$21,MATCH($B138,Settings!$B$12:$B$21,0))="Tiered",INDEX(Settings!$I$12:$I$21,MATCH($B138,Settings!$B$12:$B$21,0)),INDEX(Settings!$G$12:$G$21,MATCH($B138,Settings!$B$12:$B$21,0))),INDEX(Calculation!$U$6:$U$125,(MATCH($B138,Settings!$B$12:$B$21,0)-1)*12+$J138)),0))</f>
        <v/>
      </c>
      <c r="O138" s="30" t="n">
        <f aca="false">IF($M138="",0,N($L138)*N($N138))</f>
        <v>0</v>
      </c>
      <c r="P138" s="29" t="n">
        <f aca="false">IF(AND($B138&lt;&gt;"",$B138=Statement!$C$6,$J138=Statement!$C$8,$K138=1),1,0)</f>
        <v>0</v>
      </c>
      <c r="Q138" s="29" t="str">
        <f aca="false">IF($P138=1,SUM($P$5:$P138),"")</f>
        <v/>
      </c>
      <c r="R138" s="29" t="n">
        <f aca="false">IF(AND($B138&lt;&gt;"",$B138=Statement!$C$6,$M138=Statement!$C$8),1,0)</f>
        <v>0</v>
      </c>
      <c r="S138" s="29" t="str">
        <f aca="false">IF($R138=1,SUM($R$5:$R138),"")</f>
        <v/>
      </c>
    </row>
    <row r="139" customFormat="false" ht="15" hidden="false" customHeight="false" outlineLevel="0" collapsed="false">
      <c r="A139" s="28"/>
      <c r="B139" s="10"/>
      <c r="C139" s="10"/>
      <c r="D139" s="10"/>
      <c r="E139" s="23"/>
      <c r="F139" s="23"/>
      <c r="G139" s="10"/>
      <c r="H139" s="10"/>
      <c r="I139" s="28"/>
      <c r="J139" s="29" t="str">
        <f aca="false">IF(OR($A139="",$B139=""),"",IF(YEAR($A139)=Settings!$C$4,MONTH($A139),""))</f>
        <v/>
      </c>
      <c r="K139" s="29" t="str">
        <f aca="false">IF($A139="","",IF(OR($J139="",$B139=""),0,IF(OR($G139="Won",$H139="Yes"),1,0)))</f>
        <v/>
      </c>
      <c r="L139" s="30" t="str">
        <f aca="false">IF($B139="","",IFERROR(IF(INDEX(Settings!$E$12:$E$21,MATCH($B139,Settings!$B$12:$B$21,0))="Gross margin",N($F139),N($E139)),""))</f>
        <v/>
      </c>
      <c r="M139" s="29" t="str">
        <f aca="false">IF(AND($G139="Cancelled",$H139="Yes",$I139&lt;&gt;""),IF(YEAR($I139)=Settings!$C$4,MONTH($I139),""),"")</f>
        <v/>
      </c>
      <c r="N139" s="31" t="str">
        <f aca="false">IF($M139="","",IFERROR(IF($J139="",IF(INDEX(Settings!$D$12:$D$21,MATCH($B139,Settings!$B$12:$B$21,0))="Tiered",INDEX(Settings!$I$12:$I$21,MATCH($B139,Settings!$B$12:$B$21,0)),INDEX(Settings!$G$12:$G$21,MATCH($B139,Settings!$B$12:$B$21,0))),INDEX(Calculation!$U$6:$U$125,(MATCH($B139,Settings!$B$12:$B$21,0)-1)*12+$J139)),0))</f>
        <v/>
      </c>
      <c r="O139" s="30" t="n">
        <f aca="false">IF($M139="",0,N($L139)*N($N139))</f>
        <v>0</v>
      </c>
      <c r="P139" s="29" t="n">
        <f aca="false">IF(AND($B139&lt;&gt;"",$B139=Statement!$C$6,$J139=Statement!$C$8,$K139=1),1,0)</f>
        <v>0</v>
      </c>
      <c r="Q139" s="29" t="str">
        <f aca="false">IF($P139=1,SUM($P$5:$P139),"")</f>
        <v/>
      </c>
      <c r="R139" s="29" t="n">
        <f aca="false">IF(AND($B139&lt;&gt;"",$B139=Statement!$C$6,$M139=Statement!$C$8),1,0)</f>
        <v>0</v>
      </c>
      <c r="S139" s="29" t="str">
        <f aca="false">IF($R139=1,SUM($R$5:$R139),"")</f>
        <v/>
      </c>
    </row>
    <row r="140" customFormat="false" ht="15" hidden="false" customHeight="false" outlineLevel="0" collapsed="false">
      <c r="A140" s="28"/>
      <c r="B140" s="10"/>
      <c r="C140" s="10"/>
      <c r="D140" s="10"/>
      <c r="E140" s="23"/>
      <c r="F140" s="23"/>
      <c r="G140" s="10"/>
      <c r="H140" s="10"/>
      <c r="I140" s="28"/>
      <c r="J140" s="29" t="str">
        <f aca="false">IF(OR($A140="",$B140=""),"",IF(YEAR($A140)=Settings!$C$4,MONTH($A140),""))</f>
        <v/>
      </c>
      <c r="K140" s="29" t="str">
        <f aca="false">IF($A140="","",IF(OR($J140="",$B140=""),0,IF(OR($G140="Won",$H140="Yes"),1,0)))</f>
        <v/>
      </c>
      <c r="L140" s="30" t="str">
        <f aca="false">IF($B140="","",IFERROR(IF(INDEX(Settings!$E$12:$E$21,MATCH($B140,Settings!$B$12:$B$21,0))="Gross margin",N($F140),N($E140)),""))</f>
        <v/>
      </c>
      <c r="M140" s="29" t="str">
        <f aca="false">IF(AND($G140="Cancelled",$H140="Yes",$I140&lt;&gt;""),IF(YEAR($I140)=Settings!$C$4,MONTH($I140),""),"")</f>
        <v/>
      </c>
      <c r="N140" s="31" t="str">
        <f aca="false">IF($M140="","",IFERROR(IF($J140="",IF(INDEX(Settings!$D$12:$D$21,MATCH($B140,Settings!$B$12:$B$21,0))="Tiered",INDEX(Settings!$I$12:$I$21,MATCH($B140,Settings!$B$12:$B$21,0)),INDEX(Settings!$G$12:$G$21,MATCH($B140,Settings!$B$12:$B$21,0))),INDEX(Calculation!$U$6:$U$125,(MATCH($B140,Settings!$B$12:$B$21,0)-1)*12+$J140)),0))</f>
        <v/>
      </c>
      <c r="O140" s="30" t="n">
        <f aca="false">IF($M140="",0,N($L140)*N($N140))</f>
        <v>0</v>
      </c>
      <c r="P140" s="29" t="n">
        <f aca="false">IF(AND($B140&lt;&gt;"",$B140=Statement!$C$6,$J140=Statement!$C$8,$K140=1),1,0)</f>
        <v>0</v>
      </c>
      <c r="Q140" s="29" t="str">
        <f aca="false">IF($P140=1,SUM($P$5:$P140),"")</f>
        <v/>
      </c>
      <c r="R140" s="29" t="n">
        <f aca="false">IF(AND($B140&lt;&gt;"",$B140=Statement!$C$6,$M140=Statement!$C$8),1,0)</f>
        <v>0</v>
      </c>
      <c r="S140" s="29" t="str">
        <f aca="false">IF($R140=1,SUM($R$5:$R140),"")</f>
        <v/>
      </c>
    </row>
    <row r="141" customFormat="false" ht="15" hidden="false" customHeight="false" outlineLevel="0" collapsed="false">
      <c r="A141" s="28"/>
      <c r="B141" s="10"/>
      <c r="C141" s="10"/>
      <c r="D141" s="10"/>
      <c r="E141" s="23"/>
      <c r="F141" s="23"/>
      <c r="G141" s="10"/>
      <c r="H141" s="10"/>
      <c r="I141" s="28"/>
      <c r="J141" s="29" t="str">
        <f aca="false">IF(OR($A141="",$B141=""),"",IF(YEAR($A141)=Settings!$C$4,MONTH($A141),""))</f>
        <v/>
      </c>
      <c r="K141" s="29" t="str">
        <f aca="false">IF($A141="","",IF(OR($J141="",$B141=""),0,IF(OR($G141="Won",$H141="Yes"),1,0)))</f>
        <v/>
      </c>
      <c r="L141" s="30" t="str">
        <f aca="false">IF($B141="","",IFERROR(IF(INDEX(Settings!$E$12:$E$21,MATCH($B141,Settings!$B$12:$B$21,0))="Gross margin",N($F141),N($E141)),""))</f>
        <v/>
      </c>
      <c r="M141" s="29" t="str">
        <f aca="false">IF(AND($G141="Cancelled",$H141="Yes",$I141&lt;&gt;""),IF(YEAR($I141)=Settings!$C$4,MONTH($I141),""),"")</f>
        <v/>
      </c>
      <c r="N141" s="31" t="str">
        <f aca="false">IF($M141="","",IFERROR(IF($J141="",IF(INDEX(Settings!$D$12:$D$21,MATCH($B141,Settings!$B$12:$B$21,0))="Tiered",INDEX(Settings!$I$12:$I$21,MATCH($B141,Settings!$B$12:$B$21,0)),INDEX(Settings!$G$12:$G$21,MATCH($B141,Settings!$B$12:$B$21,0))),INDEX(Calculation!$U$6:$U$125,(MATCH($B141,Settings!$B$12:$B$21,0)-1)*12+$J141)),0))</f>
        <v/>
      </c>
      <c r="O141" s="30" t="n">
        <f aca="false">IF($M141="",0,N($L141)*N($N141))</f>
        <v>0</v>
      </c>
      <c r="P141" s="29" t="n">
        <f aca="false">IF(AND($B141&lt;&gt;"",$B141=Statement!$C$6,$J141=Statement!$C$8,$K141=1),1,0)</f>
        <v>0</v>
      </c>
      <c r="Q141" s="29" t="str">
        <f aca="false">IF($P141=1,SUM($P$5:$P141),"")</f>
        <v/>
      </c>
      <c r="R141" s="29" t="n">
        <f aca="false">IF(AND($B141&lt;&gt;"",$B141=Statement!$C$6,$M141=Statement!$C$8),1,0)</f>
        <v>0</v>
      </c>
      <c r="S141" s="29" t="str">
        <f aca="false">IF($R141=1,SUM($R$5:$R141),"")</f>
        <v/>
      </c>
    </row>
    <row r="142" customFormat="false" ht="15" hidden="false" customHeight="false" outlineLevel="0" collapsed="false">
      <c r="A142" s="28"/>
      <c r="B142" s="10"/>
      <c r="C142" s="10"/>
      <c r="D142" s="10"/>
      <c r="E142" s="23"/>
      <c r="F142" s="23"/>
      <c r="G142" s="10"/>
      <c r="H142" s="10"/>
      <c r="I142" s="28"/>
      <c r="J142" s="29" t="str">
        <f aca="false">IF(OR($A142="",$B142=""),"",IF(YEAR($A142)=Settings!$C$4,MONTH($A142),""))</f>
        <v/>
      </c>
      <c r="K142" s="29" t="str">
        <f aca="false">IF($A142="","",IF(OR($J142="",$B142=""),0,IF(OR($G142="Won",$H142="Yes"),1,0)))</f>
        <v/>
      </c>
      <c r="L142" s="30" t="str">
        <f aca="false">IF($B142="","",IFERROR(IF(INDEX(Settings!$E$12:$E$21,MATCH($B142,Settings!$B$12:$B$21,0))="Gross margin",N($F142),N($E142)),""))</f>
        <v/>
      </c>
      <c r="M142" s="29" t="str">
        <f aca="false">IF(AND($G142="Cancelled",$H142="Yes",$I142&lt;&gt;""),IF(YEAR($I142)=Settings!$C$4,MONTH($I142),""),"")</f>
        <v/>
      </c>
      <c r="N142" s="31" t="str">
        <f aca="false">IF($M142="","",IFERROR(IF($J142="",IF(INDEX(Settings!$D$12:$D$21,MATCH($B142,Settings!$B$12:$B$21,0))="Tiered",INDEX(Settings!$I$12:$I$21,MATCH($B142,Settings!$B$12:$B$21,0)),INDEX(Settings!$G$12:$G$21,MATCH($B142,Settings!$B$12:$B$21,0))),INDEX(Calculation!$U$6:$U$125,(MATCH($B142,Settings!$B$12:$B$21,0)-1)*12+$J142)),0))</f>
        <v/>
      </c>
      <c r="O142" s="30" t="n">
        <f aca="false">IF($M142="",0,N($L142)*N($N142))</f>
        <v>0</v>
      </c>
      <c r="P142" s="29" t="n">
        <f aca="false">IF(AND($B142&lt;&gt;"",$B142=Statement!$C$6,$J142=Statement!$C$8,$K142=1),1,0)</f>
        <v>0</v>
      </c>
      <c r="Q142" s="29" t="str">
        <f aca="false">IF($P142=1,SUM($P$5:$P142),"")</f>
        <v/>
      </c>
      <c r="R142" s="29" t="n">
        <f aca="false">IF(AND($B142&lt;&gt;"",$B142=Statement!$C$6,$M142=Statement!$C$8),1,0)</f>
        <v>0</v>
      </c>
      <c r="S142" s="29" t="str">
        <f aca="false">IF($R142=1,SUM($R$5:$R142),"")</f>
        <v/>
      </c>
    </row>
    <row r="143" customFormat="false" ht="15" hidden="false" customHeight="false" outlineLevel="0" collapsed="false">
      <c r="A143" s="28"/>
      <c r="B143" s="10"/>
      <c r="C143" s="10"/>
      <c r="D143" s="10"/>
      <c r="E143" s="23"/>
      <c r="F143" s="23"/>
      <c r="G143" s="10"/>
      <c r="H143" s="10"/>
      <c r="I143" s="28"/>
      <c r="J143" s="29" t="str">
        <f aca="false">IF(OR($A143="",$B143=""),"",IF(YEAR($A143)=Settings!$C$4,MONTH($A143),""))</f>
        <v/>
      </c>
      <c r="K143" s="29" t="str">
        <f aca="false">IF($A143="","",IF(OR($J143="",$B143=""),0,IF(OR($G143="Won",$H143="Yes"),1,0)))</f>
        <v/>
      </c>
      <c r="L143" s="30" t="str">
        <f aca="false">IF($B143="","",IFERROR(IF(INDEX(Settings!$E$12:$E$21,MATCH($B143,Settings!$B$12:$B$21,0))="Gross margin",N($F143),N($E143)),""))</f>
        <v/>
      </c>
      <c r="M143" s="29" t="str">
        <f aca="false">IF(AND($G143="Cancelled",$H143="Yes",$I143&lt;&gt;""),IF(YEAR($I143)=Settings!$C$4,MONTH($I143),""),"")</f>
        <v/>
      </c>
      <c r="N143" s="31" t="str">
        <f aca="false">IF($M143="","",IFERROR(IF($J143="",IF(INDEX(Settings!$D$12:$D$21,MATCH($B143,Settings!$B$12:$B$21,0))="Tiered",INDEX(Settings!$I$12:$I$21,MATCH($B143,Settings!$B$12:$B$21,0)),INDEX(Settings!$G$12:$G$21,MATCH($B143,Settings!$B$12:$B$21,0))),INDEX(Calculation!$U$6:$U$125,(MATCH($B143,Settings!$B$12:$B$21,0)-1)*12+$J143)),0))</f>
        <v/>
      </c>
      <c r="O143" s="30" t="n">
        <f aca="false">IF($M143="",0,N($L143)*N($N143))</f>
        <v>0</v>
      </c>
      <c r="P143" s="29" t="n">
        <f aca="false">IF(AND($B143&lt;&gt;"",$B143=Statement!$C$6,$J143=Statement!$C$8,$K143=1),1,0)</f>
        <v>0</v>
      </c>
      <c r="Q143" s="29" t="str">
        <f aca="false">IF($P143=1,SUM($P$5:$P143),"")</f>
        <v/>
      </c>
      <c r="R143" s="29" t="n">
        <f aca="false">IF(AND($B143&lt;&gt;"",$B143=Statement!$C$6,$M143=Statement!$C$8),1,0)</f>
        <v>0</v>
      </c>
      <c r="S143" s="29" t="str">
        <f aca="false">IF($R143=1,SUM($R$5:$R143),"")</f>
        <v/>
      </c>
    </row>
    <row r="144" customFormat="false" ht="15" hidden="false" customHeight="false" outlineLevel="0" collapsed="false">
      <c r="A144" s="28"/>
      <c r="B144" s="10"/>
      <c r="C144" s="10"/>
      <c r="D144" s="10"/>
      <c r="E144" s="23"/>
      <c r="F144" s="23"/>
      <c r="G144" s="10"/>
      <c r="H144" s="10"/>
      <c r="I144" s="28"/>
      <c r="J144" s="29" t="str">
        <f aca="false">IF(OR($A144="",$B144=""),"",IF(YEAR($A144)=Settings!$C$4,MONTH($A144),""))</f>
        <v/>
      </c>
      <c r="K144" s="29" t="str">
        <f aca="false">IF($A144="","",IF(OR($J144="",$B144=""),0,IF(OR($G144="Won",$H144="Yes"),1,0)))</f>
        <v/>
      </c>
      <c r="L144" s="30" t="str">
        <f aca="false">IF($B144="","",IFERROR(IF(INDEX(Settings!$E$12:$E$21,MATCH($B144,Settings!$B$12:$B$21,0))="Gross margin",N($F144),N($E144)),""))</f>
        <v/>
      </c>
      <c r="M144" s="29" t="str">
        <f aca="false">IF(AND($G144="Cancelled",$H144="Yes",$I144&lt;&gt;""),IF(YEAR($I144)=Settings!$C$4,MONTH($I144),""),"")</f>
        <v/>
      </c>
      <c r="N144" s="31" t="str">
        <f aca="false">IF($M144="","",IFERROR(IF($J144="",IF(INDEX(Settings!$D$12:$D$21,MATCH($B144,Settings!$B$12:$B$21,0))="Tiered",INDEX(Settings!$I$12:$I$21,MATCH($B144,Settings!$B$12:$B$21,0)),INDEX(Settings!$G$12:$G$21,MATCH($B144,Settings!$B$12:$B$21,0))),INDEX(Calculation!$U$6:$U$125,(MATCH($B144,Settings!$B$12:$B$21,0)-1)*12+$J144)),0))</f>
        <v/>
      </c>
      <c r="O144" s="30" t="n">
        <f aca="false">IF($M144="",0,N($L144)*N($N144))</f>
        <v>0</v>
      </c>
      <c r="P144" s="29" t="n">
        <f aca="false">IF(AND($B144&lt;&gt;"",$B144=Statement!$C$6,$J144=Statement!$C$8,$K144=1),1,0)</f>
        <v>0</v>
      </c>
      <c r="Q144" s="29" t="str">
        <f aca="false">IF($P144=1,SUM($P$5:$P144),"")</f>
        <v/>
      </c>
      <c r="R144" s="29" t="n">
        <f aca="false">IF(AND($B144&lt;&gt;"",$B144=Statement!$C$6,$M144=Statement!$C$8),1,0)</f>
        <v>0</v>
      </c>
      <c r="S144" s="29" t="str">
        <f aca="false">IF($R144=1,SUM($R$5:$R144),"")</f>
        <v/>
      </c>
    </row>
    <row r="145" customFormat="false" ht="15" hidden="false" customHeight="false" outlineLevel="0" collapsed="false">
      <c r="A145" s="28"/>
      <c r="B145" s="10"/>
      <c r="C145" s="10"/>
      <c r="D145" s="10"/>
      <c r="E145" s="23"/>
      <c r="F145" s="23"/>
      <c r="G145" s="10"/>
      <c r="H145" s="10"/>
      <c r="I145" s="28"/>
      <c r="J145" s="29" t="str">
        <f aca="false">IF(OR($A145="",$B145=""),"",IF(YEAR($A145)=Settings!$C$4,MONTH($A145),""))</f>
        <v/>
      </c>
      <c r="K145" s="29" t="str">
        <f aca="false">IF($A145="","",IF(OR($J145="",$B145=""),0,IF(OR($G145="Won",$H145="Yes"),1,0)))</f>
        <v/>
      </c>
      <c r="L145" s="30" t="str">
        <f aca="false">IF($B145="","",IFERROR(IF(INDEX(Settings!$E$12:$E$21,MATCH($B145,Settings!$B$12:$B$21,0))="Gross margin",N($F145),N($E145)),""))</f>
        <v/>
      </c>
      <c r="M145" s="29" t="str">
        <f aca="false">IF(AND($G145="Cancelled",$H145="Yes",$I145&lt;&gt;""),IF(YEAR($I145)=Settings!$C$4,MONTH($I145),""),"")</f>
        <v/>
      </c>
      <c r="N145" s="31" t="str">
        <f aca="false">IF($M145="","",IFERROR(IF($J145="",IF(INDEX(Settings!$D$12:$D$21,MATCH($B145,Settings!$B$12:$B$21,0))="Tiered",INDEX(Settings!$I$12:$I$21,MATCH($B145,Settings!$B$12:$B$21,0)),INDEX(Settings!$G$12:$G$21,MATCH($B145,Settings!$B$12:$B$21,0))),INDEX(Calculation!$U$6:$U$125,(MATCH($B145,Settings!$B$12:$B$21,0)-1)*12+$J145)),0))</f>
        <v/>
      </c>
      <c r="O145" s="30" t="n">
        <f aca="false">IF($M145="",0,N($L145)*N($N145))</f>
        <v>0</v>
      </c>
      <c r="P145" s="29" t="n">
        <f aca="false">IF(AND($B145&lt;&gt;"",$B145=Statement!$C$6,$J145=Statement!$C$8,$K145=1),1,0)</f>
        <v>0</v>
      </c>
      <c r="Q145" s="29" t="str">
        <f aca="false">IF($P145=1,SUM($P$5:$P145),"")</f>
        <v/>
      </c>
      <c r="R145" s="29" t="n">
        <f aca="false">IF(AND($B145&lt;&gt;"",$B145=Statement!$C$6,$M145=Statement!$C$8),1,0)</f>
        <v>0</v>
      </c>
      <c r="S145" s="29" t="str">
        <f aca="false">IF($R145=1,SUM($R$5:$R145),"")</f>
        <v/>
      </c>
    </row>
    <row r="146" customFormat="false" ht="15" hidden="false" customHeight="false" outlineLevel="0" collapsed="false">
      <c r="A146" s="28"/>
      <c r="B146" s="10"/>
      <c r="C146" s="10"/>
      <c r="D146" s="10"/>
      <c r="E146" s="23"/>
      <c r="F146" s="23"/>
      <c r="G146" s="10"/>
      <c r="H146" s="10"/>
      <c r="I146" s="28"/>
      <c r="J146" s="29" t="str">
        <f aca="false">IF(OR($A146="",$B146=""),"",IF(YEAR($A146)=Settings!$C$4,MONTH($A146),""))</f>
        <v/>
      </c>
      <c r="K146" s="29" t="str">
        <f aca="false">IF($A146="","",IF(OR($J146="",$B146=""),0,IF(OR($G146="Won",$H146="Yes"),1,0)))</f>
        <v/>
      </c>
      <c r="L146" s="30" t="str">
        <f aca="false">IF($B146="","",IFERROR(IF(INDEX(Settings!$E$12:$E$21,MATCH($B146,Settings!$B$12:$B$21,0))="Gross margin",N($F146),N($E146)),""))</f>
        <v/>
      </c>
      <c r="M146" s="29" t="str">
        <f aca="false">IF(AND($G146="Cancelled",$H146="Yes",$I146&lt;&gt;""),IF(YEAR($I146)=Settings!$C$4,MONTH($I146),""),"")</f>
        <v/>
      </c>
      <c r="N146" s="31" t="str">
        <f aca="false">IF($M146="","",IFERROR(IF($J146="",IF(INDEX(Settings!$D$12:$D$21,MATCH($B146,Settings!$B$12:$B$21,0))="Tiered",INDEX(Settings!$I$12:$I$21,MATCH($B146,Settings!$B$12:$B$21,0)),INDEX(Settings!$G$12:$G$21,MATCH($B146,Settings!$B$12:$B$21,0))),INDEX(Calculation!$U$6:$U$125,(MATCH($B146,Settings!$B$12:$B$21,0)-1)*12+$J146)),0))</f>
        <v/>
      </c>
      <c r="O146" s="30" t="n">
        <f aca="false">IF($M146="",0,N($L146)*N($N146))</f>
        <v>0</v>
      </c>
      <c r="P146" s="29" t="n">
        <f aca="false">IF(AND($B146&lt;&gt;"",$B146=Statement!$C$6,$J146=Statement!$C$8,$K146=1),1,0)</f>
        <v>0</v>
      </c>
      <c r="Q146" s="29" t="str">
        <f aca="false">IF($P146=1,SUM($P$5:$P146),"")</f>
        <v/>
      </c>
      <c r="R146" s="29" t="n">
        <f aca="false">IF(AND($B146&lt;&gt;"",$B146=Statement!$C$6,$M146=Statement!$C$8),1,0)</f>
        <v>0</v>
      </c>
      <c r="S146" s="29" t="str">
        <f aca="false">IF($R146=1,SUM($R$5:$R146),"")</f>
        <v/>
      </c>
    </row>
    <row r="147" customFormat="false" ht="15" hidden="false" customHeight="false" outlineLevel="0" collapsed="false">
      <c r="A147" s="28"/>
      <c r="B147" s="10"/>
      <c r="C147" s="10"/>
      <c r="D147" s="10"/>
      <c r="E147" s="23"/>
      <c r="F147" s="23"/>
      <c r="G147" s="10"/>
      <c r="H147" s="10"/>
      <c r="I147" s="28"/>
      <c r="J147" s="29" t="str">
        <f aca="false">IF(OR($A147="",$B147=""),"",IF(YEAR($A147)=Settings!$C$4,MONTH($A147),""))</f>
        <v/>
      </c>
      <c r="K147" s="29" t="str">
        <f aca="false">IF($A147="","",IF(OR($J147="",$B147=""),0,IF(OR($G147="Won",$H147="Yes"),1,0)))</f>
        <v/>
      </c>
      <c r="L147" s="30" t="str">
        <f aca="false">IF($B147="","",IFERROR(IF(INDEX(Settings!$E$12:$E$21,MATCH($B147,Settings!$B$12:$B$21,0))="Gross margin",N($F147),N($E147)),""))</f>
        <v/>
      </c>
      <c r="M147" s="29" t="str">
        <f aca="false">IF(AND($G147="Cancelled",$H147="Yes",$I147&lt;&gt;""),IF(YEAR($I147)=Settings!$C$4,MONTH($I147),""),"")</f>
        <v/>
      </c>
      <c r="N147" s="31" t="str">
        <f aca="false">IF($M147="","",IFERROR(IF($J147="",IF(INDEX(Settings!$D$12:$D$21,MATCH($B147,Settings!$B$12:$B$21,0))="Tiered",INDEX(Settings!$I$12:$I$21,MATCH($B147,Settings!$B$12:$B$21,0)),INDEX(Settings!$G$12:$G$21,MATCH($B147,Settings!$B$12:$B$21,0))),INDEX(Calculation!$U$6:$U$125,(MATCH($B147,Settings!$B$12:$B$21,0)-1)*12+$J147)),0))</f>
        <v/>
      </c>
      <c r="O147" s="30" t="n">
        <f aca="false">IF($M147="",0,N($L147)*N($N147))</f>
        <v>0</v>
      </c>
      <c r="P147" s="29" t="n">
        <f aca="false">IF(AND($B147&lt;&gt;"",$B147=Statement!$C$6,$J147=Statement!$C$8,$K147=1),1,0)</f>
        <v>0</v>
      </c>
      <c r="Q147" s="29" t="str">
        <f aca="false">IF($P147=1,SUM($P$5:$P147),"")</f>
        <v/>
      </c>
      <c r="R147" s="29" t="n">
        <f aca="false">IF(AND($B147&lt;&gt;"",$B147=Statement!$C$6,$M147=Statement!$C$8),1,0)</f>
        <v>0</v>
      </c>
      <c r="S147" s="29" t="str">
        <f aca="false">IF($R147=1,SUM($R$5:$R147),"")</f>
        <v/>
      </c>
    </row>
    <row r="148" customFormat="false" ht="15" hidden="false" customHeight="false" outlineLevel="0" collapsed="false">
      <c r="A148" s="28"/>
      <c r="B148" s="10"/>
      <c r="C148" s="10"/>
      <c r="D148" s="10"/>
      <c r="E148" s="23"/>
      <c r="F148" s="23"/>
      <c r="G148" s="10"/>
      <c r="H148" s="10"/>
      <c r="I148" s="28"/>
      <c r="J148" s="29" t="str">
        <f aca="false">IF(OR($A148="",$B148=""),"",IF(YEAR($A148)=Settings!$C$4,MONTH($A148),""))</f>
        <v/>
      </c>
      <c r="K148" s="29" t="str">
        <f aca="false">IF($A148="","",IF(OR($J148="",$B148=""),0,IF(OR($G148="Won",$H148="Yes"),1,0)))</f>
        <v/>
      </c>
      <c r="L148" s="30" t="str">
        <f aca="false">IF($B148="","",IFERROR(IF(INDEX(Settings!$E$12:$E$21,MATCH($B148,Settings!$B$12:$B$21,0))="Gross margin",N($F148),N($E148)),""))</f>
        <v/>
      </c>
      <c r="M148" s="29" t="str">
        <f aca="false">IF(AND($G148="Cancelled",$H148="Yes",$I148&lt;&gt;""),IF(YEAR($I148)=Settings!$C$4,MONTH($I148),""),"")</f>
        <v/>
      </c>
      <c r="N148" s="31" t="str">
        <f aca="false">IF($M148="","",IFERROR(IF($J148="",IF(INDEX(Settings!$D$12:$D$21,MATCH($B148,Settings!$B$12:$B$21,0))="Tiered",INDEX(Settings!$I$12:$I$21,MATCH($B148,Settings!$B$12:$B$21,0)),INDEX(Settings!$G$12:$G$21,MATCH($B148,Settings!$B$12:$B$21,0))),INDEX(Calculation!$U$6:$U$125,(MATCH($B148,Settings!$B$12:$B$21,0)-1)*12+$J148)),0))</f>
        <v/>
      </c>
      <c r="O148" s="30" t="n">
        <f aca="false">IF($M148="",0,N($L148)*N($N148))</f>
        <v>0</v>
      </c>
      <c r="P148" s="29" t="n">
        <f aca="false">IF(AND($B148&lt;&gt;"",$B148=Statement!$C$6,$J148=Statement!$C$8,$K148=1),1,0)</f>
        <v>0</v>
      </c>
      <c r="Q148" s="29" t="str">
        <f aca="false">IF($P148=1,SUM($P$5:$P148),"")</f>
        <v/>
      </c>
      <c r="R148" s="29" t="n">
        <f aca="false">IF(AND($B148&lt;&gt;"",$B148=Statement!$C$6,$M148=Statement!$C$8),1,0)</f>
        <v>0</v>
      </c>
      <c r="S148" s="29" t="str">
        <f aca="false">IF($R148=1,SUM($R$5:$R148),"")</f>
        <v/>
      </c>
    </row>
    <row r="149" customFormat="false" ht="15" hidden="false" customHeight="false" outlineLevel="0" collapsed="false">
      <c r="A149" s="28"/>
      <c r="B149" s="10"/>
      <c r="C149" s="10"/>
      <c r="D149" s="10"/>
      <c r="E149" s="23"/>
      <c r="F149" s="23"/>
      <c r="G149" s="10"/>
      <c r="H149" s="10"/>
      <c r="I149" s="28"/>
      <c r="J149" s="29" t="str">
        <f aca="false">IF(OR($A149="",$B149=""),"",IF(YEAR($A149)=Settings!$C$4,MONTH($A149),""))</f>
        <v/>
      </c>
      <c r="K149" s="29" t="str">
        <f aca="false">IF($A149="","",IF(OR($J149="",$B149=""),0,IF(OR($G149="Won",$H149="Yes"),1,0)))</f>
        <v/>
      </c>
      <c r="L149" s="30" t="str">
        <f aca="false">IF($B149="","",IFERROR(IF(INDEX(Settings!$E$12:$E$21,MATCH($B149,Settings!$B$12:$B$21,0))="Gross margin",N($F149),N($E149)),""))</f>
        <v/>
      </c>
      <c r="M149" s="29" t="str">
        <f aca="false">IF(AND($G149="Cancelled",$H149="Yes",$I149&lt;&gt;""),IF(YEAR($I149)=Settings!$C$4,MONTH($I149),""),"")</f>
        <v/>
      </c>
      <c r="N149" s="31" t="str">
        <f aca="false">IF($M149="","",IFERROR(IF($J149="",IF(INDEX(Settings!$D$12:$D$21,MATCH($B149,Settings!$B$12:$B$21,0))="Tiered",INDEX(Settings!$I$12:$I$21,MATCH($B149,Settings!$B$12:$B$21,0)),INDEX(Settings!$G$12:$G$21,MATCH($B149,Settings!$B$12:$B$21,0))),INDEX(Calculation!$U$6:$U$125,(MATCH($B149,Settings!$B$12:$B$21,0)-1)*12+$J149)),0))</f>
        <v/>
      </c>
      <c r="O149" s="30" t="n">
        <f aca="false">IF($M149="",0,N($L149)*N($N149))</f>
        <v>0</v>
      </c>
      <c r="P149" s="29" t="n">
        <f aca="false">IF(AND($B149&lt;&gt;"",$B149=Statement!$C$6,$J149=Statement!$C$8,$K149=1),1,0)</f>
        <v>0</v>
      </c>
      <c r="Q149" s="29" t="str">
        <f aca="false">IF($P149=1,SUM($P$5:$P149),"")</f>
        <v/>
      </c>
      <c r="R149" s="29" t="n">
        <f aca="false">IF(AND($B149&lt;&gt;"",$B149=Statement!$C$6,$M149=Statement!$C$8),1,0)</f>
        <v>0</v>
      </c>
      <c r="S149" s="29" t="str">
        <f aca="false">IF($R149=1,SUM($R$5:$R149),"")</f>
        <v/>
      </c>
    </row>
    <row r="150" customFormat="false" ht="15" hidden="false" customHeight="false" outlineLevel="0" collapsed="false">
      <c r="A150" s="28"/>
      <c r="B150" s="10"/>
      <c r="C150" s="10"/>
      <c r="D150" s="10"/>
      <c r="E150" s="23"/>
      <c r="F150" s="23"/>
      <c r="G150" s="10"/>
      <c r="H150" s="10"/>
      <c r="I150" s="28"/>
      <c r="J150" s="29" t="str">
        <f aca="false">IF(OR($A150="",$B150=""),"",IF(YEAR($A150)=Settings!$C$4,MONTH($A150),""))</f>
        <v/>
      </c>
      <c r="K150" s="29" t="str">
        <f aca="false">IF($A150="","",IF(OR($J150="",$B150=""),0,IF(OR($G150="Won",$H150="Yes"),1,0)))</f>
        <v/>
      </c>
      <c r="L150" s="30" t="str">
        <f aca="false">IF($B150="","",IFERROR(IF(INDEX(Settings!$E$12:$E$21,MATCH($B150,Settings!$B$12:$B$21,0))="Gross margin",N($F150),N($E150)),""))</f>
        <v/>
      </c>
      <c r="M150" s="29" t="str">
        <f aca="false">IF(AND($G150="Cancelled",$H150="Yes",$I150&lt;&gt;""),IF(YEAR($I150)=Settings!$C$4,MONTH($I150),""),"")</f>
        <v/>
      </c>
      <c r="N150" s="31" t="str">
        <f aca="false">IF($M150="","",IFERROR(IF($J150="",IF(INDEX(Settings!$D$12:$D$21,MATCH($B150,Settings!$B$12:$B$21,0))="Tiered",INDEX(Settings!$I$12:$I$21,MATCH($B150,Settings!$B$12:$B$21,0)),INDEX(Settings!$G$12:$G$21,MATCH($B150,Settings!$B$12:$B$21,0))),INDEX(Calculation!$U$6:$U$125,(MATCH($B150,Settings!$B$12:$B$21,0)-1)*12+$J150)),0))</f>
        <v/>
      </c>
      <c r="O150" s="30" t="n">
        <f aca="false">IF($M150="",0,N($L150)*N($N150))</f>
        <v>0</v>
      </c>
      <c r="P150" s="29" t="n">
        <f aca="false">IF(AND($B150&lt;&gt;"",$B150=Statement!$C$6,$J150=Statement!$C$8,$K150=1),1,0)</f>
        <v>0</v>
      </c>
      <c r="Q150" s="29" t="str">
        <f aca="false">IF($P150=1,SUM($P$5:$P150),"")</f>
        <v/>
      </c>
      <c r="R150" s="29" t="n">
        <f aca="false">IF(AND($B150&lt;&gt;"",$B150=Statement!$C$6,$M150=Statement!$C$8),1,0)</f>
        <v>0</v>
      </c>
      <c r="S150" s="29" t="str">
        <f aca="false">IF($R150=1,SUM($R$5:$R150),"")</f>
        <v/>
      </c>
    </row>
    <row r="151" customFormat="false" ht="15" hidden="false" customHeight="false" outlineLevel="0" collapsed="false">
      <c r="A151" s="28"/>
      <c r="B151" s="10"/>
      <c r="C151" s="10"/>
      <c r="D151" s="10"/>
      <c r="E151" s="23"/>
      <c r="F151" s="23"/>
      <c r="G151" s="10"/>
      <c r="H151" s="10"/>
      <c r="I151" s="28"/>
      <c r="J151" s="29" t="str">
        <f aca="false">IF(OR($A151="",$B151=""),"",IF(YEAR($A151)=Settings!$C$4,MONTH($A151),""))</f>
        <v/>
      </c>
      <c r="K151" s="29" t="str">
        <f aca="false">IF($A151="","",IF(OR($J151="",$B151=""),0,IF(OR($G151="Won",$H151="Yes"),1,0)))</f>
        <v/>
      </c>
      <c r="L151" s="30" t="str">
        <f aca="false">IF($B151="","",IFERROR(IF(INDEX(Settings!$E$12:$E$21,MATCH($B151,Settings!$B$12:$B$21,0))="Gross margin",N($F151),N($E151)),""))</f>
        <v/>
      </c>
      <c r="M151" s="29" t="str">
        <f aca="false">IF(AND($G151="Cancelled",$H151="Yes",$I151&lt;&gt;""),IF(YEAR($I151)=Settings!$C$4,MONTH($I151),""),"")</f>
        <v/>
      </c>
      <c r="N151" s="31" t="str">
        <f aca="false">IF($M151="","",IFERROR(IF($J151="",IF(INDEX(Settings!$D$12:$D$21,MATCH($B151,Settings!$B$12:$B$21,0))="Tiered",INDEX(Settings!$I$12:$I$21,MATCH($B151,Settings!$B$12:$B$21,0)),INDEX(Settings!$G$12:$G$21,MATCH($B151,Settings!$B$12:$B$21,0))),INDEX(Calculation!$U$6:$U$125,(MATCH($B151,Settings!$B$12:$B$21,0)-1)*12+$J151)),0))</f>
        <v/>
      </c>
      <c r="O151" s="30" t="n">
        <f aca="false">IF($M151="",0,N($L151)*N($N151))</f>
        <v>0</v>
      </c>
      <c r="P151" s="29" t="n">
        <f aca="false">IF(AND($B151&lt;&gt;"",$B151=Statement!$C$6,$J151=Statement!$C$8,$K151=1),1,0)</f>
        <v>0</v>
      </c>
      <c r="Q151" s="29" t="str">
        <f aca="false">IF($P151=1,SUM($P$5:$P151),"")</f>
        <v/>
      </c>
      <c r="R151" s="29" t="n">
        <f aca="false">IF(AND($B151&lt;&gt;"",$B151=Statement!$C$6,$M151=Statement!$C$8),1,0)</f>
        <v>0</v>
      </c>
      <c r="S151" s="29" t="str">
        <f aca="false">IF($R151=1,SUM($R$5:$R151),"")</f>
        <v/>
      </c>
    </row>
    <row r="152" customFormat="false" ht="15" hidden="false" customHeight="false" outlineLevel="0" collapsed="false">
      <c r="A152" s="28"/>
      <c r="B152" s="10"/>
      <c r="C152" s="10"/>
      <c r="D152" s="10"/>
      <c r="E152" s="23"/>
      <c r="F152" s="23"/>
      <c r="G152" s="10"/>
      <c r="H152" s="10"/>
      <c r="I152" s="28"/>
      <c r="J152" s="29" t="str">
        <f aca="false">IF(OR($A152="",$B152=""),"",IF(YEAR($A152)=Settings!$C$4,MONTH($A152),""))</f>
        <v/>
      </c>
      <c r="K152" s="29" t="str">
        <f aca="false">IF($A152="","",IF(OR($J152="",$B152=""),0,IF(OR($G152="Won",$H152="Yes"),1,0)))</f>
        <v/>
      </c>
      <c r="L152" s="30" t="str">
        <f aca="false">IF($B152="","",IFERROR(IF(INDEX(Settings!$E$12:$E$21,MATCH($B152,Settings!$B$12:$B$21,0))="Gross margin",N($F152),N($E152)),""))</f>
        <v/>
      </c>
      <c r="M152" s="29" t="str">
        <f aca="false">IF(AND($G152="Cancelled",$H152="Yes",$I152&lt;&gt;""),IF(YEAR($I152)=Settings!$C$4,MONTH($I152),""),"")</f>
        <v/>
      </c>
      <c r="N152" s="31" t="str">
        <f aca="false">IF($M152="","",IFERROR(IF($J152="",IF(INDEX(Settings!$D$12:$D$21,MATCH($B152,Settings!$B$12:$B$21,0))="Tiered",INDEX(Settings!$I$12:$I$21,MATCH($B152,Settings!$B$12:$B$21,0)),INDEX(Settings!$G$12:$G$21,MATCH($B152,Settings!$B$12:$B$21,0))),INDEX(Calculation!$U$6:$U$125,(MATCH($B152,Settings!$B$12:$B$21,0)-1)*12+$J152)),0))</f>
        <v/>
      </c>
      <c r="O152" s="30" t="n">
        <f aca="false">IF($M152="",0,N($L152)*N($N152))</f>
        <v>0</v>
      </c>
      <c r="P152" s="29" t="n">
        <f aca="false">IF(AND($B152&lt;&gt;"",$B152=Statement!$C$6,$J152=Statement!$C$8,$K152=1),1,0)</f>
        <v>0</v>
      </c>
      <c r="Q152" s="29" t="str">
        <f aca="false">IF($P152=1,SUM($P$5:$P152),"")</f>
        <v/>
      </c>
      <c r="R152" s="29" t="n">
        <f aca="false">IF(AND($B152&lt;&gt;"",$B152=Statement!$C$6,$M152=Statement!$C$8),1,0)</f>
        <v>0</v>
      </c>
      <c r="S152" s="29" t="str">
        <f aca="false">IF($R152=1,SUM($R$5:$R152),"")</f>
        <v/>
      </c>
    </row>
    <row r="153" customFormat="false" ht="15" hidden="false" customHeight="false" outlineLevel="0" collapsed="false">
      <c r="A153" s="28"/>
      <c r="B153" s="10"/>
      <c r="C153" s="10"/>
      <c r="D153" s="10"/>
      <c r="E153" s="23"/>
      <c r="F153" s="23"/>
      <c r="G153" s="10"/>
      <c r="H153" s="10"/>
      <c r="I153" s="28"/>
      <c r="J153" s="29" t="str">
        <f aca="false">IF(OR($A153="",$B153=""),"",IF(YEAR($A153)=Settings!$C$4,MONTH($A153),""))</f>
        <v/>
      </c>
      <c r="K153" s="29" t="str">
        <f aca="false">IF($A153="","",IF(OR($J153="",$B153=""),0,IF(OR($G153="Won",$H153="Yes"),1,0)))</f>
        <v/>
      </c>
      <c r="L153" s="30" t="str">
        <f aca="false">IF($B153="","",IFERROR(IF(INDEX(Settings!$E$12:$E$21,MATCH($B153,Settings!$B$12:$B$21,0))="Gross margin",N($F153),N($E153)),""))</f>
        <v/>
      </c>
      <c r="M153" s="29" t="str">
        <f aca="false">IF(AND($G153="Cancelled",$H153="Yes",$I153&lt;&gt;""),IF(YEAR($I153)=Settings!$C$4,MONTH($I153),""),"")</f>
        <v/>
      </c>
      <c r="N153" s="31" t="str">
        <f aca="false">IF($M153="","",IFERROR(IF($J153="",IF(INDEX(Settings!$D$12:$D$21,MATCH($B153,Settings!$B$12:$B$21,0))="Tiered",INDEX(Settings!$I$12:$I$21,MATCH($B153,Settings!$B$12:$B$21,0)),INDEX(Settings!$G$12:$G$21,MATCH($B153,Settings!$B$12:$B$21,0))),INDEX(Calculation!$U$6:$U$125,(MATCH($B153,Settings!$B$12:$B$21,0)-1)*12+$J153)),0))</f>
        <v/>
      </c>
      <c r="O153" s="30" t="n">
        <f aca="false">IF($M153="",0,N($L153)*N($N153))</f>
        <v>0</v>
      </c>
      <c r="P153" s="29" t="n">
        <f aca="false">IF(AND($B153&lt;&gt;"",$B153=Statement!$C$6,$J153=Statement!$C$8,$K153=1),1,0)</f>
        <v>0</v>
      </c>
      <c r="Q153" s="29" t="str">
        <f aca="false">IF($P153=1,SUM($P$5:$P153),"")</f>
        <v/>
      </c>
      <c r="R153" s="29" t="n">
        <f aca="false">IF(AND($B153&lt;&gt;"",$B153=Statement!$C$6,$M153=Statement!$C$8),1,0)</f>
        <v>0</v>
      </c>
      <c r="S153" s="29" t="str">
        <f aca="false">IF($R153=1,SUM($R$5:$R153),"")</f>
        <v/>
      </c>
    </row>
    <row r="154" customFormat="false" ht="15" hidden="false" customHeight="false" outlineLevel="0" collapsed="false">
      <c r="A154" s="28"/>
      <c r="B154" s="10"/>
      <c r="C154" s="10"/>
      <c r="D154" s="10"/>
      <c r="E154" s="23"/>
      <c r="F154" s="23"/>
      <c r="G154" s="10"/>
      <c r="H154" s="10"/>
      <c r="I154" s="28"/>
      <c r="J154" s="29" t="str">
        <f aca="false">IF(OR($A154="",$B154=""),"",IF(YEAR($A154)=Settings!$C$4,MONTH($A154),""))</f>
        <v/>
      </c>
      <c r="K154" s="29" t="str">
        <f aca="false">IF($A154="","",IF(OR($J154="",$B154=""),0,IF(OR($G154="Won",$H154="Yes"),1,0)))</f>
        <v/>
      </c>
      <c r="L154" s="30" t="str">
        <f aca="false">IF($B154="","",IFERROR(IF(INDEX(Settings!$E$12:$E$21,MATCH($B154,Settings!$B$12:$B$21,0))="Gross margin",N($F154),N($E154)),""))</f>
        <v/>
      </c>
      <c r="M154" s="29" t="str">
        <f aca="false">IF(AND($G154="Cancelled",$H154="Yes",$I154&lt;&gt;""),IF(YEAR($I154)=Settings!$C$4,MONTH($I154),""),"")</f>
        <v/>
      </c>
      <c r="N154" s="31" t="str">
        <f aca="false">IF($M154="","",IFERROR(IF($J154="",IF(INDEX(Settings!$D$12:$D$21,MATCH($B154,Settings!$B$12:$B$21,0))="Tiered",INDEX(Settings!$I$12:$I$21,MATCH($B154,Settings!$B$12:$B$21,0)),INDEX(Settings!$G$12:$G$21,MATCH($B154,Settings!$B$12:$B$21,0))),INDEX(Calculation!$U$6:$U$125,(MATCH($B154,Settings!$B$12:$B$21,0)-1)*12+$J154)),0))</f>
        <v/>
      </c>
      <c r="O154" s="30" t="n">
        <f aca="false">IF($M154="",0,N($L154)*N($N154))</f>
        <v>0</v>
      </c>
      <c r="P154" s="29" t="n">
        <f aca="false">IF(AND($B154&lt;&gt;"",$B154=Statement!$C$6,$J154=Statement!$C$8,$K154=1),1,0)</f>
        <v>0</v>
      </c>
      <c r="Q154" s="29" t="str">
        <f aca="false">IF($P154=1,SUM($P$5:$P154),"")</f>
        <v/>
      </c>
      <c r="R154" s="29" t="n">
        <f aca="false">IF(AND($B154&lt;&gt;"",$B154=Statement!$C$6,$M154=Statement!$C$8),1,0)</f>
        <v>0</v>
      </c>
      <c r="S154" s="29" t="str">
        <f aca="false">IF($R154=1,SUM($R$5:$R154),"")</f>
        <v/>
      </c>
    </row>
    <row r="155" customFormat="false" ht="15" hidden="false" customHeight="false" outlineLevel="0" collapsed="false">
      <c r="A155" s="28"/>
      <c r="B155" s="10"/>
      <c r="C155" s="10"/>
      <c r="D155" s="10"/>
      <c r="E155" s="23"/>
      <c r="F155" s="23"/>
      <c r="G155" s="10"/>
      <c r="H155" s="10"/>
      <c r="I155" s="28"/>
      <c r="J155" s="29" t="str">
        <f aca="false">IF(OR($A155="",$B155=""),"",IF(YEAR($A155)=Settings!$C$4,MONTH($A155),""))</f>
        <v/>
      </c>
      <c r="K155" s="29" t="str">
        <f aca="false">IF($A155="","",IF(OR($J155="",$B155=""),0,IF(OR($G155="Won",$H155="Yes"),1,0)))</f>
        <v/>
      </c>
      <c r="L155" s="30" t="str">
        <f aca="false">IF($B155="","",IFERROR(IF(INDEX(Settings!$E$12:$E$21,MATCH($B155,Settings!$B$12:$B$21,0))="Gross margin",N($F155),N($E155)),""))</f>
        <v/>
      </c>
      <c r="M155" s="29" t="str">
        <f aca="false">IF(AND($G155="Cancelled",$H155="Yes",$I155&lt;&gt;""),IF(YEAR($I155)=Settings!$C$4,MONTH($I155),""),"")</f>
        <v/>
      </c>
      <c r="N155" s="31" t="str">
        <f aca="false">IF($M155="","",IFERROR(IF($J155="",IF(INDEX(Settings!$D$12:$D$21,MATCH($B155,Settings!$B$12:$B$21,0))="Tiered",INDEX(Settings!$I$12:$I$21,MATCH($B155,Settings!$B$12:$B$21,0)),INDEX(Settings!$G$12:$G$21,MATCH($B155,Settings!$B$12:$B$21,0))),INDEX(Calculation!$U$6:$U$125,(MATCH($B155,Settings!$B$12:$B$21,0)-1)*12+$J155)),0))</f>
        <v/>
      </c>
      <c r="O155" s="30" t="n">
        <f aca="false">IF($M155="",0,N($L155)*N($N155))</f>
        <v>0</v>
      </c>
      <c r="P155" s="29" t="n">
        <f aca="false">IF(AND($B155&lt;&gt;"",$B155=Statement!$C$6,$J155=Statement!$C$8,$K155=1),1,0)</f>
        <v>0</v>
      </c>
      <c r="Q155" s="29" t="str">
        <f aca="false">IF($P155=1,SUM($P$5:$P155),"")</f>
        <v/>
      </c>
      <c r="R155" s="29" t="n">
        <f aca="false">IF(AND($B155&lt;&gt;"",$B155=Statement!$C$6,$M155=Statement!$C$8),1,0)</f>
        <v>0</v>
      </c>
      <c r="S155" s="29" t="str">
        <f aca="false">IF($R155=1,SUM($R$5:$R155),"")</f>
        <v/>
      </c>
    </row>
    <row r="156" customFormat="false" ht="15" hidden="false" customHeight="false" outlineLevel="0" collapsed="false">
      <c r="A156" s="28"/>
      <c r="B156" s="10"/>
      <c r="C156" s="10"/>
      <c r="D156" s="10"/>
      <c r="E156" s="23"/>
      <c r="F156" s="23"/>
      <c r="G156" s="10"/>
      <c r="H156" s="10"/>
      <c r="I156" s="28"/>
      <c r="J156" s="29" t="str">
        <f aca="false">IF(OR($A156="",$B156=""),"",IF(YEAR($A156)=Settings!$C$4,MONTH($A156),""))</f>
        <v/>
      </c>
      <c r="K156" s="29" t="str">
        <f aca="false">IF($A156="","",IF(OR($J156="",$B156=""),0,IF(OR($G156="Won",$H156="Yes"),1,0)))</f>
        <v/>
      </c>
      <c r="L156" s="30" t="str">
        <f aca="false">IF($B156="","",IFERROR(IF(INDEX(Settings!$E$12:$E$21,MATCH($B156,Settings!$B$12:$B$21,0))="Gross margin",N($F156),N($E156)),""))</f>
        <v/>
      </c>
      <c r="M156" s="29" t="str">
        <f aca="false">IF(AND($G156="Cancelled",$H156="Yes",$I156&lt;&gt;""),IF(YEAR($I156)=Settings!$C$4,MONTH($I156),""),"")</f>
        <v/>
      </c>
      <c r="N156" s="31" t="str">
        <f aca="false">IF($M156="","",IFERROR(IF($J156="",IF(INDEX(Settings!$D$12:$D$21,MATCH($B156,Settings!$B$12:$B$21,0))="Tiered",INDEX(Settings!$I$12:$I$21,MATCH($B156,Settings!$B$12:$B$21,0)),INDEX(Settings!$G$12:$G$21,MATCH($B156,Settings!$B$12:$B$21,0))),INDEX(Calculation!$U$6:$U$125,(MATCH($B156,Settings!$B$12:$B$21,0)-1)*12+$J156)),0))</f>
        <v/>
      </c>
      <c r="O156" s="30" t="n">
        <f aca="false">IF($M156="",0,N($L156)*N($N156))</f>
        <v>0</v>
      </c>
      <c r="P156" s="29" t="n">
        <f aca="false">IF(AND($B156&lt;&gt;"",$B156=Statement!$C$6,$J156=Statement!$C$8,$K156=1),1,0)</f>
        <v>0</v>
      </c>
      <c r="Q156" s="29" t="str">
        <f aca="false">IF($P156=1,SUM($P$5:$P156),"")</f>
        <v/>
      </c>
      <c r="R156" s="29" t="n">
        <f aca="false">IF(AND($B156&lt;&gt;"",$B156=Statement!$C$6,$M156=Statement!$C$8),1,0)</f>
        <v>0</v>
      </c>
      <c r="S156" s="29" t="str">
        <f aca="false">IF($R156=1,SUM($R$5:$R156),"")</f>
        <v/>
      </c>
    </row>
    <row r="157" customFormat="false" ht="15" hidden="false" customHeight="false" outlineLevel="0" collapsed="false">
      <c r="A157" s="28"/>
      <c r="B157" s="10"/>
      <c r="C157" s="10"/>
      <c r="D157" s="10"/>
      <c r="E157" s="23"/>
      <c r="F157" s="23"/>
      <c r="G157" s="10"/>
      <c r="H157" s="10"/>
      <c r="I157" s="28"/>
      <c r="J157" s="29" t="str">
        <f aca="false">IF(OR($A157="",$B157=""),"",IF(YEAR($A157)=Settings!$C$4,MONTH($A157),""))</f>
        <v/>
      </c>
      <c r="K157" s="29" t="str">
        <f aca="false">IF($A157="","",IF(OR($J157="",$B157=""),0,IF(OR($G157="Won",$H157="Yes"),1,0)))</f>
        <v/>
      </c>
      <c r="L157" s="30" t="str">
        <f aca="false">IF($B157="","",IFERROR(IF(INDEX(Settings!$E$12:$E$21,MATCH($B157,Settings!$B$12:$B$21,0))="Gross margin",N($F157),N($E157)),""))</f>
        <v/>
      </c>
      <c r="M157" s="29" t="str">
        <f aca="false">IF(AND($G157="Cancelled",$H157="Yes",$I157&lt;&gt;""),IF(YEAR($I157)=Settings!$C$4,MONTH($I157),""),"")</f>
        <v/>
      </c>
      <c r="N157" s="31" t="str">
        <f aca="false">IF($M157="","",IFERROR(IF($J157="",IF(INDEX(Settings!$D$12:$D$21,MATCH($B157,Settings!$B$12:$B$21,0))="Tiered",INDEX(Settings!$I$12:$I$21,MATCH($B157,Settings!$B$12:$B$21,0)),INDEX(Settings!$G$12:$G$21,MATCH($B157,Settings!$B$12:$B$21,0))),INDEX(Calculation!$U$6:$U$125,(MATCH($B157,Settings!$B$12:$B$21,0)-1)*12+$J157)),0))</f>
        <v/>
      </c>
      <c r="O157" s="30" t="n">
        <f aca="false">IF($M157="",0,N($L157)*N($N157))</f>
        <v>0</v>
      </c>
      <c r="P157" s="29" t="n">
        <f aca="false">IF(AND($B157&lt;&gt;"",$B157=Statement!$C$6,$J157=Statement!$C$8,$K157=1),1,0)</f>
        <v>0</v>
      </c>
      <c r="Q157" s="29" t="str">
        <f aca="false">IF($P157=1,SUM($P$5:$P157),"")</f>
        <v/>
      </c>
      <c r="R157" s="29" t="n">
        <f aca="false">IF(AND($B157&lt;&gt;"",$B157=Statement!$C$6,$M157=Statement!$C$8),1,0)</f>
        <v>0</v>
      </c>
      <c r="S157" s="29" t="str">
        <f aca="false">IF($R157=1,SUM($R$5:$R157),"")</f>
        <v/>
      </c>
    </row>
    <row r="158" customFormat="false" ht="15" hidden="false" customHeight="false" outlineLevel="0" collapsed="false">
      <c r="A158" s="28"/>
      <c r="B158" s="10"/>
      <c r="C158" s="10"/>
      <c r="D158" s="10"/>
      <c r="E158" s="23"/>
      <c r="F158" s="23"/>
      <c r="G158" s="10"/>
      <c r="H158" s="10"/>
      <c r="I158" s="28"/>
      <c r="J158" s="29" t="str">
        <f aca="false">IF(OR($A158="",$B158=""),"",IF(YEAR($A158)=Settings!$C$4,MONTH($A158),""))</f>
        <v/>
      </c>
      <c r="K158" s="29" t="str">
        <f aca="false">IF($A158="","",IF(OR($J158="",$B158=""),0,IF(OR($G158="Won",$H158="Yes"),1,0)))</f>
        <v/>
      </c>
      <c r="L158" s="30" t="str">
        <f aca="false">IF($B158="","",IFERROR(IF(INDEX(Settings!$E$12:$E$21,MATCH($B158,Settings!$B$12:$B$21,0))="Gross margin",N($F158),N($E158)),""))</f>
        <v/>
      </c>
      <c r="M158" s="29" t="str">
        <f aca="false">IF(AND($G158="Cancelled",$H158="Yes",$I158&lt;&gt;""),IF(YEAR($I158)=Settings!$C$4,MONTH($I158),""),"")</f>
        <v/>
      </c>
      <c r="N158" s="31" t="str">
        <f aca="false">IF($M158="","",IFERROR(IF($J158="",IF(INDEX(Settings!$D$12:$D$21,MATCH($B158,Settings!$B$12:$B$21,0))="Tiered",INDEX(Settings!$I$12:$I$21,MATCH($B158,Settings!$B$12:$B$21,0)),INDEX(Settings!$G$12:$G$21,MATCH($B158,Settings!$B$12:$B$21,0))),INDEX(Calculation!$U$6:$U$125,(MATCH($B158,Settings!$B$12:$B$21,0)-1)*12+$J158)),0))</f>
        <v/>
      </c>
      <c r="O158" s="30" t="n">
        <f aca="false">IF($M158="",0,N($L158)*N($N158))</f>
        <v>0</v>
      </c>
      <c r="P158" s="29" t="n">
        <f aca="false">IF(AND($B158&lt;&gt;"",$B158=Statement!$C$6,$J158=Statement!$C$8,$K158=1),1,0)</f>
        <v>0</v>
      </c>
      <c r="Q158" s="29" t="str">
        <f aca="false">IF($P158=1,SUM($P$5:$P158),"")</f>
        <v/>
      </c>
      <c r="R158" s="29" t="n">
        <f aca="false">IF(AND($B158&lt;&gt;"",$B158=Statement!$C$6,$M158=Statement!$C$8),1,0)</f>
        <v>0</v>
      </c>
      <c r="S158" s="29" t="str">
        <f aca="false">IF($R158=1,SUM($R$5:$R158),"")</f>
        <v/>
      </c>
    </row>
    <row r="159" customFormat="false" ht="15" hidden="false" customHeight="false" outlineLevel="0" collapsed="false">
      <c r="A159" s="28"/>
      <c r="B159" s="10"/>
      <c r="C159" s="10"/>
      <c r="D159" s="10"/>
      <c r="E159" s="23"/>
      <c r="F159" s="23"/>
      <c r="G159" s="10"/>
      <c r="H159" s="10"/>
      <c r="I159" s="28"/>
      <c r="J159" s="29" t="str">
        <f aca="false">IF(OR($A159="",$B159=""),"",IF(YEAR($A159)=Settings!$C$4,MONTH($A159),""))</f>
        <v/>
      </c>
      <c r="K159" s="29" t="str">
        <f aca="false">IF($A159="","",IF(OR($J159="",$B159=""),0,IF(OR($G159="Won",$H159="Yes"),1,0)))</f>
        <v/>
      </c>
      <c r="L159" s="30" t="str">
        <f aca="false">IF($B159="","",IFERROR(IF(INDEX(Settings!$E$12:$E$21,MATCH($B159,Settings!$B$12:$B$21,0))="Gross margin",N($F159),N($E159)),""))</f>
        <v/>
      </c>
      <c r="M159" s="29" t="str">
        <f aca="false">IF(AND($G159="Cancelled",$H159="Yes",$I159&lt;&gt;""),IF(YEAR($I159)=Settings!$C$4,MONTH($I159),""),"")</f>
        <v/>
      </c>
      <c r="N159" s="31" t="str">
        <f aca="false">IF($M159="","",IFERROR(IF($J159="",IF(INDEX(Settings!$D$12:$D$21,MATCH($B159,Settings!$B$12:$B$21,0))="Tiered",INDEX(Settings!$I$12:$I$21,MATCH($B159,Settings!$B$12:$B$21,0)),INDEX(Settings!$G$12:$G$21,MATCH($B159,Settings!$B$12:$B$21,0))),INDEX(Calculation!$U$6:$U$125,(MATCH($B159,Settings!$B$12:$B$21,0)-1)*12+$J159)),0))</f>
        <v/>
      </c>
      <c r="O159" s="30" t="n">
        <f aca="false">IF($M159="",0,N($L159)*N($N159))</f>
        <v>0</v>
      </c>
      <c r="P159" s="29" t="n">
        <f aca="false">IF(AND($B159&lt;&gt;"",$B159=Statement!$C$6,$J159=Statement!$C$8,$K159=1),1,0)</f>
        <v>0</v>
      </c>
      <c r="Q159" s="29" t="str">
        <f aca="false">IF($P159=1,SUM($P$5:$P159),"")</f>
        <v/>
      </c>
      <c r="R159" s="29" t="n">
        <f aca="false">IF(AND($B159&lt;&gt;"",$B159=Statement!$C$6,$M159=Statement!$C$8),1,0)</f>
        <v>0</v>
      </c>
      <c r="S159" s="29" t="str">
        <f aca="false">IF($R159=1,SUM($R$5:$R159),"")</f>
        <v/>
      </c>
    </row>
    <row r="160" customFormat="false" ht="15" hidden="false" customHeight="false" outlineLevel="0" collapsed="false">
      <c r="A160" s="28"/>
      <c r="B160" s="10"/>
      <c r="C160" s="10"/>
      <c r="D160" s="10"/>
      <c r="E160" s="23"/>
      <c r="F160" s="23"/>
      <c r="G160" s="10"/>
      <c r="H160" s="10"/>
      <c r="I160" s="28"/>
      <c r="J160" s="29" t="str">
        <f aca="false">IF(OR($A160="",$B160=""),"",IF(YEAR($A160)=Settings!$C$4,MONTH($A160),""))</f>
        <v/>
      </c>
      <c r="K160" s="29" t="str">
        <f aca="false">IF($A160="","",IF(OR($J160="",$B160=""),0,IF(OR($G160="Won",$H160="Yes"),1,0)))</f>
        <v/>
      </c>
      <c r="L160" s="30" t="str">
        <f aca="false">IF($B160="","",IFERROR(IF(INDEX(Settings!$E$12:$E$21,MATCH($B160,Settings!$B$12:$B$21,0))="Gross margin",N($F160),N($E160)),""))</f>
        <v/>
      </c>
      <c r="M160" s="29" t="str">
        <f aca="false">IF(AND($G160="Cancelled",$H160="Yes",$I160&lt;&gt;""),IF(YEAR($I160)=Settings!$C$4,MONTH($I160),""),"")</f>
        <v/>
      </c>
      <c r="N160" s="31" t="str">
        <f aca="false">IF($M160="","",IFERROR(IF($J160="",IF(INDEX(Settings!$D$12:$D$21,MATCH($B160,Settings!$B$12:$B$21,0))="Tiered",INDEX(Settings!$I$12:$I$21,MATCH($B160,Settings!$B$12:$B$21,0)),INDEX(Settings!$G$12:$G$21,MATCH($B160,Settings!$B$12:$B$21,0))),INDEX(Calculation!$U$6:$U$125,(MATCH($B160,Settings!$B$12:$B$21,0)-1)*12+$J160)),0))</f>
        <v/>
      </c>
      <c r="O160" s="30" t="n">
        <f aca="false">IF($M160="",0,N($L160)*N($N160))</f>
        <v>0</v>
      </c>
      <c r="P160" s="29" t="n">
        <f aca="false">IF(AND($B160&lt;&gt;"",$B160=Statement!$C$6,$J160=Statement!$C$8,$K160=1),1,0)</f>
        <v>0</v>
      </c>
      <c r="Q160" s="29" t="str">
        <f aca="false">IF($P160=1,SUM($P$5:$P160),"")</f>
        <v/>
      </c>
      <c r="R160" s="29" t="n">
        <f aca="false">IF(AND($B160&lt;&gt;"",$B160=Statement!$C$6,$M160=Statement!$C$8),1,0)</f>
        <v>0</v>
      </c>
      <c r="S160" s="29" t="str">
        <f aca="false">IF($R160=1,SUM($R$5:$R160),"")</f>
        <v/>
      </c>
    </row>
    <row r="161" customFormat="false" ht="15" hidden="false" customHeight="false" outlineLevel="0" collapsed="false">
      <c r="A161" s="28"/>
      <c r="B161" s="10"/>
      <c r="C161" s="10"/>
      <c r="D161" s="10"/>
      <c r="E161" s="23"/>
      <c r="F161" s="23"/>
      <c r="G161" s="10"/>
      <c r="H161" s="10"/>
      <c r="I161" s="28"/>
      <c r="J161" s="29" t="str">
        <f aca="false">IF(OR($A161="",$B161=""),"",IF(YEAR($A161)=Settings!$C$4,MONTH($A161),""))</f>
        <v/>
      </c>
      <c r="K161" s="29" t="str">
        <f aca="false">IF($A161="","",IF(OR($J161="",$B161=""),0,IF(OR($G161="Won",$H161="Yes"),1,0)))</f>
        <v/>
      </c>
      <c r="L161" s="30" t="str">
        <f aca="false">IF($B161="","",IFERROR(IF(INDEX(Settings!$E$12:$E$21,MATCH($B161,Settings!$B$12:$B$21,0))="Gross margin",N($F161),N($E161)),""))</f>
        <v/>
      </c>
      <c r="M161" s="29" t="str">
        <f aca="false">IF(AND($G161="Cancelled",$H161="Yes",$I161&lt;&gt;""),IF(YEAR($I161)=Settings!$C$4,MONTH($I161),""),"")</f>
        <v/>
      </c>
      <c r="N161" s="31" t="str">
        <f aca="false">IF($M161="","",IFERROR(IF($J161="",IF(INDEX(Settings!$D$12:$D$21,MATCH($B161,Settings!$B$12:$B$21,0))="Tiered",INDEX(Settings!$I$12:$I$21,MATCH($B161,Settings!$B$12:$B$21,0)),INDEX(Settings!$G$12:$G$21,MATCH($B161,Settings!$B$12:$B$21,0))),INDEX(Calculation!$U$6:$U$125,(MATCH($B161,Settings!$B$12:$B$21,0)-1)*12+$J161)),0))</f>
        <v/>
      </c>
      <c r="O161" s="30" t="n">
        <f aca="false">IF($M161="",0,N($L161)*N($N161))</f>
        <v>0</v>
      </c>
      <c r="P161" s="29" t="n">
        <f aca="false">IF(AND($B161&lt;&gt;"",$B161=Statement!$C$6,$J161=Statement!$C$8,$K161=1),1,0)</f>
        <v>0</v>
      </c>
      <c r="Q161" s="29" t="str">
        <f aca="false">IF($P161=1,SUM($P$5:$P161),"")</f>
        <v/>
      </c>
      <c r="R161" s="29" t="n">
        <f aca="false">IF(AND($B161&lt;&gt;"",$B161=Statement!$C$6,$M161=Statement!$C$8),1,0)</f>
        <v>0</v>
      </c>
      <c r="S161" s="29" t="str">
        <f aca="false">IF($R161=1,SUM($R$5:$R161),"")</f>
        <v/>
      </c>
    </row>
    <row r="162" customFormat="false" ht="15" hidden="false" customHeight="false" outlineLevel="0" collapsed="false">
      <c r="A162" s="28"/>
      <c r="B162" s="10"/>
      <c r="C162" s="10"/>
      <c r="D162" s="10"/>
      <c r="E162" s="23"/>
      <c r="F162" s="23"/>
      <c r="G162" s="10"/>
      <c r="H162" s="10"/>
      <c r="I162" s="28"/>
      <c r="J162" s="29" t="str">
        <f aca="false">IF(OR($A162="",$B162=""),"",IF(YEAR($A162)=Settings!$C$4,MONTH($A162),""))</f>
        <v/>
      </c>
      <c r="K162" s="29" t="str">
        <f aca="false">IF($A162="","",IF(OR($J162="",$B162=""),0,IF(OR($G162="Won",$H162="Yes"),1,0)))</f>
        <v/>
      </c>
      <c r="L162" s="30" t="str">
        <f aca="false">IF($B162="","",IFERROR(IF(INDEX(Settings!$E$12:$E$21,MATCH($B162,Settings!$B$12:$B$21,0))="Gross margin",N($F162),N($E162)),""))</f>
        <v/>
      </c>
      <c r="M162" s="29" t="str">
        <f aca="false">IF(AND($G162="Cancelled",$H162="Yes",$I162&lt;&gt;""),IF(YEAR($I162)=Settings!$C$4,MONTH($I162),""),"")</f>
        <v/>
      </c>
      <c r="N162" s="31" t="str">
        <f aca="false">IF($M162="","",IFERROR(IF($J162="",IF(INDEX(Settings!$D$12:$D$21,MATCH($B162,Settings!$B$12:$B$21,0))="Tiered",INDEX(Settings!$I$12:$I$21,MATCH($B162,Settings!$B$12:$B$21,0)),INDEX(Settings!$G$12:$G$21,MATCH($B162,Settings!$B$12:$B$21,0))),INDEX(Calculation!$U$6:$U$125,(MATCH($B162,Settings!$B$12:$B$21,0)-1)*12+$J162)),0))</f>
        <v/>
      </c>
      <c r="O162" s="30" t="n">
        <f aca="false">IF($M162="",0,N($L162)*N($N162))</f>
        <v>0</v>
      </c>
      <c r="P162" s="29" t="n">
        <f aca="false">IF(AND($B162&lt;&gt;"",$B162=Statement!$C$6,$J162=Statement!$C$8,$K162=1),1,0)</f>
        <v>0</v>
      </c>
      <c r="Q162" s="29" t="str">
        <f aca="false">IF($P162=1,SUM($P$5:$P162),"")</f>
        <v/>
      </c>
      <c r="R162" s="29" t="n">
        <f aca="false">IF(AND($B162&lt;&gt;"",$B162=Statement!$C$6,$M162=Statement!$C$8),1,0)</f>
        <v>0</v>
      </c>
      <c r="S162" s="29" t="str">
        <f aca="false">IF($R162=1,SUM($R$5:$R162),"")</f>
        <v/>
      </c>
    </row>
    <row r="163" customFormat="false" ht="15" hidden="false" customHeight="false" outlineLevel="0" collapsed="false">
      <c r="A163" s="28"/>
      <c r="B163" s="10"/>
      <c r="C163" s="10"/>
      <c r="D163" s="10"/>
      <c r="E163" s="23"/>
      <c r="F163" s="23"/>
      <c r="G163" s="10"/>
      <c r="H163" s="10"/>
      <c r="I163" s="28"/>
      <c r="J163" s="29" t="str">
        <f aca="false">IF(OR($A163="",$B163=""),"",IF(YEAR($A163)=Settings!$C$4,MONTH($A163),""))</f>
        <v/>
      </c>
      <c r="K163" s="29" t="str">
        <f aca="false">IF($A163="","",IF(OR($J163="",$B163=""),0,IF(OR($G163="Won",$H163="Yes"),1,0)))</f>
        <v/>
      </c>
      <c r="L163" s="30" t="str">
        <f aca="false">IF($B163="","",IFERROR(IF(INDEX(Settings!$E$12:$E$21,MATCH($B163,Settings!$B$12:$B$21,0))="Gross margin",N($F163),N($E163)),""))</f>
        <v/>
      </c>
      <c r="M163" s="29" t="str">
        <f aca="false">IF(AND($G163="Cancelled",$H163="Yes",$I163&lt;&gt;""),IF(YEAR($I163)=Settings!$C$4,MONTH($I163),""),"")</f>
        <v/>
      </c>
      <c r="N163" s="31" t="str">
        <f aca="false">IF($M163="","",IFERROR(IF($J163="",IF(INDEX(Settings!$D$12:$D$21,MATCH($B163,Settings!$B$12:$B$21,0))="Tiered",INDEX(Settings!$I$12:$I$21,MATCH($B163,Settings!$B$12:$B$21,0)),INDEX(Settings!$G$12:$G$21,MATCH($B163,Settings!$B$12:$B$21,0))),INDEX(Calculation!$U$6:$U$125,(MATCH($B163,Settings!$B$12:$B$21,0)-1)*12+$J163)),0))</f>
        <v/>
      </c>
      <c r="O163" s="30" t="n">
        <f aca="false">IF($M163="",0,N($L163)*N($N163))</f>
        <v>0</v>
      </c>
      <c r="P163" s="29" t="n">
        <f aca="false">IF(AND($B163&lt;&gt;"",$B163=Statement!$C$6,$J163=Statement!$C$8,$K163=1),1,0)</f>
        <v>0</v>
      </c>
      <c r="Q163" s="29" t="str">
        <f aca="false">IF($P163=1,SUM($P$5:$P163),"")</f>
        <v/>
      </c>
      <c r="R163" s="29" t="n">
        <f aca="false">IF(AND($B163&lt;&gt;"",$B163=Statement!$C$6,$M163=Statement!$C$8),1,0)</f>
        <v>0</v>
      </c>
      <c r="S163" s="29" t="str">
        <f aca="false">IF($R163=1,SUM($R$5:$R163),"")</f>
        <v/>
      </c>
    </row>
    <row r="164" customFormat="false" ht="15" hidden="false" customHeight="false" outlineLevel="0" collapsed="false">
      <c r="A164" s="28"/>
      <c r="B164" s="10"/>
      <c r="C164" s="10"/>
      <c r="D164" s="10"/>
      <c r="E164" s="23"/>
      <c r="F164" s="23"/>
      <c r="G164" s="10"/>
      <c r="H164" s="10"/>
      <c r="I164" s="28"/>
      <c r="J164" s="29" t="str">
        <f aca="false">IF(OR($A164="",$B164=""),"",IF(YEAR($A164)=Settings!$C$4,MONTH($A164),""))</f>
        <v/>
      </c>
      <c r="K164" s="29" t="str">
        <f aca="false">IF($A164="","",IF(OR($J164="",$B164=""),0,IF(OR($G164="Won",$H164="Yes"),1,0)))</f>
        <v/>
      </c>
      <c r="L164" s="30" t="str">
        <f aca="false">IF($B164="","",IFERROR(IF(INDEX(Settings!$E$12:$E$21,MATCH($B164,Settings!$B$12:$B$21,0))="Gross margin",N($F164),N($E164)),""))</f>
        <v/>
      </c>
      <c r="M164" s="29" t="str">
        <f aca="false">IF(AND($G164="Cancelled",$H164="Yes",$I164&lt;&gt;""),IF(YEAR($I164)=Settings!$C$4,MONTH($I164),""),"")</f>
        <v/>
      </c>
      <c r="N164" s="31" t="str">
        <f aca="false">IF($M164="","",IFERROR(IF($J164="",IF(INDEX(Settings!$D$12:$D$21,MATCH($B164,Settings!$B$12:$B$21,0))="Tiered",INDEX(Settings!$I$12:$I$21,MATCH($B164,Settings!$B$12:$B$21,0)),INDEX(Settings!$G$12:$G$21,MATCH($B164,Settings!$B$12:$B$21,0))),INDEX(Calculation!$U$6:$U$125,(MATCH($B164,Settings!$B$12:$B$21,0)-1)*12+$J164)),0))</f>
        <v/>
      </c>
      <c r="O164" s="30" t="n">
        <f aca="false">IF($M164="",0,N($L164)*N($N164))</f>
        <v>0</v>
      </c>
      <c r="P164" s="29" t="n">
        <f aca="false">IF(AND($B164&lt;&gt;"",$B164=Statement!$C$6,$J164=Statement!$C$8,$K164=1),1,0)</f>
        <v>0</v>
      </c>
      <c r="Q164" s="29" t="str">
        <f aca="false">IF($P164=1,SUM($P$5:$P164),"")</f>
        <v/>
      </c>
      <c r="R164" s="29" t="n">
        <f aca="false">IF(AND($B164&lt;&gt;"",$B164=Statement!$C$6,$M164=Statement!$C$8),1,0)</f>
        <v>0</v>
      </c>
      <c r="S164" s="29" t="str">
        <f aca="false">IF($R164=1,SUM($R$5:$R164),"")</f>
        <v/>
      </c>
    </row>
    <row r="165" customFormat="false" ht="15" hidden="false" customHeight="false" outlineLevel="0" collapsed="false">
      <c r="A165" s="28"/>
      <c r="B165" s="10"/>
      <c r="C165" s="10"/>
      <c r="D165" s="10"/>
      <c r="E165" s="23"/>
      <c r="F165" s="23"/>
      <c r="G165" s="10"/>
      <c r="H165" s="10"/>
      <c r="I165" s="28"/>
      <c r="J165" s="29" t="str">
        <f aca="false">IF(OR($A165="",$B165=""),"",IF(YEAR($A165)=Settings!$C$4,MONTH($A165),""))</f>
        <v/>
      </c>
      <c r="K165" s="29" t="str">
        <f aca="false">IF($A165="","",IF(OR($J165="",$B165=""),0,IF(OR($G165="Won",$H165="Yes"),1,0)))</f>
        <v/>
      </c>
      <c r="L165" s="30" t="str">
        <f aca="false">IF($B165="","",IFERROR(IF(INDEX(Settings!$E$12:$E$21,MATCH($B165,Settings!$B$12:$B$21,0))="Gross margin",N($F165),N($E165)),""))</f>
        <v/>
      </c>
      <c r="M165" s="29" t="str">
        <f aca="false">IF(AND($G165="Cancelled",$H165="Yes",$I165&lt;&gt;""),IF(YEAR($I165)=Settings!$C$4,MONTH($I165),""),"")</f>
        <v/>
      </c>
      <c r="N165" s="31" t="str">
        <f aca="false">IF($M165="","",IFERROR(IF($J165="",IF(INDEX(Settings!$D$12:$D$21,MATCH($B165,Settings!$B$12:$B$21,0))="Tiered",INDEX(Settings!$I$12:$I$21,MATCH($B165,Settings!$B$12:$B$21,0)),INDEX(Settings!$G$12:$G$21,MATCH($B165,Settings!$B$12:$B$21,0))),INDEX(Calculation!$U$6:$U$125,(MATCH($B165,Settings!$B$12:$B$21,0)-1)*12+$J165)),0))</f>
        <v/>
      </c>
      <c r="O165" s="30" t="n">
        <f aca="false">IF($M165="",0,N($L165)*N($N165))</f>
        <v>0</v>
      </c>
      <c r="P165" s="29" t="n">
        <f aca="false">IF(AND($B165&lt;&gt;"",$B165=Statement!$C$6,$J165=Statement!$C$8,$K165=1),1,0)</f>
        <v>0</v>
      </c>
      <c r="Q165" s="29" t="str">
        <f aca="false">IF($P165=1,SUM($P$5:$P165),"")</f>
        <v/>
      </c>
      <c r="R165" s="29" t="n">
        <f aca="false">IF(AND($B165&lt;&gt;"",$B165=Statement!$C$6,$M165=Statement!$C$8),1,0)</f>
        <v>0</v>
      </c>
      <c r="S165" s="29" t="str">
        <f aca="false">IF($R165=1,SUM($R$5:$R165),"")</f>
        <v/>
      </c>
    </row>
    <row r="166" customFormat="false" ht="15" hidden="false" customHeight="false" outlineLevel="0" collapsed="false">
      <c r="A166" s="28"/>
      <c r="B166" s="10"/>
      <c r="C166" s="10"/>
      <c r="D166" s="10"/>
      <c r="E166" s="23"/>
      <c r="F166" s="23"/>
      <c r="G166" s="10"/>
      <c r="H166" s="10"/>
      <c r="I166" s="28"/>
      <c r="J166" s="29" t="str">
        <f aca="false">IF(OR($A166="",$B166=""),"",IF(YEAR($A166)=Settings!$C$4,MONTH($A166),""))</f>
        <v/>
      </c>
      <c r="K166" s="29" t="str">
        <f aca="false">IF($A166="","",IF(OR($J166="",$B166=""),0,IF(OR($G166="Won",$H166="Yes"),1,0)))</f>
        <v/>
      </c>
      <c r="L166" s="30" t="str">
        <f aca="false">IF($B166="","",IFERROR(IF(INDEX(Settings!$E$12:$E$21,MATCH($B166,Settings!$B$12:$B$21,0))="Gross margin",N($F166),N($E166)),""))</f>
        <v/>
      </c>
      <c r="M166" s="29" t="str">
        <f aca="false">IF(AND($G166="Cancelled",$H166="Yes",$I166&lt;&gt;""),IF(YEAR($I166)=Settings!$C$4,MONTH($I166),""),"")</f>
        <v/>
      </c>
      <c r="N166" s="31" t="str">
        <f aca="false">IF($M166="","",IFERROR(IF($J166="",IF(INDEX(Settings!$D$12:$D$21,MATCH($B166,Settings!$B$12:$B$21,0))="Tiered",INDEX(Settings!$I$12:$I$21,MATCH($B166,Settings!$B$12:$B$21,0)),INDEX(Settings!$G$12:$G$21,MATCH($B166,Settings!$B$12:$B$21,0))),INDEX(Calculation!$U$6:$U$125,(MATCH($B166,Settings!$B$12:$B$21,0)-1)*12+$J166)),0))</f>
        <v/>
      </c>
      <c r="O166" s="30" t="n">
        <f aca="false">IF($M166="",0,N($L166)*N($N166))</f>
        <v>0</v>
      </c>
      <c r="P166" s="29" t="n">
        <f aca="false">IF(AND($B166&lt;&gt;"",$B166=Statement!$C$6,$J166=Statement!$C$8,$K166=1),1,0)</f>
        <v>0</v>
      </c>
      <c r="Q166" s="29" t="str">
        <f aca="false">IF($P166=1,SUM($P$5:$P166),"")</f>
        <v/>
      </c>
      <c r="R166" s="29" t="n">
        <f aca="false">IF(AND($B166&lt;&gt;"",$B166=Statement!$C$6,$M166=Statement!$C$8),1,0)</f>
        <v>0</v>
      </c>
      <c r="S166" s="29" t="str">
        <f aca="false">IF($R166=1,SUM($R$5:$R166),"")</f>
        <v/>
      </c>
    </row>
    <row r="167" customFormat="false" ht="15" hidden="false" customHeight="false" outlineLevel="0" collapsed="false">
      <c r="A167" s="28"/>
      <c r="B167" s="10"/>
      <c r="C167" s="10"/>
      <c r="D167" s="10"/>
      <c r="E167" s="23"/>
      <c r="F167" s="23"/>
      <c r="G167" s="10"/>
      <c r="H167" s="10"/>
      <c r="I167" s="28"/>
      <c r="J167" s="29" t="str">
        <f aca="false">IF(OR($A167="",$B167=""),"",IF(YEAR($A167)=Settings!$C$4,MONTH($A167),""))</f>
        <v/>
      </c>
      <c r="K167" s="29" t="str">
        <f aca="false">IF($A167="","",IF(OR($J167="",$B167=""),0,IF(OR($G167="Won",$H167="Yes"),1,0)))</f>
        <v/>
      </c>
      <c r="L167" s="30" t="str">
        <f aca="false">IF($B167="","",IFERROR(IF(INDEX(Settings!$E$12:$E$21,MATCH($B167,Settings!$B$12:$B$21,0))="Gross margin",N($F167),N($E167)),""))</f>
        <v/>
      </c>
      <c r="M167" s="29" t="str">
        <f aca="false">IF(AND($G167="Cancelled",$H167="Yes",$I167&lt;&gt;""),IF(YEAR($I167)=Settings!$C$4,MONTH($I167),""),"")</f>
        <v/>
      </c>
      <c r="N167" s="31" t="str">
        <f aca="false">IF($M167="","",IFERROR(IF($J167="",IF(INDEX(Settings!$D$12:$D$21,MATCH($B167,Settings!$B$12:$B$21,0))="Tiered",INDEX(Settings!$I$12:$I$21,MATCH($B167,Settings!$B$12:$B$21,0)),INDEX(Settings!$G$12:$G$21,MATCH($B167,Settings!$B$12:$B$21,0))),INDEX(Calculation!$U$6:$U$125,(MATCH($B167,Settings!$B$12:$B$21,0)-1)*12+$J167)),0))</f>
        <v/>
      </c>
      <c r="O167" s="30" t="n">
        <f aca="false">IF($M167="",0,N($L167)*N($N167))</f>
        <v>0</v>
      </c>
      <c r="P167" s="29" t="n">
        <f aca="false">IF(AND($B167&lt;&gt;"",$B167=Statement!$C$6,$J167=Statement!$C$8,$K167=1),1,0)</f>
        <v>0</v>
      </c>
      <c r="Q167" s="29" t="str">
        <f aca="false">IF($P167=1,SUM($P$5:$P167),"")</f>
        <v/>
      </c>
      <c r="R167" s="29" t="n">
        <f aca="false">IF(AND($B167&lt;&gt;"",$B167=Statement!$C$6,$M167=Statement!$C$8),1,0)</f>
        <v>0</v>
      </c>
      <c r="S167" s="29" t="str">
        <f aca="false">IF($R167=1,SUM($R$5:$R167),"")</f>
        <v/>
      </c>
    </row>
    <row r="168" customFormat="false" ht="15" hidden="false" customHeight="false" outlineLevel="0" collapsed="false">
      <c r="A168" s="28"/>
      <c r="B168" s="10"/>
      <c r="C168" s="10"/>
      <c r="D168" s="10"/>
      <c r="E168" s="23"/>
      <c r="F168" s="23"/>
      <c r="G168" s="10"/>
      <c r="H168" s="10"/>
      <c r="I168" s="28"/>
      <c r="J168" s="29" t="str">
        <f aca="false">IF(OR($A168="",$B168=""),"",IF(YEAR($A168)=Settings!$C$4,MONTH($A168),""))</f>
        <v/>
      </c>
      <c r="K168" s="29" t="str">
        <f aca="false">IF($A168="","",IF(OR($J168="",$B168=""),0,IF(OR($G168="Won",$H168="Yes"),1,0)))</f>
        <v/>
      </c>
      <c r="L168" s="30" t="str">
        <f aca="false">IF($B168="","",IFERROR(IF(INDEX(Settings!$E$12:$E$21,MATCH($B168,Settings!$B$12:$B$21,0))="Gross margin",N($F168),N($E168)),""))</f>
        <v/>
      </c>
      <c r="M168" s="29" t="str">
        <f aca="false">IF(AND($G168="Cancelled",$H168="Yes",$I168&lt;&gt;""),IF(YEAR($I168)=Settings!$C$4,MONTH($I168),""),"")</f>
        <v/>
      </c>
      <c r="N168" s="31" t="str">
        <f aca="false">IF($M168="","",IFERROR(IF($J168="",IF(INDEX(Settings!$D$12:$D$21,MATCH($B168,Settings!$B$12:$B$21,0))="Tiered",INDEX(Settings!$I$12:$I$21,MATCH($B168,Settings!$B$12:$B$21,0)),INDEX(Settings!$G$12:$G$21,MATCH($B168,Settings!$B$12:$B$21,0))),INDEX(Calculation!$U$6:$U$125,(MATCH($B168,Settings!$B$12:$B$21,0)-1)*12+$J168)),0))</f>
        <v/>
      </c>
      <c r="O168" s="30" t="n">
        <f aca="false">IF($M168="",0,N($L168)*N($N168))</f>
        <v>0</v>
      </c>
      <c r="P168" s="29" t="n">
        <f aca="false">IF(AND($B168&lt;&gt;"",$B168=Statement!$C$6,$J168=Statement!$C$8,$K168=1),1,0)</f>
        <v>0</v>
      </c>
      <c r="Q168" s="29" t="str">
        <f aca="false">IF($P168=1,SUM($P$5:$P168),"")</f>
        <v/>
      </c>
      <c r="R168" s="29" t="n">
        <f aca="false">IF(AND($B168&lt;&gt;"",$B168=Statement!$C$6,$M168=Statement!$C$8),1,0)</f>
        <v>0</v>
      </c>
      <c r="S168" s="29" t="str">
        <f aca="false">IF($R168=1,SUM($R$5:$R168),"")</f>
        <v/>
      </c>
    </row>
    <row r="169" customFormat="false" ht="15" hidden="false" customHeight="false" outlineLevel="0" collapsed="false">
      <c r="A169" s="28"/>
      <c r="B169" s="10"/>
      <c r="C169" s="10"/>
      <c r="D169" s="10"/>
      <c r="E169" s="23"/>
      <c r="F169" s="23"/>
      <c r="G169" s="10"/>
      <c r="H169" s="10"/>
      <c r="I169" s="28"/>
      <c r="J169" s="29" t="str">
        <f aca="false">IF(OR($A169="",$B169=""),"",IF(YEAR($A169)=Settings!$C$4,MONTH($A169),""))</f>
        <v/>
      </c>
      <c r="K169" s="29" t="str">
        <f aca="false">IF($A169="","",IF(OR($J169="",$B169=""),0,IF(OR($G169="Won",$H169="Yes"),1,0)))</f>
        <v/>
      </c>
      <c r="L169" s="30" t="str">
        <f aca="false">IF($B169="","",IFERROR(IF(INDEX(Settings!$E$12:$E$21,MATCH($B169,Settings!$B$12:$B$21,0))="Gross margin",N($F169),N($E169)),""))</f>
        <v/>
      </c>
      <c r="M169" s="29" t="str">
        <f aca="false">IF(AND($G169="Cancelled",$H169="Yes",$I169&lt;&gt;""),IF(YEAR($I169)=Settings!$C$4,MONTH($I169),""),"")</f>
        <v/>
      </c>
      <c r="N169" s="31" t="str">
        <f aca="false">IF($M169="","",IFERROR(IF($J169="",IF(INDEX(Settings!$D$12:$D$21,MATCH($B169,Settings!$B$12:$B$21,0))="Tiered",INDEX(Settings!$I$12:$I$21,MATCH($B169,Settings!$B$12:$B$21,0)),INDEX(Settings!$G$12:$G$21,MATCH($B169,Settings!$B$12:$B$21,0))),INDEX(Calculation!$U$6:$U$125,(MATCH($B169,Settings!$B$12:$B$21,0)-1)*12+$J169)),0))</f>
        <v/>
      </c>
      <c r="O169" s="30" t="n">
        <f aca="false">IF($M169="",0,N($L169)*N($N169))</f>
        <v>0</v>
      </c>
      <c r="P169" s="29" t="n">
        <f aca="false">IF(AND($B169&lt;&gt;"",$B169=Statement!$C$6,$J169=Statement!$C$8,$K169=1),1,0)</f>
        <v>0</v>
      </c>
      <c r="Q169" s="29" t="str">
        <f aca="false">IF($P169=1,SUM($P$5:$P169),"")</f>
        <v/>
      </c>
      <c r="R169" s="29" t="n">
        <f aca="false">IF(AND($B169&lt;&gt;"",$B169=Statement!$C$6,$M169=Statement!$C$8),1,0)</f>
        <v>0</v>
      </c>
      <c r="S169" s="29" t="str">
        <f aca="false">IF($R169=1,SUM($R$5:$R169),"")</f>
        <v/>
      </c>
    </row>
    <row r="170" customFormat="false" ht="15" hidden="false" customHeight="false" outlineLevel="0" collapsed="false">
      <c r="A170" s="28"/>
      <c r="B170" s="10"/>
      <c r="C170" s="10"/>
      <c r="D170" s="10"/>
      <c r="E170" s="23"/>
      <c r="F170" s="23"/>
      <c r="G170" s="10"/>
      <c r="H170" s="10"/>
      <c r="I170" s="28"/>
      <c r="J170" s="29" t="str">
        <f aca="false">IF(OR($A170="",$B170=""),"",IF(YEAR($A170)=Settings!$C$4,MONTH($A170),""))</f>
        <v/>
      </c>
      <c r="K170" s="29" t="str">
        <f aca="false">IF($A170="","",IF(OR($J170="",$B170=""),0,IF(OR($G170="Won",$H170="Yes"),1,0)))</f>
        <v/>
      </c>
      <c r="L170" s="30" t="str">
        <f aca="false">IF($B170="","",IFERROR(IF(INDEX(Settings!$E$12:$E$21,MATCH($B170,Settings!$B$12:$B$21,0))="Gross margin",N($F170),N($E170)),""))</f>
        <v/>
      </c>
      <c r="M170" s="29" t="str">
        <f aca="false">IF(AND($G170="Cancelled",$H170="Yes",$I170&lt;&gt;""),IF(YEAR($I170)=Settings!$C$4,MONTH($I170),""),"")</f>
        <v/>
      </c>
      <c r="N170" s="31" t="str">
        <f aca="false">IF($M170="","",IFERROR(IF($J170="",IF(INDEX(Settings!$D$12:$D$21,MATCH($B170,Settings!$B$12:$B$21,0))="Tiered",INDEX(Settings!$I$12:$I$21,MATCH($B170,Settings!$B$12:$B$21,0)),INDEX(Settings!$G$12:$G$21,MATCH($B170,Settings!$B$12:$B$21,0))),INDEX(Calculation!$U$6:$U$125,(MATCH($B170,Settings!$B$12:$B$21,0)-1)*12+$J170)),0))</f>
        <v/>
      </c>
      <c r="O170" s="30" t="n">
        <f aca="false">IF($M170="",0,N($L170)*N($N170))</f>
        <v>0</v>
      </c>
      <c r="P170" s="29" t="n">
        <f aca="false">IF(AND($B170&lt;&gt;"",$B170=Statement!$C$6,$J170=Statement!$C$8,$K170=1),1,0)</f>
        <v>0</v>
      </c>
      <c r="Q170" s="29" t="str">
        <f aca="false">IF($P170=1,SUM($P$5:$P170),"")</f>
        <v/>
      </c>
      <c r="R170" s="29" t="n">
        <f aca="false">IF(AND($B170&lt;&gt;"",$B170=Statement!$C$6,$M170=Statement!$C$8),1,0)</f>
        <v>0</v>
      </c>
      <c r="S170" s="29" t="str">
        <f aca="false">IF($R170=1,SUM($R$5:$R170),"")</f>
        <v/>
      </c>
    </row>
    <row r="171" customFormat="false" ht="15" hidden="false" customHeight="false" outlineLevel="0" collapsed="false">
      <c r="A171" s="28"/>
      <c r="B171" s="10"/>
      <c r="C171" s="10"/>
      <c r="D171" s="10"/>
      <c r="E171" s="23"/>
      <c r="F171" s="23"/>
      <c r="G171" s="10"/>
      <c r="H171" s="10"/>
      <c r="I171" s="28"/>
      <c r="J171" s="29" t="str">
        <f aca="false">IF(OR($A171="",$B171=""),"",IF(YEAR($A171)=Settings!$C$4,MONTH($A171),""))</f>
        <v/>
      </c>
      <c r="K171" s="29" t="str">
        <f aca="false">IF($A171="","",IF(OR($J171="",$B171=""),0,IF(OR($G171="Won",$H171="Yes"),1,0)))</f>
        <v/>
      </c>
      <c r="L171" s="30" t="str">
        <f aca="false">IF($B171="","",IFERROR(IF(INDEX(Settings!$E$12:$E$21,MATCH($B171,Settings!$B$12:$B$21,0))="Gross margin",N($F171),N($E171)),""))</f>
        <v/>
      </c>
      <c r="M171" s="29" t="str">
        <f aca="false">IF(AND($G171="Cancelled",$H171="Yes",$I171&lt;&gt;""),IF(YEAR($I171)=Settings!$C$4,MONTH($I171),""),"")</f>
        <v/>
      </c>
      <c r="N171" s="31" t="str">
        <f aca="false">IF($M171="","",IFERROR(IF($J171="",IF(INDEX(Settings!$D$12:$D$21,MATCH($B171,Settings!$B$12:$B$21,0))="Tiered",INDEX(Settings!$I$12:$I$21,MATCH($B171,Settings!$B$12:$B$21,0)),INDEX(Settings!$G$12:$G$21,MATCH($B171,Settings!$B$12:$B$21,0))),INDEX(Calculation!$U$6:$U$125,(MATCH($B171,Settings!$B$12:$B$21,0)-1)*12+$J171)),0))</f>
        <v/>
      </c>
      <c r="O171" s="30" t="n">
        <f aca="false">IF($M171="",0,N($L171)*N($N171))</f>
        <v>0</v>
      </c>
      <c r="P171" s="29" t="n">
        <f aca="false">IF(AND($B171&lt;&gt;"",$B171=Statement!$C$6,$J171=Statement!$C$8,$K171=1),1,0)</f>
        <v>0</v>
      </c>
      <c r="Q171" s="29" t="str">
        <f aca="false">IF($P171=1,SUM($P$5:$P171),"")</f>
        <v/>
      </c>
      <c r="R171" s="29" t="n">
        <f aca="false">IF(AND($B171&lt;&gt;"",$B171=Statement!$C$6,$M171=Statement!$C$8),1,0)</f>
        <v>0</v>
      </c>
      <c r="S171" s="29" t="str">
        <f aca="false">IF($R171=1,SUM($R$5:$R171),"")</f>
        <v/>
      </c>
    </row>
    <row r="172" customFormat="false" ht="15" hidden="false" customHeight="false" outlineLevel="0" collapsed="false">
      <c r="A172" s="28"/>
      <c r="B172" s="10"/>
      <c r="C172" s="10"/>
      <c r="D172" s="10"/>
      <c r="E172" s="23"/>
      <c r="F172" s="23"/>
      <c r="G172" s="10"/>
      <c r="H172" s="10"/>
      <c r="I172" s="28"/>
      <c r="J172" s="29" t="str">
        <f aca="false">IF(OR($A172="",$B172=""),"",IF(YEAR($A172)=Settings!$C$4,MONTH($A172),""))</f>
        <v/>
      </c>
      <c r="K172" s="29" t="str">
        <f aca="false">IF($A172="","",IF(OR($J172="",$B172=""),0,IF(OR($G172="Won",$H172="Yes"),1,0)))</f>
        <v/>
      </c>
      <c r="L172" s="30" t="str">
        <f aca="false">IF($B172="","",IFERROR(IF(INDEX(Settings!$E$12:$E$21,MATCH($B172,Settings!$B$12:$B$21,0))="Gross margin",N($F172),N($E172)),""))</f>
        <v/>
      </c>
      <c r="M172" s="29" t="str">
        <f aca="false">IF(AND($G172="Cancelled",$H172="Yes",$I172&lt;&gt;""),IF(YEAR($I172)=Settings!$C$4,MONTH($I172),""),"")</f>
        <v/>
      </c>
      <c r="N172" s="31" t="str">
        <f aca="false">IF($M172="","",IFERROR(IF($J172="",IF(INDEX(Settings!$D$12:$D$21,MATCH($B172,Settings!$B$12:$B$21,0))="Tiered",INDEX(Settings!$I$12:$I$21,MATCH($B172,Settings!$B$12:$B$21,0)),INDEX(Settings!$G$12:$G$21,MATCH($B172,Settings!$B$12:$B$21,0))),INDEX(Calculation!$U$6:$U$125,(MATCH($B172,Settings!$B$12:$B$21,0)-1)*12+$J172)),0))</f>
        <v/>
      </c>
      <c r="O172" s="30" t="n">
        <f aca="false">IF($M172="",0,N($L172)*N($N172))</f>
        <v>0</v>
      </c>
      <c r="P172" s="29" t="n">
        <f aca="false">IF(AND($B172&lt;&gt;"",$B172=Statement!$C$6,$J172=Statement!$C$8,$K172=1),1,0)</f>
        <v>0</v>
      </c>
      <c r="Q172" s="29" t="str">
        <f aca="false">IF($P172=1,SUM($P$5:$P172),"")</f>
        <v/>
      </c>
      <c r="R172" s="29" t="n">
        <f aca="false">IF(AND($B172&lt;&gt;"",$B172=Statement!$C$6,$M172=Statement!$C$8),1,0)</f>
        <v>0</v>
      </c>
      <c r="S172" s="29" t="str">
        <f aca="false">IF($R172=1,SUM($R$5:$R172),"")</f>
        <v/>
      </c>
    </row>
    <row r="173" customFormat="false" ht="15" hidden="false" customHeight="false" outlineLevel="0" collapsed="false">
      <c r="A173" s="28"/>
      <c r="B173" s="10"/>
      <c r="C173" s="10"/>
      <c r="D173" s="10"/>
      <c r="E173" s="23"/>
      <c r="F173" s="23"/>
      <c r="G173" s="10"/>
      <c r="H173" s="10"/>
      <c r="I173" s="28"/>
      <c r="J173" s="29" t="str">
        <f aca="false">IF(OR($A173="",$B173=""),"",IF(YEAR($A173)=Settings!$C$4,MONTH($A173),""))</f>
        <v/>
      </c>
      <c r="K173" s="29" t="str">
        <f aca="false">IF($A173="","",IF(OR($J173="",$B173=""),0,IF(OR($G173="Won",$H173="Yes"),1,0)))</f>
        <v/>
      </c>
      <c r="L173" s="30" t="str">
        <f aca="false">IF($B173="","",IFERROR(IF(INDEX(Settings!$E$12:$E$21,MATCH($B173,Settings!$B$12:$B$21,0))="Gross margin",N($F173),N($E173)),""))</f>
        <v/>
      </c>
      <c r="M173" s="29" t="str">
        <f aca="false">IF(AND($G173="Cancelled",$H173="Yes",$I173&lt;&gt;""),IF(YEAR($I173)=Settings!$C$4,MONTH($I173),""),"")</f>
        <v/>
      </c>
      <c r="N173" s="31" t="str">
        <f aca="false">IF($M173="","",IFERROR(IF($J173="",IF(INDEX(Settings!$D$12:$D$21,MATCH($B173,Settings!$B$12:$B$21,0))="Tiered",INDEX(Settings!$I$12:$I$21,MATCH($B173,Settings!$B$12:$B$21,0)),INDEX(Settings!$G$12:$G$21,MATCH($B173,Settings!$B$12:$B$21,0))),INDEX(Calculation!$U$6:$U$125,(MATCH($B173,Settings!$B$12:$B$21,0)-1)*12+$J173)),0))</f>
        <v/>
      </c>
      <c r="O173" s="30" t="n">
        <f aca="false">IF($M173="",0,N($L173)*N($N173))</f>
        <v>0</v>
      </c>
      <c r="P173" s="29" t="n">
        <f aca="false">IF(AND($B173&lt;&gt;"",$B173=Statement!$C$6,$J173=Statement!$C$8,$K173=1),1,0)</f>
        <v>0</v>
      </c>
      <c r="Q173" s="29" t="str">
        <f aca="false">IF($P173=1,SUM($P$5:$P173),"")</f>
        <v/>
      </c>
      <c r="R173" s="29" t="n">
        <f aca="false">IF(AND($B173&lt;&gt;"",$B173=Statement!$C$6,$M173=Statement!$C$8),1,0)</f>
        <v>0</v>
      </c>
      <c r="S173" s="29" t="str">
        <f aca="false">IF($R173=1,SUM($R$5:$R173),"")</f>
        <v/>
      </c>
    </row>
    <row r="174" customFormat="false" ht="15" hidden="false" customHeight="false" outlineLevel="0" collapsed="false">
      <c r="A174" s="28"/>
      <c r="B174" s="10"/>
      <c r="C174" s="10"/>
      <c r="D174" s="10"/>
      <c r="E174" s="23"/>
      <c r="F174" s="23"/>
      <c r="G174" s="10"/>
      <c r="H174" s="10"/>
      <c r="I174" s="28"/>
      <c r="J174" s="29" t="str">
        <f aca="false">IF(OR($A174="",$B174=""),"",IF(YEAR($A174)=Settings!$C$4,MONTH($A174),""))</f>
        <v/>
      </c>
      <c r="K174" s="29" t="str">
        <f aca="false">IF($A174="","",IF(OR($J174="",$B174=""),0,IF(OR($G174="Won",$H174="Yes"),1,0)))</f>
        <v/>
      </c>
      <c r="L174" s="30" t="str">
        <f aca="false">IF($B174="","",IFERROR(IF(INDEX(Settings!$E$12:$E$21,MATCH($B174,Settings!$B$12:$B$21,0))="Gross margin",N($F174),N($E174)),""))</f>
        <v/>
      </c>
      <c r="M174" s="29" t="str">
        <f aca="false">IF(AND($G174="Cancelled",$H174="Yes",$I174&lt;&gt;""),IF(YEAR($I174)=Settings!$C$4,MONTH($I174),""),"")</f>
        <v/>
      </c>
      <c r="N174" s="31" t="str">
        <f aca="false">IF($M174="","",IFERROR(IF($J174="",IF(INDEX(Settings!$D$12:$D$21,MATCH($B174,Settings!$B$12:$B$21,0))="Tiered",INDEX(Settings!$I$12:$I$21,MATCH($B174,Settings!$B$12:$B$21,0)),INDEX(Settings!$G$12:$G$21,MATCH($B174,Settings!$B$12:$B$21,0))),INDEX(Calculation!$U$6:$U$125,(MATCH($B174,Settings!$B$12:$B$21,0)-1)*12+$J174)),0))</f>
        <v/>
      </c>
      <c r="O174" s="30" t="n">
        <f aca="false">IF($M174="",0,N($L174)*N($N174))</f>
        <v>0</v>
      </c>
      <c r="P174" s="29" t="n">
        <f aca="false">IF(AND($B174&lt;&gt;"",$B174=Statement!$C$6,$J174=Statement!$C$8,$K174=1),1,0)</f>
        <v>0</v>
      </c>
      <c r="Q174" s="29" t="str">
        <f aca="false">IF($P174=1,SUM($P$5:$P174),"")</f>
        <v/>
      </c>
      <c r="R174" s="29" t="n">
        <f aca="false">IF(AND($B174&lt;&gt;"",$B174=Statement!$C$6,$M174=Statement!$C$8),1,0)</f>
        <v>0</v>
      </c>
      <c r="S174" s="29" t="str">
        <f aca="false">IF($R174=1,SUM($R$5:$R174),"")</f>
        <v/>
      </c>
    </row>
    <row r="175" customFormat="false" ht="15" hidden="false" customHeight="false" outlineLevel="0" collapsed="false">
      <c r="A175" s="28"/>
      <c r="B175" s="10"/>
      <c r="C175" s="10"/>
      <c r="D175" s="10"/>
      <c r="E175" s="23"/>
      <c r="F175" s="23"/>
      <c r="G175" s="10"/>
      <c r="H175" s="10"/>
      <c r="I175" s="28"/>
      <c r="J175" s="29" t="str">
        <f aca="false">IF(OR($A175="",$B175=""),"",IF(YEAR($A175)=Settings!$C$4,MONTH($A175),""))</f>
        <v/>
      </c>
      <c r="K175" s="29" t="str">
        <f aca="false">IF($A175="","",IF(OR($J175="",$B175=""),0,IF(OR($G175="Won",$H175="Yes"),1,0)))</f>
        <v/>
      </c>
      <c r="L175" s="30" t="str">
        <f aca="false">IF($B175="","",IFERROR(IF(INDEX(Settings!$E$12:$E$21,MATCH($B175,Settings!$B$12:$B$21,0))="Gross margin",N($F175),N($E175)),""))</f>
        <v/>
      </c>
      <c r="M175" s="29" t="str">
        <f aca="false">IF(AND($G175="Cancelled",$H175="Yes",$I175&lt;&gt;""),IF(YEAR($I175)=Settings!$C$4,MONTH($I175),""),"")</f>
        <v/>
      </c>
      <c r="N175" s="31" t="str">
        <f aca="false">IF($M175="","",IFERROR(IF($J175="",IF(INDEX(Settings!$D$12:$D$21,MATCH($B175,Settings!$B$12:$B$21,0))="Tiered",INDEX(Settings!$I$12:$I$21,MATCH($B175,Settings!$B$12:$B$21,0)),INDEX(Settings!$G$12:$G$21,MATCH($B175,Settings!$B$12:$B$21,0))),INDEX(Calculation!$U$6:$U$125,(MATCH($B175,Settings!$B$12:$B$21,0)-1)*12+$J175)),0))</f>
        <v/>
      </c>
      <c r="O175" s="30" t="n">
        <f aca="false">IF($M175="",0,N($L175)*N($N175))</f>
        <v>0</v>
      </c>
      <c r="P175" s="29" t="n">
        <f aca="false">IF(AND($B175&lt;&gt;"",$B175=Statement!$C$6,$J175=Statement!$C$8,$K175=1),1,0)</f>
        <v>0</v>
      </c>
      <c r="Q175" s="29" t="str">
        <f aca="false">IF($P175=1,SUM($P$5:$P175),"")</f>
        <v/>
      </c>
      <c r="R175" s="29" t="n">
        <f aca="false">IF(AND($B175&lt;&gt;"",$B175=Statement!$C$6,$M175=Statement!$C$8),1,0)</f>
        <v>0</v>
      </c>
      <c r="S175" s="29" t="str">
        <f aca="false">IF($R175=1,SUM($R$5:$R175),"")</f>
        <v/>
      </c>
    </row>
    <row r="176" customFormat="false" ht="15" hidden="false" customHeight="false" outlineLevel="0" collapsed="false">
      <c r="A176" s="28"/>
      <c r="B176" s="10"/>
      <c r="C176" s="10"/>
      <c r="D176" s="10"/>
      <c r="E176" s="23"/>
      <c r="F176" s="23"/>
      <c r="G176" s="10"/>
      <c r="H176" s="10"/>
      <c r="I176" s="28"/>
      <c r="J176" s="29" t="str">
        <f aca="false">IF(OR($A176="",$B176=""),"",IF(YEAR($A176)=Settings!$C$4,MONTH($A176),""))</f>
        <v/>
      </c>
      <c r="K176" s="29" t="str">
        <f aca="false">IF($A176="","",IF(OR($J176="",$B176=""),0,IF(OR($G176="Won",$H176="Yes"),1,0)))</f>
        <v/>
      </c>
      <c r="L176" s="30" t="str">
        <f aca="false">IF($B176="","",IFERROR(IF(INDEX(Settings!$E$12:$E$21,MATCH($B176,Settings!$B$12:$B$21,0))="Gross margin",N($F176),N($E176)),""))</f>
        <v/>
      </c>
      <c r="M176" s="29" t="str">
        <f aca="false">IF(AND($G176="Cancelled",$H176="Yes",$I176&lt;&gt;""),IF(YEAR($I176)=Settings!$C$4,MONTH($I176),""),"")</f>
        <v/>
      </c>
      <c r="N176" s="31" t="str">
        <f aca="false">IF($M176="","",IFERROR(IF($J176="",IF(INDEX(Settings!$D$12:$D$21,MATCH($B176,Settings!$B$12:$B$21,0))="Tiered",INDEX(Settings!$I$12:$I$21,MATCH($B176,Settings!$B$12:$B$21,0)),INDEX(Settings!$G$12:$G$21,MATCH($B176,Settings!$B$12:$B$21,0))),INDEX(Calculation!$U$6:$U$125,(MATCH($B176,Settings!$B$12:$B$21,0)-1)*12+$J176)),0))</f>
        <v/>
      </c>
      <c r="O176" s="30" t="n">
        <f aca="false">IF($M176="",0,N($L176)*N($N176))</f>
        <v>0</v>
      </c>
      <c r="P176" s="29" t="n">
        <f aca="false">IF(AND($B176&lt;&gt;"",$B176=Statement!$C$6,$J176=Statement!$C$8,$K176=1),1,0)</f>
        <v>0</v>
      </c>
      <c r="Q176" s="29" t="str">
        <f aca="false">IF($P176=1,SUM($P$5:$P176),"")</f>
        <v/>
      </c>
      <c r="R176" s="29" t="n">
        <f aca="false">IF(AND($B176&lt;&gt;"",$B176=Statement!$C$6,$M176=Statement!$C$8),1,0)</f>
        <v>0</v>
      </c>
      <c r="S176" s="29" t="str">
        <f aca="false">IF($R176=1,SUM($R$5:$R176),"")</f>
        <v/>
      </c>
    </row>
    <row r="177" customFormat="false" ht="15" hidden="false" customHeight="false" outlineLevel="0" collapsed="false">
      <c r="A177" s="28"/>
      <c r="B177" s="10"/>
      <c r="C177" s="10"/>
      <c r="D177" s="10"/>
      <c r="E177" s="23"/>
      <c r="F177" s="23"/>
      <c r="G177" s="10"/>
      <c r="H177" s="10"/>
      <c r="I177" s="28"/>
      <c r="J177" s="29" t="str">
        <f aca="false">IF(OR($A177="",$B177=""),"",IF(YEAR($A177)=Settings!$C$4,MONTH($A177),""))</f>
        <v/>
      </c>
      <c r="K177" s="29" t="str">
        <f aca="false">IF($A177="","",IF(OR($J177="",$B177=""),0,IF(OR($G177="Won",$H177="Yes"),1,0)))</f>
        <v/>
      </c>
      <c r="L177" s="30" t="str">
        <f aca="false">IF($B177="","",IFERROR(IF(INDEX(Settings!$E$12:$E$21,MATCH($B177,Settings!$B$12:$B$21,0))="Gross margin",N($F177),N($E177)),""))</f>
        <v/>
      </c>
      <c r="M177" s="29" t="str">
        <f aca="false">IF(AND($G177="Cancelled",$H177="Yes",$I177&lt;&gt;""),IF(YEAR($I177)=Settings!$C$4,MONTH($I177),""),"")</f>
        <v/>
      </c>
      <c r="N177" s="31" t="str">
        <f aca="false">IF($M177="","",IFERROR(IF($J177="",IF(INDEX(Settings!$D$12:$D$21,MATCH($B177,Settings!$B$12:$B$21,0))="Tiered",INDEX(Settings!$I$12:$I$21,MATCH($B177,Settings!$B$12:$B$21,0)),INDEX(Settings!$G$12:$G$21,MATCH($B177,Settings!$B$12:$B$21,0))),INDEX(Calculation!$U$6:$U$125,(MATCH($B177,Settings!$B$12:$B$21,0)-1)*12+$J177)),0))</f>
        <v/>
      </c>
      <c r="O177" s="30" t="n">
        <f aca="false">IF($M177="",0,N($L177)*N($N177))</f>
        <v>0</v>
      </c>
      <c r="P177" s="29" t="n">
        <f aca="false">IF(AND($B177&lt;&gt;"",$B177=Statement!$C$6,$J177=Statement!$C$8,$K177=1),1,0)</f>
        <v>0</v>
      </c>
      <c r="Q177" s="29" t="str">
        <f aca="false">IF($P177=1,SUM($P$5:$P177),"")</f>
        <v/>
      </c>
      <c r="R177" s="29" t="n">
        <f aca="false">IF(AND($B177&lt;&gt;"",$B177=Statement!$C$6,$M177=Statement!$C$8),1,0)</f>
        <v>0</v>
      </c>
      <c r="S177" s="29" t="str">
        <f aca="false">IF($R177=1,SUM($R$5:$R177),"")</f>
        <v/>
      </c>
    </row>
    <row r="178" customFormat="false" ht="15" hidden="false" customHeight="false" outlineLevel="0" collapsed="false">
      <c r="A178" s="28"/>
      <c r="B178" s="10"/>
      <c r="C178" s="10"/>
      <c r="D178" s="10"/>
      <c r="E178" s="23"/>
      <c r="F178" s="23"/>
      <c r="G178" s="10"/>
      <c r="H178" s="10"/>
      <c r="I178" s="28"/>
      <c r="J178" s="29" t="str">
        <f aca="false">IF(OR($A178="",$B178=""),"",IF(YEAR($A178)=Settings!$C$4,MONTH($A178),""))</f>
        <v/>
      </c>
      <c r="K178" s="29" t="str">
        <f aca="false">IF($A178="","",IF(OR($J178="",$B178=""),0,IF(OR($G178="Won",$H178="Yes"),1,0)))</f>
        <v/>
      </c>
      <c r="L178" s="30" t="str">
        <f aca="false">IF($B178="","",IFERROR(IF(INDEX(Settings!$E$12:$E$21,MATCH($B178,Settings!$B$12:$B$21,0))="Gross margin",N($F178),N($E178)),""))</f>
        <v/>
      </c>
      <c r="M178" s="29" t="str">
        <f aca="false">IF(AND($G178="Cancelled",$H178="Yes",$I178&lt;&gt;""),IF(YEAR($I178)=Settings!$C$4,MONTH($I178),""),"")</f>
        <v/>
      </c>
      <c r="N178" s="31" t="str">
        <f aca="false">IF($M178="","",IFERROR(IF($J178="",IF(INDEX(Settings!$D$12:$D$21,MATCH($B178,Settings!$B$12:$B$21,0))="Tiered",INDEX(Settings!$I$12:$I$21,MATCH($B178,Settings!$B$12:$B$21,0)),INDEX(Settings!$G$12:$G$21,MATCH($B178,Settings!$B$12:$B$21,0))),INDEX(Calculation!$U$6:$U$125,(MATCH($B178,Settings!$B$12:$B$21,0)-1)*12+$J178)),0))</f>
        <v/>
      </c>
      <c r="O178" s="30" t="n">
        <f aca="false">IF($M178="",0,N($L178)*N($N178))</f>
        <v>0</v>
      </c>
      <c r="P178" s="29" t="n">
        <f aca="false">IF(AND($B178&lt;&gt;"",$B178=Statement!$C$6,$J178=Statement!$C$8,$K178=1),1,0)</f>
        <v>0</v>
      </c>
      <c r="Q178" s="29" t="str">
        <f aca="false">IF($P178=1,SUM($P$5:$P178),"")</f>
        <v/>
      </c>
      <c r="R178" s="29" t="n">
        <f aca="false">IF(AND($B178&lt;&gt;"",$B178=Statement!$C$6,$M178=Statement!$C$8),1,0)</f>
        <v>0</v>
      </c>
      <c r="S178" s="29" t="str">
        <f aca="false">IF($R178=1,SUM($R$5:$R178),"")</f>
        <v/>
      </c>
    </row>
    <row r="179" customFormat="false" ht="15" hidden="false" customHeight="false" outlineLevel="0" collapsed="false">
      <c r="A179" s="28"/>
      <c r="B179" s="10"/>
      <c r="C179" s="10"/>
      <c r="D179" s="10"/>
      <c r="E179" s="23"/>
      <c r="F179" s="23"/>
      <c r="G179" s="10"/>
      <c r="H179" s="10"/>
      <c r="I179" s="28"/>
      <c r="J179" s="29" t="str">
        <f aca="false">IF(OR($A179="",$B179=""),"",IF(YEAR($A179)=Settings!$C$4,MONTH($A179),""))</f>
        <v/>
      </c>
      <c r="K179" s="29" t="str">
        <f aca="false">IF($A179="","",IF(OR($J179="",$B179=""),0,IF(OR($G179="Won",$H179="Yes"),1,0)))</f>
        <v/>
      </c>
      <c r="L179" s="30" t="str">
        <f aca="false">IF($B179="","",IFERROR(IF(INDEX(Settings!$E$12:$E$21,MATCH($B179,Settings!$B$12:$B$21,0))="Gross margin",N($F179),N($E179)),""))</f>
        <v/>
      </c>
      <c r="M179" s="29" t="str">
        <f aca="false">IF(AND($G179="Cancelled",$H179="Yes",$I179&lt;&gt;""),IF(YEAR($I179)=Settings!$C$4,MONTH($I179),""),"")</f>
        <v/>
      </c>
      <c r="N179" s="31" t="str">
        <f aca="false">IF($M179="","",IFERROR(IF($J179="",IF(INDEX(Settings!$D$12:$D$21,MATCH($B179,Settings!$B$12:$B$21,0))="Tiered",INDEX(Settings!$I$12:$I$21,MATCH($B179,Settings!$B$12:$B$21,0)),INDEX(Settings!$G$12:$G$21,MATCH($B179,Settings!$B$12:$B$21,0))),INDEX(Calculation!$U$6:$U$125,(MATCH($B179,Settings!$B$12:$B$21,0)-1)*12+$J179)),0))</f>
        <v/>
      </c>
      <c r="O179" s="30" t="n">
        <f aca="false">IF($M179="",0,N($L179)*N($N179))</f>
        <v>0</v>
      </c>
      <c r="P179" s="29" t="n">
        <f aca="false">IF(AND($B179&lt;&gt;"",$B179=Statement!$C$6,$J179=Statement!$C$8,$K179=1),1,0)</f>
        <v>0</v>
      </c>
      <c r="Q179" s="29" t="str">
        <f aca="false">IF($P179=1,SUM($P$5:$P179),"")</f>
        <v/>
      </c>
      <c r="R179" s="29" t="n">
        <f aca="false">IF(AND($B179&lt;&gt;"",$B179=Statement!$C$6,$M179=Statement!$C$8),1,0)</f>
        <v>0</v>
      </c>
      <c r="S179" s="29" t="str">
        <f aca="false">IF($R179=1,SUM($R$5:$R179),"")</f>
        <v/>
      </c>
    </row>
    <row r="180" customFormat="false" ht="15" hidden="false" customHeight="false" outlineLevel="0" collapsed="false">
      <c r="A180" s="28"/>
      <c r="B180" s="10"/>
      <c r="C180" s="10"/>
      <c r="D180" s="10"/>
      <c r="E180" s="23"/>
      <c r="F180" s="23"/>
      <c r="G180" s="10"/>
      <c r="H180" s="10"/>
      <c r="I180" s="28"/>
      <c r="J180" s="29" t="str">
        <f aca="false">IF(OR($A180="",$B180=""),"",IF(YEAR($A180)=Settings!$C$4,MONTH($A180),""))</f>
        <v/>
      </c>
      <c r="K180" s="29" t="str">
        <f aca="false">IF($A180="","",IF(OR($J180="",$B180=""),0,IF(OR($G180="Won",$H180="Yes"),1,0)))</f>
        <v/>
      </c>
      <c r="L180" s="30" t="str">
        <f aca="false">IF($B180="","",IFERROR(IF(INDEX(Settings!$E$12:$E$21,MATCH($B180,Settings!$B$12:$B$21,0))="Gross margin",N($F180),N($E180)),""))</f>
        <v/>
      </c>
      <c r="M180" s="29" t="str">
        <f aca="false">IF(AND($G180="Cancelled",$H180="Yes",$I180&lt;&gt;""),IF(YEAR($I180)=Settings!$C$4,MONTH($I180),""),"")</f>
        <v/>
      </c>
      <c r="N180" s="31" t="str">
        <f aca="false">IF($M180="","",IFERROR(IF($J180="",IF(INDEX(Settings!$D$12:$D$21,MATCH($B180,Settings!$B$12:$B$21,0))="Tiered",INDEX(Settings!$I$12:$I$21,MATCH($B180,Settings!$B$12:$B$21,0)),INDEX(Settings!$G$12:$G$21,MATCH($B180,Settings!$B$12:$B$21,0))),INDEX(Calculation!$U$6:$U$125,(MATCH($B180,Settings!$B$12:$B$21,0)-1)*12+$J180)),0))</f>
        <v/>
      </c>
      <c r="O180" s="30" t="n">
        <f aca="false">IF($M180="",0,N($L180)*N($N180))</f>
        <v>0</v>
      </c>
      <c r="P180" s="29" t="n">
        <f aca="false">IF(AND($B180&lt;&gt;"",$B180=Statement!$C$6,$J180=Statement!$C$8,$K180=1),1,0)</f>
        <v>0</v>
      </c>
      <c r="Q180" s="29" t="str">
        <f aca="false">IF($P180=1,SUM($P$5:$P180),"")</f>
        <v/>
      </c>
      <c r="R180" s="29" t="n">
        <f aca="false">IF(AND($B180&lt;&gt;"",$B180=Statement!$C$6,$M180=Statement!$C$8),1,0)</f>
        <v>0</v>
      </c>
      <c r="S180" s="29" t="str">
        <f aca="false">IF($R180=1,SUM($R$5:$R180),"")</f>
        <v/>
      </c>
    </row>
    <row r="181" customFormat="false" ht="15" hidden="false" customHeight="false" outlineLevel="0" collapsed="false">
      <c r="A181" s="28"/>
      <c r="B181" s="10"/>
      <c r="C181" s="10"/>
      <c r="D181" s="10"/>
      <c r="E181" s="23"/>
      <c r="F181" s="23"/>
      <c r="G181" s="10"/>
      <c r="H181" s="10"/>
      <c r="I181" s="28"/>
      <c r="J181" s="29" t="str">
        <f aca="false">IF(OR($A181="",$B181=""),"",IF(YEAR($A181)=Settings!$C$4,MONTH($A181),""))</f>
        <v/>
      </c>
      <c r="K181" s="29" t="str">
        <f aca="false">IF($A181="","",IF(OR($J181="",$B181=""),0,IF(OR($G181="Won",$H181="Yes"),1,0)))</f>
        <v/>
      </c>
      <c r="L181" s="30" t="str">
        <f aca="false">IF($B181="","",IFERROR(IF(INDEX(Settings!$E$12:$E$21,MATCH($B181,Settings!$B$12:$B$21,0))="Gross margin",N($F181),N($E181)),""))</f>
        <v/>
      </c>
      <c r="M181" s="29" t="str">
        <f aca="false">IF(AND($G181="Cancelled",$H181="Yes",$I181&lt;&gt;""),IF(YEAR($I181)=Settings!$C$4,MONTH($I181),""),"")</f>
        <v/>
      </c>
      <c r="N181" s="31" t="str">
        <f aca="false">IF($M181="","",IFERROR(IF($J181="",IF(INDEX(Settings!$D$12:$D$21,MATCH($B181,Settings!$B$12:$B$21,0))="Tiered",INDEX(Settings!$I$12:$I$21,MATCH($B181,Settings!$B$12:$B$21,0)),INDEX(Settings!$G$12:$G$21,MATCH($B181,Settings!$B$12:$B$21,0))),INDEX(Calculation!$U$6:$U$125,(MATCH($B181,Settings!$B$12:$B$21,0)-1)*12+$J181)),0))</f>
        <v/>
      </c>
      <c r="O181" s="30" t="n">
        <f aca="false">IF($M181="",0,N($L181)*N($N181))</f>
        <v>0</v>
      </c>
      <c r="P181" s="29" t="n">
        <f aca="false">IF(AND($B181&lt;&gt;"",$B181=Statement!$C$6,$J181=Statement!$C$8,$K181=1),1,0)</f>
        <v>0</v>
      </c>
      <c r="Q181" s="29" t="str">
        <f aca="false">IF($P181=1,SUM($P$5:$P181),"")</f>
        <v/>
      </c>
      <c r="R181" s="29" t="n">
        <f aca="false">IF(AND($B181&lt;&gt;"",$B181=Statement!$C$6,$M181=Statement!$C$8),1,0)</f>
        <v>0</v>
      </c>
      <c r="S181" s="29" t="str">
        <f aca="false">IF($R181=1,SUM($R$5:$R181),"")</f>
        <v/>
      </c>
    </row>
    <row r="182" customFormat="false" ht="15" hidden="false" customHeight="false" outlineLevel="0" collapsed="false">
      <c r="A182" s="28"/>
      <c r="B182" s="10"/>
      <c r="C182" s="10"/>
      <c r="D182" s="10"/>
      <c r="E182" s="23"/>
      <c r="F182" s="23"/>
      <c r="G182" s="10"/>
      <c r="H182" s="10"/>
      <c r="I182" s="28"/>
      <c r="J182" s="29" t="str">
        <f aca="false">IF(OR($A182="",$B182=""),"",IF(YEAR($A182)=Settings!$C$4,MONTH($A182),""))</f>
        <v/>
      </c>
      <c r="K182" s="29" t="str">
        <f aca="false">IF($A182="","",IF(OR($J182="",$B182=""),0,IF(OR($G182="Won",$H182="Yes"),1,0)))</f>
        <v/>
      </c>
      <c r="L182" s="30" t="str">
        <f aca="false">IF($B182="","",IFERROR(IF(INDEX(Settings!$E$12:$E$21,MATCH($B182,Settings!$B$12:$B$21,0))="Gross margin",N($F182),N($E182)),""))</f>
        <v/>
      </c>
      <c r="M182" s="29" t="str">
        <f aca="false">IF(AND($G182="Cancelled",$H182="Yes",$I182&lt;&gt;""),IF(YEAR($I182)=Settings!$C$4,MONTH($I182),""),"")</f>
        <v/>
      </c>
      <c r="N182" s="31" t="str">
        <f aca="false">IF($M182="","",IFERROR(IF($J182="",IF(INDEX(Settings!$D$12:$D$21,MATCH($B182,Settings!$B$12:$B$21,0))="Tiered",INDEX(Settings!$I$12:$I$21,MATCH($B182,Settings!$B$12:$B$21,0)),INDEX(Settings!$G$12:$G$21,MATCH($B182,Settings!$B$12:$B$21,0))),INDEX(Calculation!$U$6:$U$125,(MATCH($B182,Settings!$B$12:$B$21,0)-1)*12+$J182)),0))</f>
        <v/>
      </c>
      <c r="O182" s="30" t="n">
        <f aca="false">IF($M182="",0,N($L182)*N($N182))</f>
        <v>0</v>
      </c>
      <c r="P182" s="29" t="n">
        <f aca="false">IF(AND($B182&lt;&gt;"",$B182=Statement!$C$6,$J182=Statement!$C$8,$K182=1),1,0)</f>
        <v>0</v>
      </c>
      <c r="Q182" s="29" t="str">
        <f aca="false">IF($P182=1,SUM($P$5:$P182),"")</f>
        <v/>
      </c>
      <c r="R182" s="29" t="n">
        <f aca="false">IF(AND($B182&lt;&gt;"",$B182=Statement!$C$6,$M182=Statement!$C$8),1,0)</f>
        <v>0</v>
      </c>
      <c r="S182" s="29" t="str">
        <f aca="false">IF($R182=1,SUM($R$5:$R182),"")</f>
        <v/>
      </c>
    </row>
    <row r="183" customFormat="false" ht="15" hidden="false" customHeight="false" outlineLevel="0" collapsed="false">
      <c r="A183" s="28"/>
      <c r="B183" s="10"/>
      <c r="C183" s="10"/>
      <c r="D183" s="10"/>
      <c r="E183" s="23"/>
      <c r="F183" s="23"/>
      <c r="G183" s="10"/>
      <c r="H183" s="10"/>
      <c r="I183" s="28"/>
      <c r="J183" s="29" t="str">
        <f aca="false">IF(OR($A183="",$B183=""),"",IF(YEAR($A183)=Settings!$C$4,MONTH($A183),""))</f>
        <v/>
      </c>
      <c r="K183" s="29" t="str">
        <f aca="false">IF($A183="","",IF(OR($J183="",$B183=""),0,IF(OR($G183="Won",$H183="Yes"),1,0)))</f>
        <v/>
      </c>
      <c r="L183" s="30" t="str">
        <f aca="false">IF($B183="","",IFERROR(IF(INDEX(Settings!$E$12:$E$21,MATCH($B183,Settings!$B$12:$B$21,0))="Gross margin",N($F183),N($E183)),""))</f>
        <v/>
      </c>
      <c r="M183" s="29" t="str">
        <f aca="false">IF(AND($G183="Cancelled",$H183="Yes",$I183&lt;&gt;""),IF(YEAR($I183)=Settings!$C$4,MONTH($I183),""),"")</f>
        <v/>
      </c>
      <c r="N183" s="31" t="str">
        <f aca="false">IF($M183="","",IFERROR(IF($J183="",IF(INDEX(Settings!$D$12:$D$21,MATCH($B183,Settings!$B$12:$B$21,0))="Tiered",INDEX(Settings!$I$12:$I$21,MATCH($B183,Settings!$B$12:$B$21,0)),INDEX(Settings!$G$12:$G$21,MATCH($B183,Settings!$B$12:$B$21,0))),INDEX(Calculation!$U$6:$U$125,(MATCH($B183,Settings!$B$12:$B$21,0)-1)*12+$J183)),0))</f>
        <v/>
      </c>
      <c r="O183" s="30" t="n">
        <f aca="false">IF($M183="",0,N($L183)*N($N183))</f>
        <v>0</v>
      </c>
      <c r="P183" s="29" t="n">
        <f aca="false">IF(AND($B183&lt;&gt;"",$B183=Statement!$C$6,$J183=Statement!$C$8,$K183=1),1,0)</f>
        <v>0</v>
      </c>
      <c r="Q183" s="29" t="str">
        <f aca="false">IF($P183=1,SUM($P$5:$P183),"")</f>
        <v/>
      </c>
      <c r="R183" s="29" t="n">
        <f aca="false">IF(AND($B183&lt;&gt;"",$B183=Statement!$C$6,$M183=Statement!$C$8),1,0)</f>
        <v>0</v>
      </c>
      <c r="S183" s="29" t="str">
        <f aca="false">IF($R183=1,SUM($R$5:$R183),"")</f>
        <v/>
      </c>
    </row>
    <row r="184" customFormat="false" ht="15" hidden="false" customHeight="false" outlineLevel="0" collapsed="false">
      <c r="A184" s="28"/>
      <c r="B184" s="10"/>
      <c r="C184" s="10"/>
      <c r="D184" s="10"/>
      <c r="E184" s="23"/>
      <c r="F184" s="23"/>
      <c r="G184" s="10"/>
      <c r="H184" s="10"/>
      <c r="I184" s="28"/>
      <c r="J184" s="29" t="str">
        <f aca="false">IF(OR($A184="",$B184=""),"",IF(YEAR($A184)=Settings!$C$4,MONTH($A184),""))</f>
        <v/>
      </c>
      <c r="K184" s="29" t="str">
        <f aca="false">IF($A184="","",IF(OR($J184="",$B184=""),0,IF(OR($G184="Won",$H184="Yes"),1,0)))</f>
        <v/>
      </c>
      <c r="L184" s="30" t="str">
        <f aca="false">IF($B184="","",IFERROR(IF(INDEX(Settings!$E$12:$E$21,MATCH($B184,Settings!$B$12:$B$21,0))="Gross margin",N($F184),N($E184)),""))</f>
        <v/>
      </c>
      <c r="M184" s="29" t="str">
        <f aca="false">IF(AND($G184="Cancelled",$H184="Yes",$I184&lt;&gt;""),IF(YEAR($I184)=Settings!$C$4,MONTH($I184),""),"")</f>
        <v/>
      </c>
      <c r="N184" s="31" t="str">
        <f aca="false">IF($M184="","",IFERROR(IF($J184="",IF(INDEX(Settings!$D$12:$D$21,MATCH($B184,Settings!$B$12:$B$21,0))="Tiered",INDEX(Settings!$I$12:$I$21,MATCH($B184,Settings!$B$12:$B$21,0)),INDEX(Settings!$G$12:$G$21,MATCH($B184,Settings!$B$12:$B$21,0))),INDEX(Calculation!$U$6:$U$125,(MATCH($B184,Settings!$B$12:$B$21,0)-1)*12+$J184)),0))</f>
        <v/>
      </c>
      <c r="O184" s="30" t="n">
        <f aca="false">IF($M184="",0,N($L184)*N($N184))</f>
        <v>0</v>
      </c>
      <c r="P184" s="29" t="n">
        <f aca="false">IF(AND($B184&lt;&gt;"",$B184=Statement!$C$6,$J184=Statement!$C$8,$K184=1),1,0)</f>
        <v>0</v>
      </c>
      <c r="Q184" s="29" t="str">
        <f aca="false">IF($P184=1,SUM($P$5:$P184),"")</f>
        <v/>
      </c>
      <c r="R184" s="29" t="n">
        <f aca="false">IF(AND($B184&lt;&gt;"",$B184=Statement!$C$6,$M184=Statement!$C$8),1,0)</f>
        <v>0</v>
      </c>
      <c r="S184" s="29" t="str">
        <f aca="false">IF($R184=1,SUM($R$5:$R184),"")</f>
        <v/>
      </c>
    </row>
    <row r="185" customFormat="false" ht="15" hidden="false" customHeight="false" outlineLevel="0" collapsed="false">
      <c r="A185" s="28"/>
      <c r="B185" s="10"/>
      <c r="C185" s="10"/>
      <c r="D185" s="10"/>
      <c r="E185" s="23"/>
      <c r="F185" s="23"/>
      <c r="G185" s="10"/>
      <c r="H185" s="10"/>
      <c r="I185" s="28"/>
      <c r="J185" s="29" t="str">
        <f aca="false">IF(OR($A185="",$B185=""),"",IF(YEAR($A185)=Settings!$C$4,MONTH($A185),""))</f>
        <v/>
      </c>
      <c r="K185" s="29" t="str">
        <f aca="false">IF($A185="","",IF(OR($J185="",$B185=""),0,IF(OR($G185="Won",$H185="Yes"),1,0)))</f>
        <v/>
      </c>
      <c r="L185" s="30" t="str">
        <f aca="false">IF($B185="","",IFERROR(IF(INDEX(Settings!$E$12:$E$21,MATCH($B185,Settings!$B$12:$B$21,0))="Gross margin",N($F185),N($E185)),""))</f>
        <v/>
      </c>
      <c r="M185" s="29" t="str">
        <f aca="false">IF(AND($G185="Cancelled",$H185="Yes",$I185&lt;&gt;""),IF(YEAR($I185)=Settings!$C$4,MONTH($I185),""),"")</f>
        <v/>
      </c>
      <c r="N185" s="31" t="str">
        <f aca="false">IF($M185="","",IFERROR(IF($J185="",IF(INDEX(Settings!$D$12:$D$21,MATCH($B185,Settings!$B$12:$B$21,0))="Tiered",INDEX(Settings!$I$12:$I$21,MATCH($B185,Settings!$B$12:$B$21,0)),INDEX(Settings!$G$12:$G$21,MATCH($B185,Settings!$B$12:$B$21,0))),INDEX(Calculation!$U$6:$U$125,(MATCH($B185,Settings!$B$12:$B$21,0)-1)*12+$J185)),0))</f>
        <v/>
      </c>
      <c r="O185" s="30" t="n">
        <f aca="false">IF($M185="",0,N($L185)*N($N185))</f>
        <v>0</v>
      </c>
      <c r="P185" s="29" t="n">
        <f aca="false">IF(AND($B185&lt;&gt;"",$B185=Statement!$C$6,$J185=Statement!$C$8,$K185=1),1,0)</f>
        <v>0</v>
      </c>
      <c r="Q185" s="29" t="str">
        <f aca="false">IF($P185=1,SUM($P$5:$P185),"")</f>
        <v/>
      </c>
      <c r="R185" s="29" t="n">
        <f aca="false">IF(AND($B185&lt;&gt;"",$B185=Statement!$C$6,$M185=Statement!$C$8),1,0)</f>
        <v>0</v>
      </c>
      <c r="S185" s="29" t="str">
        <f aca="false">IF($R185=1,SUM($R$5:$R185),"")</f>
        <v/>
      </c>
    </row>
    <row r="186" customFormat="false" ht="15" hidden="false" customHeight="false" outlineLevel="0" collapsed="false">
      <c r="A186" s="28"/>
      <c r="B186" s="10"/>
      <c r="C186" s="10"/>
      <c r="D186" s="10"/>
      <c r="E186" s="23"/>
      <c r="F186" s="23"/>
      <c r="G186" s="10"/>
      <c r="H186" s="10"/>
      <c r="I186" s="28"/>
      <c r="J186" s="29" t="str">
        <f aca="false">IF(OR($A186="",$B186=""),"",IF(YEAR($A186)=Settings!$C$4,MONTH($A186),""))</f>
        <v/>
      </c>
      <c r="K186" s="29" t="str">
        <f aca="false">IF($A186="","",IF(OR($J186="",$B186=""),0,IF(OR($G186="Won",$H186="Yes"),1,0)))</f>
        <v/>
      </c>
      <c r="L186" s="30" t="str">
        <f aca="false">IF($B186="","",IFERROR(IF(INDEX(Settings!$E$12:$E$21,MATCH($B186,Settings!$B$12:$B$21,0))="Gross margin",N($F186),N($E186)),""))</f>
        <v/>
      </c>
      <c r="M186" s="29" t="str">
        <f aca="false">IF(AND($G186="Cancelled",$H186="Yes",$I186&lt;&gt;""),IF(YEAR($I186)=Settings!$C$4,MONTH($I186),""),"")</f>
        <v/>
      </c>
      <c r="N186" s="31" t="str">
        <f aca="false">IF($M186="","",IFERROR(IF($J186="",IF(INDEX(Settings!$D$12:$D$21,MATCH($B186,Settings!$B$12:$B$21,0))="Tiered",INDEX(Settings!$I$12:$I$21,MATCH($B186,Settings!$B$12:$B$21,0)),INDEX(Settings!$G$12:$G$21,MATCH($B186,Settings!$B$12:$B$21,0))),INDEX(Calculation!$U$6:$U$125,(MATCH($B186,Settings!$B$12:$B$21,0)-1)*12+$J186)),0))</f>
        <v/>
      </c>
      <c r="O186" s="30" t="n">
        <f aca="false">IF($M186="",0,N($L186)*N($N186))</f>
        <v>0</v>
      </c>
      <c r="P186" s="29" t="n">
        <f aca="false">IF(AND($B186&lt;&gt;"",$B186=Statement!$C$6,$J186=Statement!$C$8,$K186=1),1,0)</f>
        <v>0</v>
      </c>
      <c r="Q186" s="29" t="str">
        <f aca="false">IF($P186=1,SUM($P$5:$P186),"")</f>
        <v/>
      </c>
      <c r="R186" s="29" t="n">
        <f aca="false">IF(AND($B186&lt;&gt;"",$B186=Statement!$C$6,$M186=Statement!$C$8),1,0)</f>
        <v>0</v>
      </c>
      <c r="S186" s="29" t="str">
        <f aca="false">IF($R186=1,SUM($R$5:$R186),"")</f>
        <v/>
      </c>
    </row>
    <row r="187" customFormat="false" ht="15" hidden="false" customHeight="false" outlineLevel="0" collapsed="false">
      <c r="A187" s="28"/>
      <c r="B187" s="10"/>
      <c r="C187" s="10"/>
      <c r="D187" s="10"/>
      <c r="E187" s="23"/>
      <c r="F187" s="23"/>
      <c r="G187" s="10"/>
      <c r="H187" s="10"/>
      <c r="I187" s="28"/>
      <c r="J187" s="29" t="str">
        <f aca="false">IF(OR($A187="",$B187=""),"",IF(YEAR($A187)=Settings!$C$4,MONTH($A187),""))</f>
        <v/>
      </c>
      <c r="K187" s="29" t="str">
        <f aca="false">IF($A187="","",IF(OR($J187="",$B187=""),0,IF(OR($G187="Won",$H187="Yes"),1,0)))</f>
        <v/>
      </c>
      <c r="L187" s="30" t="str">
        <f aca="false">IF($B187="","",IFERROR(IF(INDEX(Settings!$E$12:$E$21,MATCH($B187,Settings!$B$12:$B$21,0))="Gross margin",N($F187),N($E187)),""))</f>
        <v/>
      </c>
      <c r="M187" s="29" t="str">
        <f aca="false">IF(AND($G187="Cancelled",$H187="Yes",$I187&lt;&gt;""),IF(YEAR($I187)=Settings!$C$4,MONTH($I187),""),"")</f>
        <v/>
      </c>
      <c r="N187" s="31" t="str">
        <f aca="false">IF($M187="","",IFERROR(IF($J187="",IF(INDEX(Settings!$D$12:$D$21,MATCH($B187,Settings!$B$12:$B$21,0))="Tiered",INDEX(Settings!$I$12:$I$21,MATCH($B187,Settings!$B$12:$B$21,0)),INDEX(Settings!$G$12:$G$21,MATCH($B187,Settings!$B$12:$B$21,0))),INDEX(Calculation!$U$6:$U$125,(MATCH($B187,Settings!$B$12:$B$21,0)-1)*12+$J187)),0))</f>
        <v/>
      </c>
      <c r="O187" s="30" t="n">
        <f aca="false">IF($M187="",0,N($L187)*N($N187))</f>
        <v>0</v>
      </c>
      <c r="P187" s="29" t="n">
        <f aca="false">IF(AND($B187&lt;&gt;"",$B187=Statement!$C$6,$J187=Statement!$C$8,$K187=1),1,0)</f>
        <v>0</v>
      </c>
      <c r="Q187" s="29" t="str">
        <f aca="false">IF($P187=1,SUM($P$5:$P187),"")</f>
        <v/>
      </c>
      <c r="R187" s="29" t="n">
        <f aca="false">IF(AND($B187&lt;&gt;"",$B187=Statement!$C$6,$M187=Statement!$C$8),1,0)</f>
        <v>0</v>
      </c>
      <c r="S187" s="29" t="str">
        <f aca="false">IF($R187=1,SUM($R$5:$R187),"")</f>
        <v/>
      </c>
    </row>
    <row r="188" customFormat="false" ht="15" hidden="false" customHeight="false" outlineLevel="0" collapsed="false">
      <c r="A188" s="28"/>
      <c r="B188" s="10"/>
      <c r="C188" s="10"/>
      <c r="D188" s="10"/>
      <c r="E188" s="23"/>
      <c r="F188" s="23"/>
      <c r="G188" s="10"/>
      <c r="H188" s="10"/>
      <c r="I188" s="28"/>
      <c r="J188" s="29" t="str">
        <f aca="false">IF(OR($A188="",$B188=""),"",IF(YEAR($A188)=Settings!$C$4,MONTH($A188),""))</f>
        <v/>
      </c>
      <c r="K188" s="29" t="str">
        <f aca="false">IF($A188="","",IF(OR($J188="",$B188=""),0,IF(OR($G188="Won",$H188="Yes"),1,0)))</f>
        <v/>
      </c>
      <c r="L188" s="30" t="str">
        <f aca="false">IF($B188="","",IFERROR(IF(INDEX(Settings!$E$12:$E$21,MATCH($B188,Settings!$B$12:$B$21,0))="Gross margin",N($F188),N($E188)),""))</f>
        <v/>
      </c>
      <c r="M188" s="29" t="str">
        <f aca="false">IF(AND($G188="Cancelled",$H188="Yes",$I188&lt;&gt;""),IF(YEAR($I188)=Settings!$C$4,MONTH($I188),""),"")</f>
        <v/>
      </c>
      <c r="N188" s="31" t="str">
        <f aca="false">IF($M188="","",IFERROR(IF($J188="",IF(INDEX(Settings!$D$12:$D$21,MATCH($B188,Settings!$B$12:$B$21,0))="Tiered",INDEX(Settings!$I$12:$I$21,MATCH($B188,Settings!$B$12:$B$21,0)),INDEX(Settings!$G$12:$G$21,MATCH($B188,Settings!$B$12:$B$21,0))),INDEX(Calculation!$U$6:$U$125,(MATCH($B188,Settings!$B$12:$B$21,0)-1)*12+$J188)),0))</f>
        <v/>
      </c>
      <c r="O188" s="30" t="n">
        <f aca="false">IF($M188="",0,N($L188)*N($N188))</f>
        <v>0</v>
      </c>
      <c r="P188" s="29" t="n">
        <f aca="false">IF(AND($B188&lt;&gt;"",$B188=Statement!$C$6,$J188=Statement!$C$8,$K188=1),1,0)</f>
        <v>0</v>
      </c>
      <c r="Q188" s="29" t="str">
        <f aca="false">IF($P188=1,SUM($P$5:$P188),"")</f>
        <v/>
      </c>
      <c r="R188" s="29" t="n">
        <f aca="false">IF(AND($B188&lt;&gt;"",$B188=Statement!$C$6,$M188=Statement!$C$8),1,0)</f>
        <v>0</v>
      </c>
      <c r="S188" s="29" t="str">
        <f aca="false">IF($R188=1,SUM($R$5:$R188),"")</f>
        <v/>
      </c>
    </row>
    <row r="189" customFormat="false" ht="15" hidden="false" customHeight="false" outlineLevel="0" collapsed="false">
      <c r="A189" s="28"/>
      <c r="B189" s="10"/>
      <c r="C189" s="10"/>
      <c r="D189" s="10"/>
      <c r="E189" s="23"/>
      <c r="F189" s="23"/>
      <c r="G189" s="10"/>
      <c r="H189" s="10"/>
      <c r="I189" s="28"/>
      <c r="J189" s="29" t="str">
        <f aca="false">IF(OR($A189="",$B189=""),"",IF(YEAR($A189)=Settings!$C$4,MONTH($A189),""))</f>
        <v/>
      </c>
      <c r="K189" s="29" t="str">
        <f aca="false">IF($A189="","",IF(OR($J189="",$B189=""),0,IF(OR($G189="Won",$H189="Yes"),1,0)))</f>
        <v/>
      </c>
      <c r="L189" s="30" t="str">
        <f aca="false">IF($B189="","",IFERROR(IF(INDEX(Settings!$E$12:$E$21,MATCH($B189,Settings!$B$12:$B$21,0))="Gross margin",N($F189),N($E189)),""))</f>
        <v/>
      </c>
      <c r="M189" s="29" t="str">
        <f aca="false">IF(AND($G189="Cancelled",$H189="Yes",$I189&lt;&gt;""),IF(YEAR($I189)=Settings!$C$4,MONTH($I189),""),"")</f>
        <v/>
      </c>
      <c r="N189" s="31" t="str">
        <f aca="false">IF($M189="","",IFERROR(IF($J189="",IF(INDEX(Settings!$D$12:$D$21,MATCH($B189,Settings!$B$12:$B$21,0))="Tiered",INDEX(Settings!$I$12:$I$21,MATCH($B189,Settings!$B$12:$B$21,0)),INDEX(Settings!$G$12:$G$21,MATCH($B189,Settings!$B$12:$B$21,0))),INDEX(Calculation!$U$6:$U$125,(MATCH($B189,Settings!$B$12:$B$21,0)-1)*12+$J189)),0))</f>
        <v/>
      </c>
      <c r="O189" s="30" t="n">
        <f aca="false">IF($M189="",0,N($L189)*N($N189))</f>
        <v>0</v>
      </c>
      <c r="P189" s="29" t="n">
        <f aca="false">IF(AND($B189&lt;&gt;"",$B189=Statement!$C$6,$J189=Statement!$C$8,$K189=1),1,0)</f>
        <v>0</v>
      </c>
      <c r="Q189" s="29" t="str">
        <f aca="false">IF($P189=1,SUM($P$5:$P189),"")</f>
        <v/>
      </c>
      <c r="R189" s="29" t="n">
        <f aca="false">IF(AND($B189&lt;&gt;"",$B189=Statement!$C$6,$M189=Statement!$C$8),1,0)</f>
        <v>0</v>
      </c>
      <c r="S189" s="29" t="str">
        <f aca="false">IF($R189=1,SUM($R$5:$R189),"")</f>
        <v/>
      </c>
    </row>
    <row r="190" customFormat="false" ht="15" hidden="false" customHeight="false" outlineLevel="0" collapsed="false">
      <c r="A190" s="28"/>
      <c r="B190" s="10"/>
      <c r="C190" s="10"/>
      <c r="D190" s="10"/>
      <c r="E190" s="23"/>
      <c r="F190" s="23"/>
      <c r="G190" s="10"/>
      <c r="H190" s="10"/>
      <c r="I190" s="28"/>
      <c r="J190" s="29" t="str">
        <f aca="false">IF(OR($A190="",$B190=""),"",IF(YEAR($A190)=Settings!$C$4,MONTH($A190),""))</f>
        <v/>
      </c>
      <c r="K190" s="29" t="str">
        <f aca="false">IF($A190="","",IF(OR($J190="",$B190=""),0,IF(OR($G190="Won",$H190="Yes"),1,0)))</f>
        <v/>
      </c>
      <c r="L190" s="30" t="str">
        <f aca="false">IF($B190="","",IFERROR(IF(INDEX(Settings!$E$12:$E$21,MATCH($B190,Settings!$B$12:$B$21,0))="Gross margin",N($F190),N($E190)),""))</f>
        <v/>
      </c>
      <c r="M190" s="29" t="str">
        <f aca="false">IF(AND($G190="Cancelled",$H190="Yes",$I190&lt;&gt;""),IF(YEAR($I190)=Settings!$C$4,MONTH($I190),""),"")</f>
        <v/>
      </c>
      <c r="N190" s="31" t="str">
        <f aca="false">IF($M190="","",IFERROR(IF($J190="",IF(INDEX(Settings!$D$12:$D$21,MATCH($B190,Settings!$B$12:$B$21,0))="Tiered",INDEX(Settings!$I$12:$I$21,MATCH($B190,Settings!$B$12:$B$21,0)),INDEX(Settings!$G$12:$G$21,MATCH($B190,Settings!$B$12:$B$21,0))),INDEX(Calculation!$U$6:$U$125,(MATCH($B190,Settings!$B$12:$B$21,0)-1)*12+$J190)),0))</f>
        <v/>
      </c>
      <c r="O190" s="30" t="n">
        <f aca="false">IF($M190="",0,N($L190)*N($N190))</f>
        <v>0</v>
      </c>
      <c r="P190" s="29" t="n">
        <f aca="false">IF(AND($B190&lt;&gt;"",$B190=Statement!$C$6,$J190=Statement!$C$8,$K190=1),1,0)</f>
        <v>0</v>
      </c>
      <c r="Q190" s="29" t="str">
        <f aca="false">IF($P190=1,SUM($P$5:$P190),"")</f>
        <v/>
      </c>
      <c r="R190" s="29" t="n">
        <f aca="false">IF(AND($B190&lt;&gt;"",$B190=Statement!$C$6,$M190=Statement!$C$8),1,0)</f>
        <v>0</v>
      </c>
      <c r="S190" s="29" t="str">
        <f aca="false">IF($R190=1,SUM($R$5:$R190),"")</f>
        <v/>
      </c>
    </row>
    <row r="191" customFormat="false" ht="15" hidden="false" customHeight="false" outlineLevel="0" collapsed="false">
      <c r="A191" s="28"/>
      <c r="B191" s="10"/>
      <c r="C191" s="10"/>
      <c r="D191" s="10"/>
      <c r="E191" s="23"/>
      <c r="F191" s="23"/>
      <c r="G191" s="10"/>
      <c r="H191" s="10"/>
      <c r="I191" s="28"/>
      <c r="J191" s="29" t="str">
        <f aca="false">IF(OR($A191="",$B191=""),"",IF(YEAR($A191)=Settings!$C$4,MONTH($A191),""))</f>
        <v/>
      </c>
      <c r="K191" s="29" t="str">
        <f aca="false">IF($A191="","",IF(OR($J191="",$B191=""),0,IF(OR($G191="Won",$H191="Yes"),1,0)))</f>
        <v/>
      </c>
      <c r="L191" s="30" t="str">
        <f aca="false">IF($B191="","",IFERROR(IF(INDEX(Settings!$E$12:$E$21,MATCH($B191,Settings!$B$12:$B$21,0))="Gross margin",N($F191),N($E191)),""))</f>
        <v/>
      </c>
      <c r="M191" s="29" t="str">
        <f aca="false">IF(AND($G191="Cancelled",$H191="Yes",$I191&lt;&gt;""),IF(YEAR($I191)=Settings!$C$4,MONTH($I191),""),"")</f>
        <v/>
      </c>
      <c r="N191" s="31" t="str">
        <f aca="false">IF($M191="","",IFERROR(IF($J191="",IF(INDEX(Settings!$D$12:$D$21,MATCH($B191,Settings!$B$12:$B$21,0))="Tiered",INDEX(Settings!$I$12:$I$21,MATCH($B191,Settings!$B$12:$B$21,0)),INDEX(Settings!$G$12:$G$21,MATCH($B191,Settings!$B$12:$B$21,0))),INDEX(Calculation!$U$6:$U$125,(MATCH($B191,Settings!$B$12:$B$21,0)-1)*12+$J191)),0))</f>
        <v/>
      </c>
      <c r="O191" s="30" t="n">
        <f aca="false">IF($M191="",0,N($L191)*N($N191))</f>
        <v>0</v>
      </c>
      <c r="P191" s="29" t="n">
        <f aca="false">IF(AND($B191&lt;&gt;"",$B191=Statement!$C$6,$J191=Statement!$C$8,$K191=1),1,0)</f>
        <v>0</v>
      </c>
      <c r="Q191" s="29" t="str">
        <f aca="false">IF($P191=1,SUM($P$5:$P191),"")</f>
        <v/>
      </c>
      <c r="R191" s="29" t="n">
        <f aca="false">IF(AND($B191&lt;&gt;"",$B191=Statement!$C$6,$M191=Statement!$C$8),1,0)</f>
        <v>0</v>
      </c>
      <c r="S191" s="29" t="str">
        <f aca="false">IF($R191=1,SUM($R$5:$R191),"")</f>
        <v/>
      </c>
    </row>
    <row r="192" customFormat="false" ht="15" hidden="false" customHeight="false" outlineLevel="0" collapsed="false">
      <c r="A192" s="28"/>
      <c r="B192" s="10"/>
      <c r="C192" s="10"/>
      <c r="D192" s="10"/>
      <c r="E192" s="23"/>
      <c r="F192" s="23"/>
      <c r="G192" s="10"/>
      <c r="H192" s="10"/>
      <c r="I192" s="28"/>
      <c r="J192" s="29" t="str">
        <f aca="false">IF(OR($A192="",$B192=""),"",IF(YEAR($A192)=Settings!$C$4,MONTH($A192),""))</f>
        <v/>
      </c>
      <c r="K192" s="29" t="str">
        <f aca="false">IF($A192="","",IF(OR($J192="",$B192=""),0,IF(OR($G192="Won",$H192="Yes"),1,0)))</f>
        <v/>
      </c>
      <c r="L192" s="30" t="str">
        <f aca="false">IF($B192="","",IFERROR(IF(INDEX(Settings!$E$12:$E$21,MATCH($B192,Settings!$B$12:$B$21,0))="Gross margin",N($F192),N($E192)),""))</f>
        <v/>
      </c>
      <c r="M192" s="29" t="str">
        <f aca="false">IF(AND($G192="Cancelled",$H192="Yes",$I192&lt;&gt;""),IF(YEAR($I192)=Settings!$C$4,MONTH($I192),""),"")</f>
        <v/>
      </c>
      <c r="N192" s="31" t="str">
        <f aca="false">IF($M192="","",IFERROR(IF($J192="",IF(INDEX(Settings!$D$12:$D$21,MATCH($B192,Settings!$B$12:$B$21,0))="Tiered",INDEX(Settings!$I$12:$I$21,MATCH($B192,Settings!$B$12:$B$21,0)),INDEX(Settings!$G$12:$G$21,MATCH($B192,Settings!$B$12:$B$21,0))),INDEX(Calculation!$U$6:$U$125,(MATCH($B192,Settings!$B$12:$B$21,0)-1)*12+$J192)),0))</f>
        <v/>
      </c>
      <c r="O192" s="30" t="n">
        <f aca="false">IF($M192="",0,N($L192)*N($N192))</f>
        <v>0</v>
      </c>
      <c r="P192" s="29" t="n">
        <f aca="false">IF(AND($B192&lt;&gt;"",$B192=Statement!$C$6,$J192=Statement!$C$8,$K192=1),1,0)</f>
        <v>0</v>
      </c>
      <c r="Q192" s="29" t="str">
        <f aca="false">IF($P192=1,SUM($P$5:$P192),"")</f>
        <v/>
      </c>
      <c r="R192" s="29" t="n">
        <f aca="false">IF(AND($B192&lt;&gt;"",$B192=Statement!$C$6,$M192=Statement!$C$8),1,0)</f>
        <v>0</v>
      </c>
      <c r="S192" s="29" t="str">
        <f aca="false">IF($R192=1,SUM($R$5:$R192),"")</f>
        <v/>
      </c>
    </row>
    <row r="193" customFormat="false" ht="15" hidden="false" customHeight="false" outlineLevel="0" collapsed="false">
      <c r="A193" s="28"/>
      <c r="B193" s="10"/>
      <c r="C193" s="10"/>
      <c r="D193" s="10"/>
      <c r="E193" s="23"/>
      <c r="F193" s="23"/>
      <c r="G193" s="10"/>
      <c r="H193" s="10"/>
      <c r="I193" s="28"/>
      <c r="J193" s="29" t="str">
        <f aca="false">IF(OR($A193="",$B193=""),"",IF(YEAR($A193)=Settings!$C$4,MONTH($A193),""))</f>
        <v/>
      </c>
      <c r="K193" s="29" t="str">
        <f aca="false">IF($A193="","",IF(OR($J193="",$B193=""),0,IF(OR($G193="Won",$H193="Yes"),1,0)))</f>
        <v/>
      </c>
      <c r="L193" s="30" t="str">
        <f aca="false">IF($B193="","",IFERROR(IF(INDEX(Settings!$E$12:$E$21,MATCH($B193,Settings!$B$12:$B$21,0))="Gross margin",N($F193),N($E193)),""))</f>
        <v/>
      </c>
      <c r="M193" s="29" t="str">
        <f aca="false">IF(AND($G193="Cancelled",$H193="Yes",$I193&lt;&gt;""),IF(YEAR($I193)=Settings!$C$4,MONTH($I193),""),"")</f>
        <v/>
      </c>
      <c r="N193" s="31" t="str">
        <f aca="false">IF($M193="","",IFERROR(IF($J193="",IF(INDEX(Settings!$D$12:$D$21,MATCH($B193,Settings!$B$12:$B$21,0))="Tiered",INDEX(Settings!$I$12:$I$21,MATCH($B193,Settings!$B$12:$B$21,0)),INDEX(Settings!$G$12:$G$21,MATCH($B193,Settings!$B$12:$B$21,0))),INDEX(Calculation!$U$6:$U$125,(MATCH($B193,Settings!$B$12:$B$21,0)-1)*12+$J193)),0))</f>
        <v/>
      </c>
      <c r="O193" s="30" t="n">
        <f aca="false">IF($M193="",0,N($L193)*N($N193))</f>
        <v>0</v>
      </c>
      <c r="P193" s="29" t="n">
        <f aca="false">IF(AND($B193&lt;&gt;"",$B193=Statement!$C$6,$J193=Statement!$C$8,$K193=1),1,0)</f>
        <v>0</v>
      </c>
      <c r="Q193" s="29" t="str">
        <f aca="false">IF($P193=1,SUM($P$5:$P193),"")</f>
        <v/>
      </c>
      <c r="R193" s="29" t="n">
        <f aca="false">IF(AND($B193&lt;&gt;"",$B193=Statement!$C$6,$M193=Statement!$C$8),1,0)</f>
        <v>0</v>
      </c>
      <c r="S193" s="29" t="str">
        <f aca="false">IF($R193=1,SUM($R$5:$R193),"")</f>
        <v/>
      </c>
    </row>
    <row r="194" customFormat="false" ht="15" hidden="false" customHeight="false" outlineLevel="0" collapsed="false">
      <c r="A194" s="28"/>
      <c r="B194" s="10"/>
      <c r="C194" s="10"/>
      <c r="D194" s="10"/>
      <c r="E194" s="23"/>
      <c r="F194" s="23"/>
      <c r="G194" s="10"/>
      <c r="H194" s="10"/>
      <c r="I194" s="28"/>
      <c r="J194" s="29" t="str">
        <f aca="false">IF(OR($A194="",$B194=""),"",IF(YEAR($A194)=Settings!$C$4,MONTH($A194),""))</f>
        <v/>
      </c>
      <c r="K194" s="29" t="str">
        <f aca="false">IF($A194="","",IF(OR($J194="",$B194=""),0,IF(OR($G194="Won",$H194="Yes"),1,0)))</f>
        <v/>
      </c>
      <c r="L194" s="30" t="str">
        <f aca="false">IF($B194="","",IFERROR(IF(INDEX(Settings!$E$12:$E$21,MATCH($B194,Settings!$B$12:$B$21,0))="Gross margin",N($F194),N($E194)),""))</f>
        <v/>
      </c>
      <c r="M194" s="29" t="str">
        <f aca="false">IF(AND($G194="Cancelled",$H194="Yes",$I194&lt;&gt;""),IF(YEAR($I194)=Settings!$C$4,MONTH($I194),""),"")</f>
        <v/>
      </c>
      <c r="N194" s="31" t="str">
        <f aca="false">IF($M194="","",IFERROR(IF($J194="",IF(INDEX(Settings!$D$12:$D$21,MATCH($B194,Settings!$B$12:$B$21,0))="Tiered",INDEX(Settings!$I$12:$I$21,MATCH($B194,Settings!$B$12:$B$21,0)),INDEX(Settings!$G$12:$G$21,MATCH($B194,Settings!$B$12:$B$21,0))),INDEX(Calculation!$U$6:$U$125,(MATCH($B194,Settings!$B$12:$B$21,0)-1)*12+$J194)),0))</f>
        <v/>
      </c>
      <c r="O194" s="30" t="n">
        <f aca="false">IF($M194="",0,N($L194)*N($N194))</f>
        <v>0</v>
      </c>
      <c r="P194" s="29" t="n">
        <f aca="false">IF(AND($B194&lt;&gt;"",$B194=Statement!$C$6,$J194=Statement!$C$8,$K194=1),1,0)</f>
        <v>0</v>
      </c>
      <c r="Q194" s="29" t="str">
        <f aca="false">IF($P194=1,SUM($P$5:$P194),"")</f>
        <v/>
      </c>
      <c r="R194" s="29" t="n">
        <f aca="false">IF(AND($B194&lt;&gt;"",$B194=Statement!$C$6,$M194=Statement!$C$8),1,0)</f>
        <v>0</v>
      </c>
      <c r="S194" s="29" t="str">
        <f aca="false">IF($R194=1,SUM($R$5:$R194),"")</f>
        <v/>
      </c>
    </row>
    <row r="195" customFormat="false" ht="15" hidden="false" customHeight="false" outlineLevel="0" collapsed="false">
      <c r="A195" s="28"/>
      <c r="B195" s="10"/>
      <c r="C195" s="10"/>
      <c r="D195" s="10"/>
      <c r="E195" s="23"/>
      <c r="F195" s="23"/>
      <c r="G195" s="10"/>
      <c r="H195" s="10"/>
      <c r="I195" s="28"/>
      <c r="J195" s="29" t="str">
        <f aca="false">IF(OR($A195="",$B195=""),"",IF(YEAR($A195)=Settings!$C$4,MONTH($A195),""))</f>
        <v/>
      </c>
      <c r="K195" s="29" t="str">
        <f aca="false">IF($A195="","",IF(OR($J195="",$B195=""),0,IF(OR($G195="Won",$H195="Yes"),1,0)))</f>
        <v/>
      </c>
      <c r="L195" s="30" t="str">
        <f aca="false">IF($B195="","",IFERROR(IF(INDEX(Settings!$E$12:$E$21,MATCH($B195,Settings!$B$12:$B$21,0))="Gross margin",N($F195),N($E195)),""))</f>
        <v/>
      </c>
      <c r="M195" s="29" t="str">
        <f aca="false">IF(AND($G195="Cancelled",$H195="Yes",$I195&lt;&gt;""),IF(YEAR($I195)=Settings!$C$4,MONTH($I195),""),"")</f>
        <v/>
      </c>
      <c r="N195" s="31" t="str">
        <f aca="false">IF($M195="","",IFERROR(IF($J195="",IF(INDEX(Settings!$D$12:$D$21,MATCH($B195,Settings!$B$12:$B$21,0))="Tiered",INDEX(Settings!$I$12:$I$21,MATCH($B195,Settings!$B$12:$B$21,0)),INDEX(Settings!$G$12:$G$21,MATCH($B195,Settings!$B$12:$B$21,0))),INDEX(Calculation!$U$6:$U$125,(MATCH($B195,Settings!$B$12:$B$21,0)-1)*12+$J195)),0))</f>
        <v/>
      </c>
      <c r="O195" s="30" t="n">
        <f aca="false">IF($M195="",0,N($L195)*N($N195))</f>
        <v>0</v>
      </c>
      <c r="P195" s="29" t="n">
        <f aca="false">IF(AND($B195&lt;&gt;"",$B195=Statement!$C$6,$J195=Statement!$C$8,$K195=1),1,0)</f>
        <v>0</v>
      </c>
      <c r="Q195" s="29" t="str">
        <f aca="false">IF($P195=1,SUM($P$5:$P195),"")</f>
        <v/>
      </c>
      <c r="R195" s="29" t="n">
        <f aca="false">IF(AND($B195&lt;&gt;"",$B195=Statement!$C$6,$M195=Statement!$C$8),1,0)</f>
        <v>0</v>
      </c>
      <c r="S195" s="29" t="str">
        <f aca="false">IF($R195=1,SUM($R$5:$R195),"")</f>
        <v/>
      </c>
    </row>
    <row r="196" customFormat="false" ht="15" hidden="false" customHeight="false" outlineLevel="0" collapsed="false">
      <c r="A196" s="28"/>
      <c r="B196" s="10"/>
      <c r="C196" s="10"/>
      <c r="D196" s="10"/>
      <c r="E196" s="23"/>
      <c r="F196" s="23"/>
      <c r="G196" s="10"/>
      <c r="H196" s="10"/>
      <c r="I196" s="28"/>
      <c r="J196" s="29" t="str">
        <f aca="false">IF(OR($A196="",$B196=""),"",IF(YEAR($A196)=Settings!$C$4,MONTH($A196),""))</f>
        <v/>
      </c>
      <c r="K196" s="29" t="str">
        <f aca="false">IF($A196="","",IF(OR($J196="",$B196=""),0,IF(OR($G196="Won",$H196="Yes"),1,0)))</f>
        <v/>
      </c>
      <c r="L196" s="30" t="str">
        <f aca="false">IF($B196="","",IFERROR(IF(INDEX(Settings!$E$12:$E$21,MATCH($B196,Settings!$B$12:$B$21,0))="Gross margin",N($F196),N($E196)),""))</f>
        <v/>
      </c>
      <c r="M196" s="29" t="str">
        <f aca="false">IF(AND($G196="Cancelled",$H196="Yes",$I196&lt;&gt;""),IF(YEAR($I196)=Settings!$C$4,MONTH($I196),""),"")</f>
        <v/>
      </c>
      <c r="N196" s="31" t="str">
        <f aca="false">IF($M196="","",IFERROR(IF($J196="",IF(INDEX(Settings!$D$12:$D$21,MATCH($B196,Settings!$B$12:$B$21,0))="Tiered",INDEX(Settings!$I$12:$I$21,MATCH($B196,Settings!$B$12:$B$21,0)),INDEX(Settings!$G$12:$G$21,MATCH($B196,Settings!$B$12:$B$21,0))),INDEX(Calculation!$U$6:$U$125,(MATCH($B196,Settings!$B$12:$B$21,0)-1)*12+$J196)),0))</f>
        <v/>
      </c>
      <c r="O196" s="30" t="n">
        <f aca="false">IF($M196="",0,N($L196)*N($N196))</f>
        <v>0</v>
      </c>
      <c r="P196" s="29" t="n">
        <f aca="false">IF(AND($B196&lt;&gt;"",$B196=Statement!$C$6,$J196=Statement!$C$8,$K196=1),1,0)</f>
        <v>0</v>
      </c>
      <c r="Q196" s="29" t="str">
        <f aca="false">IF($P196=1,SUM($P$5:$P196),"")</f>
        <v/>
      </c>
      <c r="R196" s="29" t="n">
        <f aca="false">IF(AND($B196&lt;&gt;"",$B196=Statement!$C$6,$M196=Statement!$C$8),1,0)</f>
        <v>0</v>
      </c>
      <c r="S196" s="29" t="str">
        <f aca="false">IF($R196=1,SUM($R$5:$R196),"")</f>
        <v/>
      </c>
    </row>
    <row r="197" customFormat="false" ht="15" hidden="false" customHeight="false" outlineLevel="0" collapsed="false">
      <c r="A197" s="28"/>
      <c r="B197" s="10"/>
      <c r="C197" s="10"/>
      <c r="D197" s="10"/>
      <c r="E197" s="23"/>
      <c r="F197" s="23"/>
      <c r="G197" s="10"/>
      <c r="H197" s="10"/>
      <c r="I197" s="28"/>
      <c r="J197" s="29" t="str">
        <f aca="false">IF(OR($A197="",$B197=""),"",IF(YEAR($A197)=Settings!$C$4,MONTH($A197),""))</f>
        <v/>
      </c>
      <c r="K197" s="29" t="str">
        <f aca="false">IF($A197="","",IF(OR($J197="",$B197=""),0,IF(OR($G197="Won",$H197="Yes"),1,0)))</f>
        <v/>
      </c>
      <c r="L197" s="30" t="str">
        <f aca="false">IF($B197="","",IFERROR(IF(INDEX(Settings!$E$12:$E$21,MATCH($B197,Settings!$B$12:$B$21,0))="Gross margin",N($F197),N($E197)),""))</f>
        <v/>
      </c>
      <c r="M197" s="29" t="str">
        <f aca="false">IF(AND($G197="Cancelled",$H197="Yes",$I197&lt;&gt;""),IF(YEAR($I197)=Settings!$C$4,MONTH($I197),""),"")</f>
        <v/>
      </c>
      <c r="N197" s="31" t="str">
        <f aca="false">IF($M197="","",IFERROR(IF($J197="",IF(INDEX(Settings!$D$12:$D$21,MATCH($B197,Settings!$B$12:$B$21,0))="Tiered",INDEX(Settings!$I$12:$I$21,MATCH($B197,Settings!$B$12:$B$21,0)),INDEX(Settings!$G$12:$G$21,MATCH($B197,Settings!$B$12:$B$21,0))),INDEX(Calculation!$U$6:$U$125,(MATCH($B197,Settings!$B$12:$B$21,0)-1)*12+$J197)),0))</f>
        <v/>
      </c>
      <c r="O197" s="30" t="n">
        <f aca="false">IF($M197="",0,N($L197)*N($N197))</f>
        <v>0</v>
      </c>
      <c r="P197" s="29" t="n">
        <f aca="false">IF(AND($B197&lt;&gt;"",$B197=Statement!$C$6,$J197=Statement!$C$8,$K197=1),1,0)</f>
        <v>0</v>
      </c>
      <c r="Q197" s="29" t="str">
        <f aca="false">IF($P197=1,SUM($P$5:$P197),"")</f>
        <v/>
      </c>
      <c r="R197" s="29" t="n">
        <f aca="false">IF(AND($B197&lt;&gt;"",$B197=Statement!$C$6,$M197=Statement!$C$8),1,0)</f>
        <v>0</v>
      </c>
      <c r="S197" s="29" t="str">
        <f aca="false">IF($R197=1,SUM($R$5:$R197),"")</f>
        <v/>
      </c>
    </row>
    <row r="198" customFormat="false" ht="15" hidden="false" customHeight="false" outlineLevel="0" collapsed="false">
      <c r="A198" s="28"/>
      <c r="B198" s="10"/>
      <c r="C198" s="10"/>
      <c r="D198" s="10"/>
      <c r="E198" s="23"/>
      <c r="F198" s="23"/>
      <c r="G198" s="10"/>
      <c r="H198" s="10"/>
      <c r="I198" s="28"/>
      <c r="J198" s="29" t="str">
        <f aca="false">IF(OR($A198="",$B198=""),"",IF(YEAR($A198)=Settings!$C$4,MONTH($A198),""))</f>
        <v/>
      </c>
      <c r="K198" s="29" t="str">
        <f aca="false">IF($A198="","",IF(OR($J198="",$B198=""),0,IF(OR($G198="Won",$H198="Yes"),1,0)))</f>
        <v/>
      </c>
      <c r="L198" s="30" t="str">
        <f aca="false">IF($B198="","",IFERROR(IF(INDEX(Settings!$E$12:$E$21,MATCH($B198,Settings!$B$12:$B$21,0))="Gross margin",N($F198),N($E198)),""))</f>
        <v/>
      </c>
      <c r="M198" s="29" t="str">
        <f aca="false">IF(AND($G198="Cancelled",$H198="Yes",$I198&lt;&gt;""),IF(YEAR($I198)=Settings!$C$4,MONTH($I198),""),"")</f>
        <v/>
      </c>
      <c r="N198" s="31" t="str">
        <f aca="false">IF($M198="","",IFERROR(IF($J198="",IF(INDEX(Settings!$D$12:$D$21,MATCH($B198,Settings!$B$12:$B$21,0))="Tiered",INDEX(Settings!$I$12:$I$21,MATCH($B198,Settings!$B$12:$B$21,0)),INDEX(Settings!$G$12:$G$21,MATCH($B198,Settings!$B$12:$B$21,0))),INDEX(Calculation!$U$6:$U$125,(MATCH($B198,Settings!$B$12:$B$21,0)-1)*12+$J198)),0))</f>
        <v/>
      </c>
      <c r="O198" s="30" t="n">
        <f aca="false">IF($M198="",0,N($L198)*N($N198))</f>
        <v>0</v>
      </c>
      <c r="P198" s="29" t="n">
        <f aca="false">IF(AND($B198&lt;&gt;"",$B198=Statement!$C$6,$J198=Statement!$C$8,$K198=1),1,0)</f>
        <v>0</v>
      </c>
      <c r="Q198" s="29" t="str">
        <f aca="false">IF($P198=1,SUM($P$5:$P198),"")</f>
        <v/>
      </c>
      <c r="R198" s="29" t="n">
        <f aca="false">IF(AND($B198&lt;&gt;"",$B198=Statement!$C$6,$M198=Statement!$C$8),1,0)</f>
        <v>0</v>
      </c>
      <c r="S198" s="29" t="str">
        <f aca="false">IF($R198=1,SUM($R$5:$R198),"")</f>
        <v/>
      </c>
    </row>
    <row r="199" customFormat="false" ht="15" hidden="false" customHeight="false" outlineLevel="0" collapsed="false">
      <c r="A199" s="28"/>
      <c r="B199" s="10"/>
      <c r="C199" s="10"/>
      <c r="D199" s="10"/>
      <c r="E199" s="23"/>
      <c r="F199" s="23"/>
      <c r="G199" s="10"/>
      <c r="H199" s="10"/>
      <c r="I199" s="28"/>
      <c r="J199" s="29" t="str">
        <f aca="false">IF(OR($A199="",$B199=""),"",IF(YEAR($A199)=Settings!$C$4,MONTH($A199),""))</f>
        <v/>
      </c>
      <c r="K199" s="29" t="str">
        <f aca="false">IF($A199="","",IF(OR($J199="",$B199=""),0,IF(OR($G199="Won",$H199="Yes"),1,0)))</f>
        <v/>
      </c>
      <c r="L199" s="30" t="str">
        <f aca="false">IF($B199="","",IFERROR(IF(INDEX(Settings!$E$12:$E$21,MATCH($B199,Settings!$B$12:$B$21,0))="Gross margin",N($F199),N($E199)),""))</f>
        <v/>
      </c>
      <c r="M199" s="29" t="str">
        <f aca="false">IF(AND($G199="Cancelled",$H199="Yes",$I199&lt;&gt;""),IF(YEAR($I199)=Settings!$C$4,MONTH($I199),""),"")</f>
        <v/>
      </c>
      <c r="N199" s="31" t="str">
        <f aca="false">IF($M199="","",IFERROR(IF($J199="",IF(INDEX(Settings!$D$12:$D$21,MATCH($B199,Settings!$B$12:$B$21,0))="Tiered",INDEX(Settings!$I$12:$I$21,MATCH($B199,Settings!$B$12:$B$21,0)),INDEX(Settings!$G$12:$G$21,MATCH($B199,Settings!$B$12:$B$21,0))),INDEX(Calculation!$U$6:$U$125,(MATCH($B199,Settings!$B$12:$B$21,0)-1)*12+$J199)),0))</f>
        <v/>
      </c>
      <c r="O199" s="30" t="n">
        <f aca="false">IF($M199="",0,N($L199)*N($N199))</f>
        <v>0</v>
      </c>
      <c r="P199" s="29" t="n">
        <f aca="false">IF(AND($B199&lt;&gt;"",$B199=Statement!$C$6,$J199=Statement!$C$8,$K199=1),1,0)</f>
        <v>0</v>
      </c>
      <c r="Q199" s="29" t="str">
        <f aca="false">IF($P199=1,SUM($P$5:$P199),"")</f>
        <v/>
      </c>
      <c r="R199" s="29" t="n">
        <f aca="false">IF(AND($B199&lt;&gt;"",$B199=Statement!$C$6,$M199=Statement!$C$8),1,0)</f>
        <v>0</v>
      </c>
      <c r="S199" s="29" t="str">
        <f aca="false">IF($R199=1,SUM($R$5:$R199),"")</f>
        <v/>
      </c>
    </row>
    <row r="200" customFormat="false" ht="15" hidden="false" customHeight="false" outlineLevel="0" collapsed="false">
      <c r="A200" s="28"/>
      <c r="B200" s="10"/>
      <c r="C200" s="10"/>
      <c r="D200" s="10"/>
      <c r="E200" s="23"/>
      <c r="F200" s="23"/>
      <c r="G200" s="10"/>
      <c r="H200" s="10"/>
      <c r="I200" s="28"/>
      <c r="J200" s="29" t="str">
        <f aca="false">IF(OR($A200="",$B200=""),"",IF(YEAR($A200)=Settings!$C$4,MONTH($A200),""))</f>
        <v/>
      </c>
      <c r="K200" s="29" t="str">
        <f aca="false">IF($A200="","",IF(OR($J200="",$B200=""),0,IF(OR($G200="Won",$H200="Yes"),1,0)))</f>
        <v/>
      </c>
      <c r="L200" s="30" t="str">
        <f aca="false">IF($B200="","",IFERROR(IF(INDEX(Settings!$E$12:$E$21,MATCH($B200,Settings!$B$12:$B$21,0))="Gross margin",N($F200),N($E200)),""))</f>
        <v/>
      </c>
      <c r="M200" s="29" t="str">
        <f aca="false">IF(AND($G200="Cancelled",$H200="Yes",$I200&lt;&gt;""),IF(YEAR($I200)=Settings!$C$4,MONTH($I200),""),"")</f>
        <v/>
      </c>
      <c r="N200" s="31" t="str">
        <f aca="false">IF($M200="","",IFERROR(IF($J200="",IF(INDEX(Settings!$D$12:$D$21,MATCH($B200,Settings!$B$12:$B$21,0))="Tiered",INDEX(Settings!$I$12:$I$21,MATCH($B200,Settings!$B$12:$B$21,0)),INDEX(Settings!$G$12:$G$21,MATCH($B200,Settings!$B$12:$B$21,0))),INDEX(Calculation!$U$6:$U$125,(MATCH($B200,Settings!$B$12:$B$21,0)-1)*12+$J200)),0))</f>
        <v/>
      </c>
      <c r="O200" s="30" t="n">
        <f aca="false">IF($M200="",0,N($L200)*N($N200))</f>
        <v>0</v>
      </c>
      <c r="P200" s="29" t="n">
        <f aca="false">IF(AND($B200&lt;&gt;"",$B200=Statement!$C$6,$J200=Statement!$C$8,$K200=1),1,0)</f>
        <v>0</v>
      </c>
      <c r="Q200" s="29" t="str">
        <f aca="false">IF($P200=1,SUM($P$5:$P200),"")</f>
        <v/>
      </c>
      <c r="R200" s="29" t="n">
        <f aca="false">IF(AND($B200&lt;&gt;"",$B200=Statement!$C$6,$M200=Statement!$C$8),1,0)</f>
        <v>0</v>
      </c>
      <c r="S200" s="29" t="str">
        <f aca="false">IF($R200=1,SUM($R$5:$R200),"")</f>
        <v/>
      </c>
    </row>
    <row r="201" customFormat="false" ht="15" hidden="false" customHeight="false" outlineLevel="0" collapsed="false">
      <c r="A201" s="28"/>
      <c r="B201" s="10"/>
      <c r="C201" s="10"/>
      <c r="D201" s="10"/>
      <c r="E201" s="23"/>
      <c r="F201" s="23"/>
      <c r="G201" s="10"/>
      <c r="H201" s="10"/>
      <c r="I201" s="28"/>
      <c r="J201" s="29" t="str">
        <f aca="false">IF(OR($A201="",$B201=""),"",IF(YEAR($A201)=Settings!$C$4,MONTH($A201),""))</f>
        <v/>
      </c>
      <c r="K201" s="29" t="str">
        <f aca="false">IF($A201="","",IF(OR($J201="",$B201=""),0,IF(OR($G201="Won",$H201="Yes"),1,0)))</f>
        <v/>
      </c>
      <c r="L201" s="30" t="str">
        <f aca="false">IF($B201="","",IFERROR(IF(INDEX(Settings!$E$12:$E$21,MATCH($B201,Settings!$B$12:$B$21,0))="Gross margin",N($F201),N($E201)),""))</f>
        <v/>
      </c>
      <c r="M201" s="29" t="str">
        <f aca="false">IF(AND($G201="Cancelled",$H201="Yes",$I201&lt;&gt;""),IF(YEAR($I201)=Settings!$C$4,MONTH($I201),""),"")</f>
        <v/>
      </c>
      <c r="N201" s="31" t="str">
        <f aca="false">IF($M201="","",IFERROR(IF($J201="",IF(INDEX(Settings!$D$12:$D$21,MATCH($B201,Settings!$B$12:$B$21,0))="Tiered",INDEX(Settings!$I$12:$I$21,MATCH($B201,Settings!$B$12:$B$21,0)),INDEX(Settings!$G$12:$G$21,MATCH($B201,Settings!$B$12:$B$21,0))),INDEX(Calculation!$U$6:$U$125,(MATCH($B201,Settings!$B$12:$B$21,0)-1)*12+$J201)),0))</f>
        <v/>
      </c>
      <c r="O201" s="30" t="n">
        <f aca="false">IF($M201="",0,N($L201)*N($N201))</f>
        <v>0</v>
      </c>
      <c r="P201" s="29" t="n">
        <f aca="false">IF(AND($B201&lt;&gt;"",$B201=Statement!$C$6,$J201=Statement!$C$8,$K201=1),1,0)</f>
        <v>0</v>
      </c>
      <c r="Q201" s="29" t="str">
        <f aca="false">IF($P201=1,SUM($P$5:$P201),"")</f>
        <v/>
      </c>
      <c r="R201" s="29" t="n">
        <f aca="false">IF(AND($B201&lt;&gt;"",$B201=Statement!$C$6,$M201=Statement!$C$8),1,0)</f>
        <v>0</v>
      </c>
      <c r="S201" s="29" t="str">
        <f aca="false">IF($R201=1,SUM($R$5:$R201),"")</f>
        <v/>
      </c>
    </row>
    <row r="202" customFormat="false" ht="15" hidden="false" customHeight="false" outlineLevel="0" collapsed="false">
      <c r="A202" s="28"/>
      <c r="B202" s="10"/>
      <c r="C202" s="10"/>
      <c r="D202" s="10"/>
      <c r="E202" s="23"/>
      <c r="F202" s="23"/>
      <c r="G202" s="10"/>
      <c r="H202" s="10"/>
      <c r="I202" s="28"/>
      <c r="J202" s="29" t="str">
        <f aca="false">IF(OR($A202="",$B202=""),"",IF(YEAR($A202)=Settings!$C$4,MONTH($A202),""))</f>
        <v/>
      </c>
      <c r="K202" s="29" t="str">
        <f aca="false">IF($A202="","",IF(OR($J202="",$B202=""),0,IF(OR($G202="Won",$H202="Yes"),1,0)))</f>
        <v/>
      </c>
      <c r="L202" s="30" t="str">
        <f aca="false">IF($B202="","",IFERROR(IF(INDEX(Settings!$E$12:$E$21,MATCH($B202,Settings!$B$12:$B$21,0))="Gross margin",N($F202),N($E202)),""))</f>
        <v/>
      </c>
      <c r="M202" s="29" t="str">
        <f aca="false">IF(AND($G202="Cancelled",$H202="Yes",$I202&lt;&gt;""),IF(YEAR($I202)=Settings!$C$4,MONTH($I202),""),"")</f>
        <v/>
      </c>
      <c r="N202" s="31" t="str">
        <f aca="false">IF($M202="","",IFERROR(IF($J202="",IF(INDEX(Settings!$D$12:$D$21,MATCH($B202,Settings!$B$12:$B$21,0))="Tiered",INDEX(Settings!$I$12:$I$21,MATCH($B202,Settings!$B$12:$B$21,0)),INDEX(Settings!$G$12:$G$21,MATCH($B202,Settings!$B$12:$B$21,0))),INDEX(Calculation!$U$6:$U$125,(MATCH($B202,Settings!$B$12:$B$21,0)-1)*12+$J202)),0))</f>
        <v/>
      </c>
      <c r="O202" s="30" t="n">
        <f aca="false">IF($M202="",0,N($L202)*N($N202))</f>
        <v>0</v>
      </c>
      <c r="P202" s="29" t="n">
        <f aca="false">IF(AND($B202&lt;&gt;"",$B202=Statement!$C$6,$J202=Statement!$C$8,$K202=1),1,0)</f>
        <v>0</v>
      </c>
      <c r="Q202" s="29" t="str">
        <f aca="false">IF($P202=1,SUM($P$5:$P202),"")</f>
        <v/>
      </c>
      <c r="R202" s="29" t="n">
        <f aca="false">IF(AND($B202&lt;&gt;"",$B202=Statement!$C$6,$M202=Statement!$C$8),1,0)</f>
        <v>0</v>
      </c>
      <c r="S202" s="29" t="str">
        <f aca="false">IF($R202=1,SUM($R$5:$R202),"")</f>
        <v/>
      </c>
    </row>
    <row r="203" customFormat="false" ht="15" hidden="false" customHeight="false" outlineLevel="0" collapsed="false">
      <c r="A203" s="28"/>
      <c r="B203" s="10"/>
      <c r="C203" s="10"/>
      <c r="D203" s="10"/>
      <c r="E203" s="23"/>
      <c r="F203" s="23"/>
      <c r="G203" s="10"/>
      <c r="H203" s="10"/>
      <c r="I203" s="28"/>
      <c r="J203" s="29" t="str">
        <f aca="false">IF(OR($A203="",$B203=""),"",IF(YEAR($A203)=Settings!$C$4,MONTH($A203),""))</f>
        <v/>
      </c>
      <c r="K203" s="29" t="str">
        <f aca="false">IF($A203="","",IF(OR($J203="",$B203=""),0,IF(OR($G203="Won",$H203="Yes"),1,0)))</f>
        <v/>
      </c>
      <c r="L203" s="30" t="str">
        <f aca="false">IF($B203="","",IFERROR(IF(INDEX(Settings!$E$12:$E$21,MATCH($B203,Settings!$B$12:$B$21,0))="Gross margin",N($F203),N($E203)),""))</f>
        <v/>
      </c>
      <c r="M203" s="29" t="str">
        <f aca="false">IF(AND($G203="Cancelled",$H203="Yes",$I203&lt;&gt;""),IF(YEAR($I203)=Settings!$C$4,MONTH($I203),""),"")</f>
        <v/>
      </c>
      <c r="N203" s="31" t="str">
        <f aca="false">IF($M203="","",IFERROR(IF($J203="",IF(INDEX(Settings!$D$12:$D$21,MATCH($B203,Settings!$B$12:$B$21,0))="Tiered",INDEX(Settings!$I$12:$I$21,MATCH($B203,Settings!$B$12:$B$21,0)),INDEX(Settings!$G$12:$G$21,MATCH($B203,Settings!$B$12:$B$21,0))),INDEX(Calculation!$U$6:$U$125,(MATCH($B203,Settings!$B$12:$B$21,0)-1)*12+$J203)),0))</f>
        <v/>
      </c>
      <c r="O203" s="30" t="n">
        <f aca="false">IF($M203="",0,N($L203)*N($N203))</f>
        <v>0</v>
      </c>
      <c r="P203" s="29" t="n">
        <f aca="false">IF(AND($B203&lt;&gt;"",$B203=Statement!$C$6,$J203=Statement!$C$8,$K203=1),1,0)</f>
        <v>0</v>
      </c>
      <c r="Q203" s="29" t="str">
        <f aca="false">IF($P203=1,SUM($P$5:$P203),"")</f>
        <v/>
      </c>
      <c r="R203" s="29" t="n">
        <f aca="false">IF(AND($B203&lt;&gt;"",$B203=Statement!$C$6,$M203=Statement!$C$8),1,0)</f>
        <v>0</v>
      </c>
      <c r="S203" s="29" t="str">
        <f aca="false">IF($R203=1,SUM($R$5:$R203),"")</f>
        <v/>
      </c>
    </row>
    <row r="204" customFormat="false" ht="15" hidden="false" customHeight="false" outlineLevel="0" collapsed="false">
      <c r="A204" s="28"/>
      <c r="B204" s="10"/>
      <c r="C204" s="10"/>
      <c r="D204" s="10"/>
      <c r="E204" s="23"/>
      <c r="F204" s="23"/>
      <c r="G204" s="10"/>
      <c r="H204" s="10"/>
      <c r="I204" s="28"/>
      <c r="J204" s="29" t="str">
        <f aca="false">IF(OR($A204="",$B204=""),"",IF(YEAR($A204)=Settings!$C$4,MONTH($A204),""))</f>
        <v/>
      </c>
      <c r="K204" s="29" t="str">
        <f aca="false">IF($A204="","",IF(OR($J204="",$B204=""),0,IF(OR($G204="Won",$H204="Yes"),1,0)))</f>
        <v/>
      </c>
      <c r="L204" s="30" t="str">
        <f aca="false">IF($B204="","",IFERROR(IF(INDEX(Settings!$E$12:$E$21,MATCH($B204,Settings!$B$12:$B$21,0))="Gross margin",N($F204),N($E204)),""))</f>
        <v/>
      </c>
      <c r="M204" s="29" t="str">
        <f aca="false">IF(AND($G204="Cancelled",$H204="Yes",$I204&lt;&gt;""),IF(YEAR($I204)=Settings!$C$4,MONTH($I204),""),"")</f>
        <v/>
      </c>
      <c r="N204" s="31" t="str">
        <f aca="false">IF($M204="","",IFERROR(IF($J204="",IF(INDEX(Settings!$D$12:$D$21,MATCH($B204,Settings!$B$12:$B$21,0))="Tiered",INDEX(Settings!$I$12:$I$21,MATCH($B204,Settings!$B$12:$B$21,0)),INDEX(Settings!$G$12:$G$21,MATCH($B204,Settings!$B$12:$B$21,0))),INDEX(Calculation!$U$6:$U$125,(MATCH($B204,Settings!$B$12:$B$21,0)-1)*12+$J204)),0))</f>
        <v/>
      </c>
      <c r="O204" s="30" t="n">
        <f aca="false">IF($M204="",0,N($L204)*N($N204))</f>
        <v>0</v>
      </c>
      <c r="P204" s="29" t="n">
        <f aca="false">IF(AND($B204&lt;&gt;"",$B204=Statement!$C$6,$J204=Statement!$C$8,$K204=1),1,0)</f>
        <v>0</v>
      </c>
      <c r="Q204" s="29" t="str">
        <f aca="false">IF($P204=1,SUM($P$5:$P204),"")</f>
        <v/>
      </c>
      <c r="R204" s="29" t="n">
        <f aca="false">IF(AND($B204&lt;&gt;"",$B204=Statement!$C$6,$M204=Statement!$C$8),1,0)</f>
        <v>0</v>
      </c>
      <c r="S204" s="29" t="str">
        <f aca="false">IF($R204=1,SUM($R$5:$R204),"")</f>
        <v/>
      </c>
    </row>
    <row r="205" customFormat="false" ht="15" hidden="false" customHeight="false" outlineLevel="0" collapsed="false">
      <c r="A205" s="28"/>
      <c r="B205" s="10"/>
      <c r="C205" s="10"/>
      <c r="D205" s="10"/>
      <c r="E205" s="23"/>
      <c r="F205" s="23"/>
      <c r="G205" s="10"/>
      <c r="H205" s="10"/>
      <c r="I205" s="28"/>
      <c r="J205" s="29" t="str">
        <f aca="false">IF(OR($A205="",$B205=""),"",IF(YEAR($A205)=Settings!$C$4,MONTH($A205),""))</f>
        <v/>
      </c>
      <c r="K205" s="29" t="str">
        <f aca="false">IF($A205="","",IF(OR($J205="",$B205=""),0,IF(OR($G205="Won",$H205="Yes"),1,0)))</f>
        <v/>
      </c>
      <c r="L205" s="30" t="str">
        <f aca="false">IF($B205="","",IFERROR(IF(INDEX(Settings!$E$12:$E$21,MATCH($B205,Settings!$B$12:$B$21,0))="Gross margin",N($F205),N($E205)),""))</f>
        <v/>
      </c>
      <c r="M205" s="29" t="str">
        <f aca="false">IF(AND($G205="Cancelled",$H205="Yes",$I205&lt;&gt;""),IF(YEAR($I205)=Settings!$C$4,MONTH($I205),""),"")</f>
        <v/>
      </c>
      <c r="N205" s="31" t="str">
        <f aca="false">IF($M205="","",IFERROR(IF($J205="",IF(INDEX(Settings!$D$12:$D$21,MATCH($B205,Settings!$B$12:$B$21,0))="Tiered",INDEX(Settings!$I$12:$I$21,MATCH($B205,Settings!$B$12:$B$21,0)),INDEX(Settings!$G$12:$G$21,MATCH($B205,Settings!$B$12:$B$21,0))),INDEX(Calculation!$U$6:$U$125,(MATCH($B205,Settings!$B$12:$B$21,0)-1)*12+$J205)),0))</f>
        <v/>
      </c>
      <c r="O205" s="30" t="n">
        <f aca="false">IF($M205="",0,N($L205)*N($N205))</f>
        <v>0</v>
      </c>
      <c r="P205" s="29" t="n">
        <f aca="false">IF(AND($B205&lt;&gt;"",$B205=Statement!$C$6,$J205=Statement!$C$8,$K205=1),1,0)</f>
        <v>0</v>
      </c>
      <c r="Q205" s="29" t="str">
        <f aca="false">IF($P205=1,SUM($P$5:$P205),"")</f>
        <v/>
      </c>
      <c r="R205" s="29" t="n">
        <f aca="false">IF(AND($B205&lt;&gt;"",$B205=Statement!$C$6,$M205=Statement!$C$8),1,0)</f>
        <v>0</v>
      </c>
      <c r="S205" s="29" t="str">
        <f aca="false">IF($R205=1,SUM($R$5:$R205),"")</f>
        <v/>
      </c>
    </row>
    <row r="206" customFormat="false" ht="15" hidden="false" customHeight="false" outlineLevel="0" collapsed="false">
      <c r="A206" s="28"/>
      <c r="B206" s="10"/>
      <c r="C206" s="10"/>
      <c r="D206" s="10"/>
      <c r="E206" s="23"/>
      <c r="F206" s="23"/>
      <c r="G206" s="10"/>
      <c r="H206" s="10"/>
      <c r="I206" s="28"/>
      <c r="J206" s="29" t="str">
        <f aca="false">IF(OR($A206="",$B206=""),"",IF(YEAR($A206)=Settings!$C$4,MONTH($A206),""))</f>
        <v/>
      </c>
      <c r="K206" s="29" t="str">
        <f aca="false">IF($A206="","",IF(OR($J206="",$B206=""),0,IF(OR($G206="Won",$H206="Yes"),1,0)))</f>
        <v/>
      </c>
      <c r="L206" s="30" t="str">
        <f aca="false">IF($B206="","",IFERROR(IF(INDEX(Settings!$E$12:$E$21,MATCH($B206,Settings!$B$12:$B$21,0))="Gross margin",N($F206),N($E206)),""))</f>
        <v/>
      </c>
      <c r="M206" s="29" t="str">
        <f aca="false">IF(AND($G206="Cancelled",$H206="Yes",$I206&lt;&gt;""),IF(YEAR($I206)=Settings!$C$4,MONTH($I206),""),"")</f>
        <v/>
      </c>
      <c r="N206" s="31" t="str">
        <f aca="false">IF($M206="","",IFERROR(IF($J206="",IF(INDEX(Settings!$D$12:$D$21,MATCH($B206,Settings!$B$12:$B$21,0))="Tiered",INDEX(Settings!$I$12:$I$21,MATCH($B206,Settings!$B$12:$B$21,0)),INDEX(Settings!$G$12:$G$21,MATCH($B206,Settings!$B$12:$B$21,0))),INDEX(Calculation!$U$6:$U$125,(MATCH($B206,Settings!$B$12:$B$21,0)-1)*12+$J206)),0))</f>
        <v/>
      </c>
      <c r="O206" s="30" t="n">
        <f aca="false">IF($M206="",0,N($L206)*N($N206))</f>
        <v>0</v>
      </c>
      <c r="P206" s="29" t="n">
        <f aca="false">IF(AND($B206&lt;&gt;"",$B206=Statement!$C$6,$J206=Statement!$C$8,$K206=1),1,0)</f>
        <v>0</v>
      </c>
      <c r="Q206" s="29" t="str">
        <f aca="false">IF($P206=1,SUM($P$5:$P206),"")</f>
        <v/>
      </c>
      <c r="R206" s="29" t="n">
        <f aca="false">IF(AND($B206&lt;&gt;"",$B206=Statement!$C$6,$M206=Statement!$C$8),1,0)</f>
        <v>0</v>
      </c>
      <c r="S206" s="29" t="str">
        <f aca="false">IF($R206=1,SUM($R$5:$R206),"")</f>
        <v/>
      </c>
    </row>
    <row r="207" customFormat="false" ht="15" hidden="false" customHeight="false" outlineLevel="0" collapsed="false">
      <c r="A207" s="28"/>
      <c r="B207" s="10"/>
      <c r="C207" s="10"/>
      <c r="D207" s="10"/>
      <c r="E207" s="23"/>
      <c r="F207" s="23"/>
      <c r="G207" s="10"/>
      <c r="H207" s="10"/>
      <c r="I207" s="28"/>
      <c r="J207" s="29" t="str">
        <f aca="false">IF(OR($A207="",$B207=""),"",IF(YEAR($A207)=Settings!$C$4,MONTH($A207),""))</f>
        <v/>
      </c>
      <c r="K207" s="29" t="str">
        <f aca="false">IF($A207="","",IF(OR($J207="",$B207=""),0,IF(OR($G207="Won",$H207="Yes"),1,0)))</f>
        <v/>
      </c>
      <c r="L207" s="30" t="str">
        <f aca="false">IF($B207="","",IFERROR(IF(INDEX(Settings!$E$12:$E$21,MATCH($B207,Settings!$B$12:$B$21,0))="Gross margin",N($F207),N($E207)),""))</f>
        <v/>
      </c>
      <c r="M207" s="29" t="str">
        <f aca="false">IF(AND($G207="Cancelled",$H207="Yes",$I207&lt;&gt;""),IF(YEAR($I207)=Settings!$C$4,MONTH($I207),""),"")</f>
        <v/>
      </c>
      <c r="N207" s="31" t="str">
        <f aca="false">IF($M207="","",IFERROR(IF($J207="",IF(INDEX(Settings!$D$12:$D$21,MATCH($B207,Settings!$B$12:$B$21,0))="Tiered",INDEX(Settings!$I$12:$I$21,MATCH($B207,Settings!$B$12:$B$21,0)),INDEX(Settings!$G$12:$G$21,MATCH($B207,Settings!$B$12:$B$21,0))),INDEX(Calculation!$U$6:$U$125,(MATCH($B207,Settings!$B$12:$B$21,0)-1)*12+$J207)),0))</f>
        <v/>
      </c>
      <c r="O207" s="30" t="n">
        <f aca="false">IF($M207="",0,N($L207)*N($N207))</f>
        <v>0</v>
      </c>
      <c r="P207" s="29" t="n">
        <f aca="false">IF(AND($B207&lt;&gt;"",$B207=Statement!$C$6,$J207=Statement!$C$8,$K207=1),1,0)</f>
        <v>0</v>
      </c>
      <c r="Q207" s="29" t="str">
        <f aca="false">IF($P207=1,SUM($P$5:$P207),"")</f>
        <v/>
      </c>
      <c r="R207" s="29" t="n">
        <f aca="false">IF(AND($B207&lt;&gt;"",$B207=Statement!$C$6,$M207=Statement!$C$8),1,0)</f>
        <v>0</v>
      </c>
      <c r="S207" s="29" t="str">
        <f aca="false">IF($R207=1,SUM($R$5:$R207),"")</f>
        <v/>
      </c>
    </row>
    <row r="208" customFormat="false" ht="15" hidden="false" customHeight="false" outlineLevel="0" collapsed="false">
      <c r="A208" s="28"/>
      <c r="B208" s="10"/>
      <c r="C208" s="10"/>
      <c r="D208" s="10"/>
      <c r="E208" s="23"/>
      <c r="F208" s="23"/>
      <c r="G208" s="10"/>
      <c r="H208" s="10"/>
      <c r="I208" s="28"/>
      <c r="J208" s="29" t="str">
        <f aca="false">IF(OR($A208="",$B208=""),"",IF(YEAR($A208)=Settings!$C$4,MONTH($A208),""))</f>
        <v/>
      </c>
      <c r="K208" s="29" t="str">
        <f aca="false">IF($A208="","",IF(OR($J208="",$B208=""),0,IF(OR($G208="Won",$H208="Yes"),1,0)))</f>
        <v/>
      </c>
      <c r="L208" s="30" t="str">
        <f aca="false">IF($B208="","",IFERROR(IF(INDEX(Settings!$E$12:$E$21,MATCH($B208,Settings!$B$12:$B$21,0))="Gross margin",N($F208),N($E208)),""))</f>
        <v/>
      </c>
      <c r="M208" s="29" t="str">
        <f aca="false">IF(AND($G208="Cancelled",$H208="Yes",$I208&lt;&gt;""),IF(YEAR($I208)=Settings!$C$4,MONTH($I208),""),"")</f>
        <v/>
      </c>
      <c r="N208" s="31" t="str">
        <f aca="false">IF($M208="","",IFERROR(IF($J208="",IF(INDEX(Settings!$D$12:$D$21,MATCH($B208,Settings!$B$12:$B$21,0))="Tiered",INDEX(Settings!$I$12:$I$21,MATCH($B208,Settings!$B$12:$B$21,0)),INDEX(Settings!$G$12:$G$21,MATCH($B208,Settings!$B$12:$B$21,0))),INDEX(Calculation!$U$6:$U$125,(MATCH($B208,Settings!$B$12:$B$21,0)-1)*12+$J208)),0))</f>
        <v/>
      </c>
      <c r="O208" s="30" t="n">
        <f aca="false">IF($M208="",0,N($L208)*N($N208))</f>
        <v>0</v>
      </c>
      <c r="P208" s="29" t="n">
        <f aca="false">IF(AND($B208&lt;&gt;"",$B208=Statement!$C$6,$J208=Statement!$C$8,$K208=1),1,0)</f>
        <v>0</v>
      </c>
      <c r="Q208" s="29" t="str">
        <f aca="false">IF($P208=1,SUM($P$5:$P208),"")</f>
        <v/>
      </c>
      <c r="R208" s="29" t="n">
        <f aca="false">IF(AND($B208&lt;&gt;"",$B208=Statement!$C$6,$M208=Statement!$C$8),1,0)</f>
        <v>0</v>
      </c>
      <c r="S208" s="29" t="str">
        <f aca="false">IF($R208=1,SUM($R$5:$R208),"")</f>
        <v/>
      </c>
    </row>
    <row r="209" customFormat="false" ht="15" hidden="false" customHeight="false" outlineLevel="0" collapsed="false">
      <c r="A209" s="28"/>
      <c r="B209" s="10"/>
      <c r="C209" s="10"/>
      <c r="D209" s="10"/>
      <c r="E209" s="23"/>
      <c r="F209" s="23"/>
      <c r="G209" s="10"/>
      <c r="H209" s="10"/>
      <c r="I209" s="28"/>
      <c r="J209" s="29" t="str">
        <f aca="false">IF(OR($A209="",$B209=""),"",IF(YEAR($A209)=Settings!$C$4,MONTH($A209),""))</f>
        <v/>
      </c>
      <c r="K209" s="29" t="str">
        <f aca="false">IF($A209="","",IF(OR($J209="",$B209=""),0,IF(OR($G209="Won",$H209="Yes"),1,0)))</f>
        <v/>
      </c>
      <c r="L209" s="30" t="str">
        <f aca="false">IF($B209="","",IFERROR(IF(INDEX(Settings!$E$12:$E$21,MATCH($B209,Settings!$B$12:$B$21,0))="Gross margin",N($F209),N($E209)),""))</f>
        <v/>
      </c>
      <c r="M209" s="29" t="str">
        <f aca="false">IF(AND($G209="Cancelled",$H209="Yes",$I209&lt;&gt;""),IF(YEAR($I209)=Settings!$C$4,MONTH($I209),""),"")</f>
        <v/>
      </c>
      <c r="N209" s="31" t="str">
        <f aca="false">IF($M209="","",IFERROR(IF($J209="",IF(INDEX(Settings!$D$12:$D$21,MATCH($B209,Settings!$B$12:$B$21,0))="Tiered",INDEX(Settings!$I$12:$I$21,MATCH($B209,Settings!$B$12:$B$21,0)),INDEX(Settings!$G$12:$G$21,MATCH($B209,Settings!$B$12:$B$21,0))),INDEX(Calculation!$U$6:$U$125,(MATCH($B209,Settings!$B$12:$B$21,0)-1)*12+$J209)),0))</f>
        <v/>
      </c>
      <c r="O209" s="30" t="n">
        <f aca="false">IF($M209="",0,N($L209)*N($N209))</f>
        <v>0</v>
      </c>
      <c r="P209" s="29" t="n">
        <f aca="false">IF(AND($B209&lt;&gt;"",$B209=Statement!$C$6,$J209=Statement!$C$8,$K209=1),1,0)</f>
        <v>0</v>
      </c>
      <c r="Q209" s="29" t="str">
        <f aca="false">IF($P209=1,SUM($P$5:$P209),"")</f>
        <v/>
      </c>
      <c r="R209" s="29" t="n">
        <f aca="false">IF(AND($B209&lt;&gt;"",$B209=Statement!$C$6,$M209=Statement!$C$8),1,0)</f>
        <v>0</v>
      </c>
      <c r="S209" s="29" t="str">
        <f aca="false">IF($R209=1,SUM($R$5:$R209),"")</f>
        <v/>
      </c>
    </row>
    <row r="210" customFormat="false" ht="15" hidden="false" customHeight="false" outlineLevel="0" collapsed="false">
      <c r="A210" s="28"/>
      <c r="B210" s="10"/>
      <c r="C210" s="10"/>
      <c r="D210" s="10"/>
      <c r="E210" s="23"/>
      <c r="F210" s="23"/>
      <c r="G210" s="10"/>
      <c r="H210" s="10"/>
      <c r="I210" s="28"/>
      <c r="J210" s="29" t="str">
        <f aca="false">IF(OR($A210="",$B210=""),"",IF(YEAR($A210)=Settings!$C$4,MONTH($A210),""))</f>
        <v/>
      </c>
      <c r="K210" s="29" t="str">
        <f aca="false">IF($A210="","",IF(OR($J210="",$B210=""),0,IF(OR($G210="Won",$H210="Yes"),1,0)))</f>
        <v/>
      </c>
      <c r="L210" s="30" t="str">
        <f aca="false">IF($B210="","",IFERROR(IF(INDEX(Settings!$E$12:$E$21,MATCH($B210,Settings!$B$12:$B$21,0))="Gross margin",N($F210),N($E210)),""))</f>
        <v/>
      </c>
      <c r="M210" s="29" t="str">
        <f aca="false">IF(AND($G210="Cancelled",$H210="Yes",$I210&lt;&gt;""),IF(YEAR($I210)=Settings!$C$4,MONTH($I210),""),"")</f>
        <v/>
      </c>
      <c r="N210" s="31" t="str">
        <f aca="false">IF($M210="","",IFERROR(IF($J210="",IF(INDEX(Settings!$D$12:$D$21,MATCH($B210,Settings!$B$12:$B$21,0))="Tiered",INDEX(Settings!$I$12:$I$21,MATCH($B210,Settings!$B$12:$B$21,0)),INDEX(Settings!$G$12:$G$21,MATCH($B210,Settings!$B$12:$B$21,0))),INDEX(Calculation!$U$6:$U$125,(MATCH($B210,Settings!$B$12:$B$21,0)-1)*12+$J210)),0))</f>
        <v/>
      </c>
      <c r="O210" s="30" t="n">
        <f aca="false">IF($M210="",0,N($L210)*N($N210))</f>
        <v>0</v>
      </c>
      <c r="P210" s="29" t="n">
        <f aca="false">IF(AND($B210&lt;&gt;"",$B210=Statement!$C$6,$J210=Statement!$C$8,$K210=1),1,0)</f>
        <v>0</v>
      </c>
      <c r="Q210" s="29" t="str">
        <f aca="false">IF($P210=1,SUM($P$5:$P210),"")</f>
        <v/>
      </c>
      <c r="R210" s="29" t="n">
        <f aca="false">IF(AND($B210&lt;&gt;"",$B210=Statement!$C$6,$M210=Statement!$C$8),1,0)</f>
        <v>0</v>
      </c>
      <c r="S210" s="29" t="str">
        <f aca="false">IF($R210=1,SUM($R$5:$R210),"")</f>
        <v/>
      </c>
    </row>
    <row r="211" customFormat="false" ht="15" hidden="false" customHeight="false" outlineLevel="0" collapsed="false">
      <c r="A211" s="28"/>
      <c r="B211" s="10"/>
      <c r="C211" s="10"/>
      <c r="D211" s="10"/>
      <c r="E211" s="23"/>
      <c r="F211" s="23"/>
      <c r="G211" s="10"/>
      <c r="H211" s="10"/>
      <c r="I211" s="28"/>
      <c r="J211" s="29" t="str">
        <f aca="false">IF(OR($A211="",$B211=""),"",IF(YEAR($A211)=Settings!$C$4,MONTH($A211),""))</f>
        <v/>
      </c>
      <c r="K211" s="29" t="str">
        <f aca="false">IF($A211="","",IF(OR($J211="",$B211=""),0,IF(OR($G211="Won",$H211="Yes"),1,0)))</f>
        <v/>
      </c>
      <c r="L211" s="30" t="str">
        <f aca="false">IF($B211="","",IFERROR(IF(INDEX(Settings!$E$12:$E$21,MATCH($B211,Settings!$B$12:$B$21,0))="Gross margin",N($F211),N($E211)),""))</f>
        <v/>
      </c>
      <c r="M211" s="29" t="str">
        <f aca="false">IF(AND($G211="Cancelled",$H211="Yes",$I211&lt;&gt;""),IF(YEAR($I211)=Settings!$C$4,MONTH($I211),""),"")</f>
        <v/>
      </c>
      <c r="N211" s="31" t="str">
        <f aca="false">IF($M211="","",IFERROR(IF($J211="",IF(INDEX(Settings!$D$12:$D$21,MATCH($B211,Settings!$B$12:$B$21,0))="Tiered",INDEX(Settings!$I$12:$I$21,MATCH($B211,Settings!$B$12:$B$21,0)),INDEX(Settings!$G$12:$G$21,MATCH($B211,Settings!$B$12:$B$21,0))),INDEX(Calculation!$U$6:$U$125,(MATCH($B211,Settings!$B$12:$B$21,0)-1)*12+$J211)),0))</f>
        <v/>
      </c>
      <c r="O211" s="30" t="n">
        <f aca="false">IF($M211="",0,N($L211)*N($N211))</f>
        <v>0</v>
      </c>
      <c r="P211" s="29" t="n">
        <f aca="false">IF(AND($B211&lt;&gt;"",$B211=Statement!$C$6,$J211=Statement!$C$8,$K211=1),1,0)</f>
        <v>0</v>
      </c>
      <c r="Q211" s="29" t="str">
        <f aca="false">IF($P211=1,SUM($P$5:$P211),"")</f>
        <v/>
      </c>
      <c r="R211" s="29" t="n">
        <f aca="false">IF(AND($B211&lt;&gt;"",$B211=Statement!$C$6,$M211=Statement!$C$8),1,0)</f>
        <v>0</v>
      </c>
      <c r="S211" s="29" t="str">
        <f aca="false">IF($R211=1,SUM($R$5:$R211),"")</f>
        <v/>
      </c>
    </row>
    <row r="212" customFormat="false" ht="15" hidden="false" customHeight="false" outlineLevel="0" collapsed="false">
      <c r="A212" s="28"/>
      <c r="B212" s="10"/>
      <c r="C212" s="10"/>
      <c r="D212" s="10"/>
      <c r="E212" s="23"/>
      <c r="F212" s="23"/>
      <c r="G212" s="10"/>
      <c r="H212" s="10"/>
      <c r="I212" s="28"/>
      <c r="J212" s="29" t="str">
        <f aca="false">IF(OR($A212="",$B212=""),"",IF(YEAR($A212)=Settings!$C$4,MONTH($A212),""))</f>
        <v/>
      </c>
      <c r="K212" s="29" t="str">
        <f aca="false">IF($A212="","",IF(OR($J212="",$B212=""),0,IF(OR($G212="Won",$H212="Yes"),1,0)))</f>
        <v/>
      </c>
      <c r="L212" s="30" t="str">
        <f aca="false">IF($B212="","",IFERROR(IF(INDEX(Settings!$E$12:$E$21,MATCH($B212,Settings!$B$12:$B$21,0))="Gross margin",N($F212),N($E212)),""))</f>
        <v/>
      </c>
      <c r="M212" s="29" t="str">
        <f aca="false">IF(AND($G212="Cancelled",$H212="Yes",$I212&lt;&gt;""),IF(YEAR($I212)=Settings!$C$4,MONTH($I212),""),"")</f>
        <v/>
      </c>
      <c r="N212" s="31" t="str">
        <f aca="false">IF($M212="","",IFERROR(IF($J212="",IF(INDEX(Settings!$D$12:$D$21,MATCH($B212,Settings!$B$12:$B$21,0))="Tiered",INDEX(Settings!$I$12:$I$21,MATCH($B212,Settings!$B$12:$B$21,0)),INDEX(Settings!$G$12:$G$21,MATCH($B212,Settings!$B$12:$B$21,0))),INDEX(Calculation!$U$6:$U$125,(MATCH($B212,Settings!$B$12:$B$21,0)-1)*12+$J212)),0))</f>
        <v/>
      </c>
      <c r="O212" s="30" t="n">
        <f aca="false">IF($M212="",0,N($L212)*N($N212))</f>
        <v>0</v>
      </c>
      <c r="P212" s="29" t="n">
        <f aca="false">IF(AND($B212&lt;&gt;"",$B212=Statement!$C$6,$J212=Statement!$C$8,$K212=1),1,0)</f>
        <v>0</v>
      </c>
      <c r="Q212" s="29" t="str">
        <f aca="false">IF($P212=1,SUM($P$5:$P212),"")</f>
        <v/>
      </c>
      <c r="R212" s="29" t="n">
        <f aca="false">IF(AND($B212&lt;&gt;"",$B212=Statement!$C$6,$M212=Statement!$C$8),1,0)</f>
        <v>0</v>
      </c>
      <c r="S212" s="29" t="str">
        <f aca="false">IF($R212=1,SUM($R$5:$R212),"")</f>
        <v/>
      </c>
    </row>
    <row r="213" customFormat="false" ht="15" hidden="false" customHeight="false" outlineLevel="0" collapsed="false">
      <c r="A213" s="28"/>
      <c r="B213" s="10"/>
      <c r="C213" s="10"/>
      <c r="D213" s="10"/>
      <c r="E213" s="23"/>
      <c r="F213" s="23"/>
      <c r="G213" s="10"/>
      <c r="H213" s="10"/>
      <c r="I213" s="28"/>
      <c r="J213" s="29" t="str">
        <f aca="false">IF(OR($A213="",$B213=""),"",IF(YEAR($A213)=Settings!$C$4,MONTH($A213),""))</f>
        <v/>
      </c>
      <c r="K213" s="29" t="str">
        <f aca="false">IF($A213="","",IF(OR($J213="",$B213=""),0,IF(OR($G213="Won",$H213="Yes"),1,0)))</f>
        <v/>
      </c>
      <c r="L213" s="30" t="str">
        <f aca="false">IF($B213="","",IFERROR(IF(INDEX(Settings!$E$12:$E$21,MATCH($B213,Settings!$B$12:$B$21,0))="Gross margin",N($F213),N($E213)),""))</f>
        <v/>
      </c>
      <c r="M213" s="29" t="str">
        <f aca="false">IF(AND($G213="Cancelled",$H213="Yes",$I213&lt;&gt;""),IF(YEAR($I213)=Settings!$C$4,MONTH($I213),""),"")</f>
        <v/>
      </c>
      <c r="N213" s="31" t="str">
        <f aca="false">IF($M213="","",IFERROR(IF($J213="",IF(INDEX(Settings!$D$12:$D$21,MATCH($B213,Settings!$B$12:$B$21,0))="Tiered",INDEX(Settings!$I$12:$I$21,MATCH($B213,Settings!$B$12:$B$21,0)),INDEX(Settings!$G$12:$G$21,MATCH($B213,Settings!$B$12:$B$21,0))),INDEX(Calculation!$U$6:$U$125,(MATCH($B213,Settings!$B$12:$B$21,0)-1)*12+$J213)),0))</f>
        <v/>
      </c>
      <c r="O213" s="30" t="n">
        <f aca="false">IF($M213="",0,N($L213)*N($N213))</f>
        <v>0</v>
      </c>
      <c r="P213" s="29" t="n">
        <f aca="false">IF(AND($B213&lt;&gt;"",$B213=Statement!$C$6,$J213=Statement!$C$8,$K213=1),1,0)</f>
        <v>0</v>
      </c>
      <c r="Q213" s="29" t="str">
        <f aca="false">IF($P213=1,SUM($P$5:$P213),"")</f>
        <v/>
      </c>
      <c r="R213" s="29" t="n">
        <f aca="false">IF(AND($B213&lt;&gt;"",$B213=Statement!$C$6,$M213=Statement!$C$8),1,0)</f>
        <v>0</v>
      </c>
      <c r="S213" s="29" t="str">
        <f aca="false">IF($R213=1,SUM($R$5:$R213),"")</f>
        <v/>
      </c>
    </row>
    <row r="214" customFormat="false" ht="15" hidden="false" customHeight="false" outlineLevel="0" collapsed="false">
      <c r="A214" s="28"/>
      <c r="B214" s="10"/>
      <c r="C214" s="10"/>
      <c r="D214" s="10"/>
      <c r="E214" s="23"/>
      <c r="F214" s="23"/>
      <c r="G214" s="10"/>
      <c r="H214" s="10"/>
      <c r="I214" s="28"/>
      <c r="J214" s="29" t="str">
        <f aca="false">IF(OR($A214="",$B214=""),"",IF(YEAR($A214)=Settings!$C$4,MONTH($A214),""))</f>
        <v/>
      </c>
      <c r="K214" s="29" t="str">
        <f aca="false">IF($A214="","",IF(OR($J214="",$B214=""),0,IF(OR($G214="Won",$H214="Yes"),1,0)))</f>
        <v/>
      </c>
      <c r="L214" s="30" t="str">
        <f aca="false">IF($B214="","",IFERROR(IF(INDEX(Settings!$E$12:$E$21,MATCH($B214,Settings!$B$12:$B$21,0))="Gross margin",N($F214),N($E214)),""))</f>
        <v/>
      </c>
      <c r="M214" s="29" t="str">
        <f aca="false">IF(AND($G214="Cancelled",$H214="Yes",$I214&lt;&gt;""),IF(YEAR($I214)=Settings!$C$4,MONTH($I214),""),"")</f>
        <v/>
      </c>
      <c r="N214" s="31" t="str">
        <f aca="false">IF($M214="","",IFERROR(IF($J214="",IF(INDEX(Settings!$D$12:$D$21,MATCH($B214,Settings!$B$12:$B$21,0))="Tiered",INDEX(Settings!$I$12:$I$21,MATCH($B214,Settings!$B$12:$B$21,0)),INDEX(Settings!$G$12:$G$21,MATCH($B214,Settings!$B$12:$B$21,0))),INDEX(Calculation!$U$6:$U$125,(MATCH($B214,Settings!$B$12:$B$21,0)-1)*12+$J214)),0))</f>
        <v/>
      </c>
      <c r="O214" s="30" t="n">
        <f aca="false">IF($M214="",0,N($L214)*N($N214))</f>
        <v>0</v>
      </c>
      <c r="P214" s="29" t="n">
        <f aca="false">IF(AND($B214&lt;&gt;"",$B214=Statement!$C$6,$J214=Statement!$C$8,$K214=1),1,0)</f>
        <v>0</v>
      </c>
      <c r="Q214" s="29" t="str">
        <f aca="false">IF($P214=1,SUM($P$5:$P214),"")</f>
        <v/>
      </c>
      <c r="R214" s="29" t="n">
        <f aca="false">IF(AND($B214&lt;&gt;"",$B214=Statement!$C$6,$M214=Statement!$C$8),1,0)</f>
        <v>0</v>
      </c>
      <c r="S214" s="29" t="str">
        <f aca="false">IF($R214=1,SUM($R$5:$R214),"")</f>
        <v/>
      </c>
    </row>
    <row r="215" customFormat="false" ht="15" hidden="false" customHeight="false" outlineLevel="0" collapsed="false">
      <c r="A215" s="28"/>
      <c r="B215" s="10"/>
      <c r="C215" s="10"/>
      <c r="D215" s="10"/>
      <c r="E215" s="23"/>
      <c r="F215" s="23"/>
      <c r="G215" s="10"/>
      <c r="H215" s="10"/>
      <c r="I215" s="28"/>
      <c r="J215" s="29" t="str">
        <f aca="false">IF(OR($A215="",$B215=""),"",IF(YEAR($A215)=Settings!$C$4,MONTH($A215),""))</f>
        <v/>
      </c>
      <c r="K215" s="29" t="str">
        <f aca="false">IF($A215="","",IF(OR($J215="",$B215=""),0,IF(OR($G215="Won",$H215="Yes"),1,0)))</f>
        <v/>
      </c>
      <c r="L215" s="30" t="str">
        <f aca="false">IF($B215="","",IFERROR(IF(INDEX(Settings!$E$12:$E$21,MATCH($B215,Settings!$B$12:$B$21,0))="Gross margin",N($F215),N($E215)),""))</f>
        <v/>
      </c>
      <c r="M215" s="29" t="str">
        <f aca="false">IF(AND($G215="Cancelled",$H215="Yes",$I215&lt;&gt;""),IF(YEAR($I215)=Settings!$C$4,MONTH($I215),""),"")</f>
        <v/>
      </c>
      <c r="N215" s="31" t="str">
        <f aca="false">IF($M215="","",IFERROR(IF($J215="",IF(INDEX(Settings!$D$12:$D$21,MATCH($B215,Settings!$B$12:$B$21,0))="Tiered",INDEX(Settings!$I$12:$I$21,MATCH($B215,Settings!$B$12:$B$21,0)),INDEX(Settings!$G$12:$G$21,MATCH($B215,Settings!$B$12:$B$21,0))),INDEX(Calculation!$U$6:$U$125,(MATCH($B215,Settings!$B$12:$B$21,0)-1)*12+$J215)),0))</f>
        <v/>
      </c>
      <c r="O215" s="30" t="n">
        <f aca="false">IF($M215="",0,N($L215)*N($N215))</f>
        <v>0</v>
      </c>
      <c r="P215" s="29" t="n">
        <f aca="false">IF(AND($B215&lt;&gt;"",$B215=Statement!$C$6,$J215=Statement!$C$8,$K215=1),1,0)</f>
        <v>0</v>
      </c>
      <c r="Q215" s="29" t="str">
        <f aca="false">IF($P215=1,SUM($P$5:$P215),"")</f>
        <v/>
      </c>
      <c r="R215" s="29" t="n">
        <f aca="false">IF(AND($B215&lt;&gt;"",$B215=Statement!$C$6,$M215=Statement!$C$8),1,0)</f>
        <v>0</v>
      </c>
      <c r="S215" s="29" t="str">
        <f aca="false">IF($R215=1,SUM($R$5:$R215),"")</f>
        <v/>
      </c>
    </row>
    <row r="216" customFormat="false" ht="15" hidden="false" customHeight="false" outlineLevel="0" collapsed="false">
      <c r="A216" s="28"/>
      <c r="B216" s="10"/>
      <c r="C216" s="10"/>
      <c r="D216" s="10"/>
      <c r="E216" s="23"/>
      <c r="F216" s="23"/>
      <c r="G216" s="10"/>
      <c r="H216" s="10"/>
      <c r="I216" s="28"/>
      <c r="J216" s="29" t="str">
        <f aca="false">IF(OR($A216="",$B216=""),"",IF(YEAR($A216)=Settings!$C$4,MONTH($A216),""))</f>
        <v/>
      </c>
      <c r="K216" s="29" t="str">
        <f aca="false">IF($A216="","",IF(OR($J216="",$B216=""),0,IF(OR($G216="Won",$H216="Yes"),1,0)))</f>
        <v/>
      </c>
      <c r="L216" s="30" t="str">
        <f aca="false">IF($B216="","",IFERROR(IF(INDEX(Settings!$E$12:$E$21,MATCH($B216,Settings!$B$12:$B$21,0))="Gross margin",N($F216),N($E216)),""))</f>
        <v/>
      </c>
      <c r="M216" s="29" t="str">
        <f aca="false">IF(AND($G216="Cancelled",$H216="Yes",$I216&lt;&gt;""),IF(YEAR($I216)=Settings!$C$4,MONTH($I216),""),"")</f>
        <v/>
      </c>
      <c r="N216" s="31" t="str">
        <f aca="false">IF($M216="","",IFERROR(IF($J216="",IF(INDEX(Settings!$D$12:$D$21,MATCH($B216,Settings!$B$12:$B$21,0))="Tiered",INDEX(Settings!$I$12:$I$21,MATCH($B216,Settings!$B$12:$B$21,0)),INDEX(Settings!$G$12:$G$21,MATCH($B216,Settings!$B$12:$B$21,0))),INDEX(Calculation!$U$6:$U$125,(MATCH($B216,Settings!$B$12:$B$21,0)-1)*12+$J216)),0))</f>
        <v/>
      </c>
      <c r="O216" s="30" t="n">
        <f aca="false">IF($M216="",0,N($L216)*N($N216))</f>
        <v>0</v>
      </c>
      <c r="P216" s="29" t="n">
        <f aca="false">IF(AND($B216&lt;&gt;"",$B216=Statement!$C$6,$J216=Statement!$C$8,$K216=1),1,0)</f>
        <v>0</v>
      </c>
      <c r="Q216" s="29" t="str">
        <f aca="false">IF($P216=1,SUM($P$5:$P216),"")</f>
        <v/>
      </c>
      <c r="R216" s="29" t="n">
        <f aca="false">IF(AND($B216&lt;&gt;"",$B216=Statement!$C$6,$M216=Statement!$C$8),1,0)</f>
        <v>0</v>
      </c>
      <c r="S216" s="29" t="str">
        <f aca="false">IF($R216=1,SUM($R$5:$R216),"")</f>
        <v/>
      </c>
    </row>
    <row r="217" customFormat="false" ht="15" hidden="false" customHeight="false" outlineLevel="0" collapsed="false">
      <c r="A217" s="28"/>
      <c r="B217" s="10"/>
      <c r="C217" s="10"/>
      <c r="D217" s="10"/>
      <c r="E217" s="23"/>
      <c r="F217" s="23"/>
      <c r="G217" s="10"/>
      <c r="H217" s="10"/>
      <c r="I217" s="28"/>
      <c r="J217" s="29" t="str">
        <f aca="false">IF(OR($A217="",$B217=""),"",IF(YEAR($A217)=Settings!$C$4,MONTH($A217),""))</f>
        <v/>
      </c>
      <c r="K217" s="29" t="str">
        <f aca="false">IF($A217="","",IF(OR($J217="",$B217=""),0,IF(OR($G217="Won",$H217="Yes"),1,0)))</f>
        <v/>
      </c>
      <c r="L217" s="30" t="str">
        <f aca="false">IF($B217="","",IFERROR(IF(INDEX(Settings!$E$12:$E$21,MATCH($B217,Settings!$B$12:$B$21,0))="Gross margin",N($F217),N($E217)),""))</f>
        <v/>
      </c>
      <c r="M217" s="29" t="str">
        <f aca="false">IF(AND($G217="Cancelled",$H217="Yes",$I217&lt;&gt;""),IF(YEAR($I217)=Settings!$C$4,MONTH($I217),""),"")</f>
        <v/>
      </c>
      <c r="N217" s="31" t="str">
        <f aca="false">IF($M217="","",IFERROR(IF($J217="",IF(INDEX(Settings!$D$12:$D$21,MATCH($B217,Settings!$B$12:$B$21,0))="Tiered",INDEX(Settings!$I$12:$I$21,MATCH($B217,Settings!$B$12:$B$21,0)),INDEX(Settings!$G$12:$G$21,MATCH($B217,Settings!$B$12:$B$21,0))),INDEX(Calculation!$U$6:$U$125,(MATCH($B217,Settings!$B$12:$B$21,0)-1)*12+$J217)),0))</f>
        <v/>
      </c>
      <c r="O217" s="30" t="n">
        <f aca="false">IF($M217="",0,N($L217)*N($N217))</f>
        <v>0</v>
      </c>
      <c r="P217" s="29" t="n">
        <f aca="false">IF(AND($B217&lt;&gt;"",$B217=Statement!$C$6,$J217=Statement!$C$8,$K217=1),1,0)</f>
        <v>0</v>
      </c>
      <c r="Q217" s="29" t="str">
        <f aca="false">IF($P217=1,SUM($P$5:$P217),"")</f>
        <v/>
      </c>
      <c r="R217" s="29" t="n">
        <f aca="false">IF(AND($B217&lt;&gt;"",$B217=Statement!$C$6,$M217=Statement!$C$8),1,0)</f>
        <v>0</v>
      </c>
      <c r="S217" s="29" t="str">
        <f aca="false">IF($R217=1,SUM($R$5:$R217),"")</f>
        <v/>
      </c>
    </row>
    <row r="218" customFormat="false" ht="15" hidden="false" customHeight="false" outlineLevel="0" collapsed="false">
      <c r="A218" s="28"/>
      <c r="B218" s="10"/>
      <c r="C218" s="10"/>
      <c r="D218" s="10"/>
      <c r="E218" s="23"/>
      <c r="F218" s="23"/>
      <c r="G218" s="10"/>
      <c r="H218" s="10"/>
      <c r="I218" s="28"/>
      <c r="J218" s="29" t="str">
        <f aca="false">IF(OR($A218="",$B218=""),"",IF(YEAR($A218)=Settings!$C$4,MONTH($A218),""))</f>
        <v/>
      </c>
      <c r="K218" s="29" t="str">
        <f aca="false">IF($A218="","",IF(OR($J218="",$B218=""),0,IF(OR($G218="Won",$H218="Yes"),1,0)))</f>
        <v/>
      </c>
      <c r="L218" s="30" t="str">
        <f aca="false">IF($B218="","",IFERROR(IF(INDEX(Settings!$E$12:$E$21,MATCH($B218,Settings!$B$12:$B$21,0))="Gross margin",N($F218),N($E218)),""))</f>
        <v/>
      </c>
      <c r="M218" s="29" t="str">
        <f aca="false">IF(AND($G218="Cancelled",$H218="Yes",$I218&lt;&gt;""),IF(YEAR($I218)=Settings!$C$4,MONTH($I218),""),"")</f>
        <v/>
      </c>
      <c r="N218" s="31" t="str">
        <f aca="false">IF($M218="","",IFERROR(IF($J218="",IF(INDEX(Settings!$D$12:$D$21,MATCH($B218,Settings!$B$12:$B$21,0))="Tiered",INDEX(Settings!$I$12:$I$21,MATCH($B218,Settings!$B$12:$B$21,0)),INDEX(Settings!$G$12:$G$21,MATCH($B218,Settings!$B$12:$B$21,0))),INDEX(Calculation!$U$6:$U$125,(MATCH($B218,Settings!$B$12:$B$21,0)-1)*12+$J218)),0))</f>
        <v/>
      </c>
      <c r="O218" s="30" t="n">
        <f aca="false">IF($M218="",0,N($L218)*N($N218))</f>
        <v>0</v>
      </c>
      <c r="P218" s="29" t="n">
        <f aca="false">IF(AND($B218&lt;&gt;"",$B218=Statement!$C$6,$J218=Statement!$C$8,$K218=1),1,0)</f>
        <v>0</v>
      </c>
      <c r="Q218" s="29" t="str">
        <f aca="false">IF($P218=1,SUM($P$5:$P218),"")</f>
        <v/>
      </c>
      <c r="R218" s="29" t="n">
        <f aca="false">IF(AND($B218&lt;&gt;"",$B218=Statement!$C$6,$M218=Statement!$C$8),1,0)</f>
        <v>0</v>
      </c>
      <c r="S218" s="29" t="str">
        <f aca="false">IF($R218=1,SUM($R$5:$R218),"")</f>
        <v/>
      </c>
    </row>
    <row r="219" customFormat="false" ht="15" hidden="false" customHeight="false" outlineLevel="0" collapsed="false">
      <c r="A219" s="28"/>
      <c r="B219" s="10"/>
      <c r="C219" s="10"/>
      <c r="D219" s="10"/>
      <c r="E219" s="23"/>
      <c r="F219" s="23"/>
      <c r="G219" s="10"/>
      <c r="H219" s="10"/>
      <c r="I219" s="28"/>
      <c r="J219" s="29" t="str">
        <f aca="false">IF(OR($A219="",$B219=""),"",IF(YEAR($A219)=Settings!$C$4,MONTH($A219),""))</f>
        <v/>
      </c>
      <c r="K219" s="29" t="str">
        <f aca="false">IF($A219="","",IF(OR($J219="",$B219=""),0,IF(OR($G219="Won",$H219="Yes"),1,0)))</f>
        <v/>
      </c>
      <c r="L219" s="30" t="str">
        <f aca="false">IF($B219="","",IFERROR(IF(INDEX(Settings!$E$12:$E$21,MATCH($B219,Settings!$B$12:$B$21,0))="Gross margin",N($F219),N($E219)),""))</f>
        <v/>
      </c>
      <c r="M219" s="29" t="str">
        <f aca="false">IF(AND($G219="Cancelled",$H219="Yes",$I219&lt;&gt;""),IF(YEAR($I219)=Settings!$C$4,MONTH($I219),""),"")</f>
        <v/>
      </c>
      <c r="N219" s="31" t="str">
        <f aca="false">IF($M219="","",IFERROR(IF($J219="",IF(INDEX(Settings!$D$12:$D$21,MATCH($B219,Settings!$B$12:$B$21,0))="Tiered",INDEX(Settings!$I$12:$I$21,MATCH($B219,Settings!$B$12:$B$21,0)),INDEX(Settings!$G$12:$G$21,MATCH($B219,Settings!$B$12:$B$21,0))),INDEX(Calculation!$U$6:$U$125,(MATCH($B219,Settings!$B$12:$B$21,0)-1)*12+$J219)),0))</f>
        <v/>
      </c>
      <c r="O219" s="30" t="n">
        <f aca="false">IF($M219="",0,N($L219)*N($N219))</f>
        <v>0</v>
      </c>
      <c r="P219" s="29" t="n">
        <f aca="false">IF(AND($B219&lt;&gt;"",$B219=Statement!$C$6,$J219=Statement!$C$8,$K219=1),1,0)</f>
        <v>0</v>
      </c>
      <c r="Q219" s="29" t="str">
        <f aca="false">IF($P219=1,SUM($P$5:$P219),"")</f>
        <v/>
      </c>
      <c r="R219" s="29" t="n">
        <f aca="false">IF(AND($B219&lt;&gt;"",$B219=Statement!$C$6,$M219=Statement!$C$8),1,0)</f>
        <v>0</v>
      </c>
      <c r="S219" s="29" t="str">
        <f aca="false">IF($R219=1,SUM($R$5:$R219),"")</f>
        <v/>
      </c>
    </row>
    <row r="220" customFormat="false" ht="15" hidden="false" customHeight="false" outlineLevel="0" collapsed="false">
      <c r="A220" s="28"/>
      <c r="B220" s="10"/>
      <c r="C220" s="10"/>
      <c r="D220" s="10"/>
      <c r="E220" s="23"/>
      <c r="F220" s="23"/>
      <c r="G220" s="10"/>
      <c r="H220" s="10"/>
      <c r="I220" s="28"/>
      <c r="J220" s="29" t="str">
        <f aca="false">IF(OR($A220="",$B220=""),"",IF(YEAR($A220)=Settings!$C$4,MONTH($A220),""))</f>
        <v/>
      </c>
      <c r="K220" s="29" t="str">
        <f aca="false">IF($A220="","",IF(OR($J220="",$B220=""),0,IF(OR($G220="Won",$H220="Yes"),1,0)))</f>
        <v/>
      </c>
      <c r="L220" s="30" t="str">
        <f aca="false">IF($B220="","",IFERROR(IF(INDEX(Settings!$E$12:$E$21,MATCH($B220,Settings!$B$12:$B$21,0))="Gross margin",N($F220),N($E220)),""))</f>
        <v/>
      </c>
      <c r="M220" s="29" t="str">
        <f aca="false">IF(AND($G220="Cancelled",$H220="Yes",$I220&lt;&gt;""),IF(YEAR($I220)=Settings!$C$4,MONTH($I220),""),"")</f>
        <v/>
      </c>
      <c r="N220" s="31" t="str">
        <f aca="false">IF($M220="","",IFERROR(IF($J220="",IF(INDEX(Settings!$D$12:$D$21,MATCH($B220,Settings!$B$12:$B$21,0))="Tiered",INDEX(Settings!$I$12:$I$21,MATCH($B220,Settings!$B$12:$B$21,0)),INDEX(Settings!$G$12:$G$21,MATCH($B220,Settings!$B$12:$B$21,0))),INDEX(Calculation!$U$6:$U$125,(MATCH($B220,Settings!$B$12:$B$21,0)-1)*12+$J220)),0))</f>
        <v/>
      </c>
      <c r="O220" s="30" t="n">
        <f aca="false">IF($M220="",0,N($L220)*N($N220))</f>
        <v>0</v>
      </c>
      <c r="P220" s="29" t="n">
        <f aca="false">IF(AND($B220&lt;&gt;"",$B220=Statement!$C$6,$J220=Statement!$C$8,$K220=1),1,0)</f>
        <v>0</v>
      </c>
      <c r="Q220" s="29" t="str">
        <f aca="false">IF($P220=1,SUM($P$5:$P220),"")</f>
        <v/>
      </c>
      <c r="R220" s="29" t="n">
        <f aca="false">IF(AND($B220&lt;&gt;"",$B220=Statement!$C$6,$M220=Statement!$C$8),1,0)</f>
        <v>0</v>
      </c>
      <c r="S220" s="29" t="str">
        <f aca="false">IF($R220=1,SUM($R$5:$R220),"")</f>
        <v/>
      </c>
    </row>
    <row r="221" customFormat="false" ht="15" hidden="false" customHeight="false" outlineLevel="0" collapsed="false">
      <c r="A221" s="28"/>
      <c r="B221" s="10"/>
      <c r="C221" s="10"/>
      <c r="D221" s="10"/>
      <c r="E221" s="23"/>
      <c r="F221" s="23"/>
      <c r="G221" s="10"/>
      <c r="H221" s="10"/>
      <c r="I221" s="28"/>
      <c r="J221" s="29" t="str">
        <f aca="false">IF(OR($A221="",$B221=""),"",IF(YEAR($A221)=Settings!$C$4,MONTH($A221),""))</f>
        <v/>
      </c>
      <c r="K221" s="29" t="str">
        <f aca="false">IF($A221="","",IF(OR($J221="",$B221=""),0,IF(OR($G221="Won",$H221="Yes"),1,0)))</f>
        <v/>
      </c>
      <c r="L221" s="30" t="str">
        <f aca="false">IF($B221="","",IFERROR(IF(INDEX(Settings!$E$12:$E$21,MATCH($B221,Settings!$B$12:$B$21,0))="Gross margin",N($F221),N($E221)),""))</f>
        <v/>
      </c>
      <c r="M221" s="29" t="str">
        <f aca="false">IF(AND($G221="Cancelled",$H221="Yes",$I221&lt;&gt;""),IF(YEAR($I221)=Settings!$C$4,MONTH($I221),""),"")</f>
        <v/>
      </c>
      <c r="N221" s="31" t="str">
        <f aca="false">IF($M221="","",IFERROR(IF($J221="",IF(INDEX(Settings!$D$12:$D$21,MATCH($B221,Settings!$B$12:$B$21,0))="Tiered",INDEX(Settings!$I$12:$I$21,MATCH($B221,Settings!$B$12:$B$21,0)),INDEX(Settings!$G$12:$G$21,MATCH($B221,Settings!$B$12:$B$21,0))),INDEX(Calculation!$U$6:$U$125,(MATCH($B221,Settings!$B$12:$B$21,0)-1)*12+$J221)),0))</f>
        <v/>
      </c>
      <c r="O221" s="30" t="n">
        <f aca="false">IF($M221="",0,N($L221)*N($N221))</f>
        <v>0</v>
      </c>
      <c r="P221" s="29" t="n">
        <f aca="false">IF(AND($B221&lt;&gt;"",$B221=Statement!$C$6,$J221=Statement!$C$8,$K221=1),1,0)</f>
        <v>0</v>
      </c>
      <c r="Q221" s="29" t="str">
        <f aca="false">IF($P221=1,SUM($P$5:$P221),"")</f>
        <v/>
      </c>
      <c r="R221" s="29" t="n">
        <f aca="false">IF(AND($B221&lt;&gt;"",$B221=Statement!$C$6,$M221=Statement!$C$8),1,0)</f>
        <v>0</v>
      </c>
      <c r="S221" s="29" t="str">
        <f aca="false">IF($R221=1,SUM($R$5:$R221),"")</f>
        <v/>
      </c>
    </row>
    <row r="222" customFormat="false" ht="15" hidden="false" customHeight="false" outlineLevel="0" collapsed="false">
      <c r="A222" s="28"/>
      <c r="B222" s="10"/>
      <c r="C222" s="10"/>
      <c r="D222" s="10"/>
      <c r="E222" s="23"/>
      <c r="F222" s="23"/>
      <c r="G222" s="10"/>
      <c r="H222" s="10"/>
      <c r="I222" s="28"/>
      <c r="J222" s="29" t="str">
        <f aca="false">IF(OR($A222="",$B222=""),"",IF(YEAR($A222)=Settings!$C$4,MONTH($A222),""))</f>
        <v/>
      </c>
      <c r="K222" s="29" t="str">
        <f aca="false">IF($A222="","",IF(OR($J222="",$B222=""),0,IF(OR($G222="Won",$H222="Yes"),1,0)))</f>
        <v/>
      </c>
      <c r="L222" s="30" t="str">
        <f aca="false">IF($B222="","",IFERROR(IF(INDEX(Settings!$E$12:$E$21,MATCH($B222,Settings!$B$12:$B$21,0))="Gross margin",N($F222),N($E222)),""))</f>
        <v/>
      </c>
      <c r="M222" s="29" t="str">
        <f aca="false">IF(AND($G222="Cancelled",$H222="Yes",$I222&lt;&gt;""),IF(YEAR($I222)=Settings!$C$4,MONTH($I222),""),"")</f>
        <v/>
      </c>
      <c r="N222" s="31" t="str">
        <f aca="false">IF($M222="","",IFERROR(IF($J222="",IF(INDEX(Settings!$D$12:$D$21,MATCH($B222,Settings!$B$12:$B$21,0))="Tiered",INDEX(Settings!$I$12:$I$21,MATCH($B222,Settings!$B$12:$B$21,0)),INDEX(Settings!$G$12:$G$21,MATCH($B222,Settings!$B$12:$B$21,0))),INDEX(Calculation!$U$6:$U$125,(MATCH($B222,Settings!$B$12:$B$21,0)-1)*12+$J222)),0))</f>
        <v/>
      </c>
      <c r="O222" s="30" t="n">
        <f aca="false">IF($M222="",0,N($L222)*N($N222))</f>
        <v>0</v>
      </c>
      <c r="P222" s="29" t="n">
        <f aca="false">IF(AND($B222&lt;&gt;"",$B222=Statement!$C$6,$J222=Statement!$C$8,$K222=1),1,0)</f>
        <v>0</v>
      </c>
      <c r="Q222" s="29" t="str">
        <f aca="false">IF($P222=1,SUM($P$5:$P222),"")</f>
        <v/>
      </c>
      <c r="R222" s="29" t="n">
        <f aca="false">IF(AND($B222&lt;&gt;"",$B222=Statement!$C$6,$M222=Statement!$C$8),1,0)</f>
        <v>0</v>
      </c>
      <c r="S222" s="29" t="str">
        <f aca="false">IF($R222=1,SUM($R$5:$R222),"")</f>
        <v/>
      </c>
    </row>
    <row r="223" customFormat="false" ht="15" hidden="false" customHeight="false" outlineLevel="0" collapsed="false">
      <c r="A223" s="28"/>
      <c r="B223" s="10"/>
      <c r="C223" s="10"/>
      <c r="D223" s="10"/>
      <c r="E223" s="23"/>
      <c r="F223" s="23"/>
      <c r="G223" s="10"/>
      <c r="H223" s="10"/>
      <c r="I223" s="28"/>
      <c r="J223" s="29" t="str">
        <f aca="false">IF(OR($A223="",$B223=""),"",IF(YEAR($A223)=Settings!$C$4,MONTH($A223),""))</f>
        <v/>
      </c>
      <c r="K223" s="29" t="str">
        <f aca="false">IF($A223="","",IF(OR($J223="",$B223=""),0,IF(OR($G223="Won",$H223="Yes"),1,0)))</f>
        <v/>
      </c>
      <c r="L223" s="30" t="str">
        <f aca="false">IF($B223="","",IFERROR(IF(INDEX(Settings!$E$12:$E$21,MATCH($B223,Settings!$B$12:$B$21,0))="Gross margin",N($F223),N($E223)),""))</f>
        <v/>
      </c>
      <c r="M223" s="29" t="str">
        <f aca="false">IF(AND($G223="Cancelled",$H223="Yes",$I223&lt;&gt;""),IF(YEAR($I223)=Settings!$C$4,MONTH($I223),""),"")</f>
        <v/>
      </c>
      <c r="N223" s="31" t="str">
        <f aca="false">IF($M223="","",IFERROR(IF($J223="",IF(INDEX(Settings!$D$12:$D$21,MATCH($B223,Settings!$B$12:$B$21,0))="Tiered",INDEX(Settings!$I$12:$I$21,MATCH($B223,Settings!$B$12:$B$21,0)),INDEX(Settings!$G$12:$G$21,MATCH($B223,Settings!$B$12:$B$21,0))),INDEX(Calculation!$U$6:$U$125,(MATCH($B223,Settings!$B$12:$B$21,0)-1)*12+$J223)),0))</f>
        <v/>
      </c>
      <c r="O223" s="30" t="n">
        <f aca="false">IF($M223="",0,N($L223)*N($N223))</f>
        <v>0</v>
      </c>
      <c r="P223" s="29" t="n">
        <f aca="false">IF(AND($B223&lt;&gt;"",$B223=Statement!$C$6,$J223=Statement!$C$8,$K223=1),1,0)</f>
        <v>0</v>
      </c>
      <c r="Q223" s="29" t="str">
        <f aca="false">IF($P223=1,SUM($P$5:$P223),"")</f>
        <v/>
      </c>
      <c r="R223" s="29" t="n">
        <f aca="false">IF(AND($B223&lt;&gt;"",$B223=Statement!$C$6,$M223=Statement!$C$8),1,0)</f>
        <v>0</v>
      </c>
      <c r="S223" s="29" t="str">
        <f aca="false">IF($R223=1,SUM($R$5:$R223),"")</f>
        <v/>
      </c>
    </row>
    <row r="224" customFormat="false" ht="15" hidden="false" customHeight="false" outlineLevel="0" collapsed="false">
      <c r="A224" s="28"/>
      <c r="B224" s="10"/>
      <c r="C224" s="10"/>
      <c r="D224" s="10"/>
      <c r="E224" s="23"/>
      <c r="F224" s="23"/>
      <c r="G224" s="10"/>
      <c r="H224" s="10"/>
      <c r="I224" s="28"/>
      <c r="J224" s="29" t="str">
        <f aca="false">IF(OR($A224="",$B224=""),"",IF(YEAR($A224)=Settings!$C$4,MONTH($A224),""))</f>
        <v/>
      </c>
      <c r="K224" s="29" t="str">
        <f aca="false">IF($A224="","",IF(OR($J224="",$B224=""),0,IF(OR($G224="Won",$H224="Yes"),1,0)))</f>
        <v/>
      </c>
      <c r="L224" s="30" t="str">
        <f aca="false">IF($B224="","",IFERROR(IF(INDEX(Settings!$E$12:$E$21,MATCH($B224,Settings!$B$12:$B$21,0))="Gross margin",N($F224),N($E224)),""))</f>
        <v/>
      </c>
      <c r="M224" s="29" t="str">
        <f aca="false">IF(AND($G224="Cancelled",$H224="Yes",$I224&lt;&gt;""),IF(YEAR($I224)=Settings!$C$4,MONTH($I224),""),"")</f>
        <v/>
      </c>
      <c r="N224" s="31" t="str">
        <f aca="false">IF($M224="","",IFERROR(IF($J224="",IF(INDEX(Settings!$D$12:$D$21,MATCH($B224,Settings!$B$12:$B$21,0))="Tiered",INDEX(Settings!$I$12:$I$21,MATCH($B224,Settings!$B$12:$B$21,0)),INDEX(Settings!$G$12:$G$21,MATCH($B224,Settings!$B$12:$B$21,0))),INDEX(Calculation!$U$6:$U$125,(MATCH($B224,Settings!$B$12:$B$21,0)-1)*12+$J224)),0))</f>
        <v/>
      </c>
      <c r="O224" s="30" t="n">
        <f aca="false">IF($M224="",0,N($L224)*N($N224))</f>
        <v>0</v>
      </c>
      <c r="P224" s="29" t="n">
        <f aca="false">IF(AND($B224&lt;&gt;"",$B224=Statement!$C$6,$J224=Statement!$C$8,$K224=1),1,0)</f>
        <v>0</v>
      </c>
      <c r="Q224" s="29" t="str">
        <f aca="false">IF($P224=1,SUM($P$5:$P224),"")</f>
        <v/>
      </c>
      <c r="R224" s="29" t="n">
        <f aca="false">IF(AND($B224&lt;&gt;"",$B224=Statement!$C$6,$M224=Statement!$C$8),1,0)</f>
        <v>0</v>
      </c>
      <c r="S224" s="29" t="str">
        <f aca="false">IF($R224=1,SUM($R$5:$R224),"")</f>
        <v/>
      </c>
    </row>
    <row r="225" customFormat="false" ht="15" hidden="false" customHeight="false" outlineLevel="0" collapsed="false">
      <c r="A225" s="28"/>
      <c r="B225" s="10"/>
      <c r="C225" s="10"/>
      <c r="D225" s="10"/>
      <c r="E225" s="23"/>
      <c r="F225" s="23"/>
      <c r="G225" s="10"/>
      <c r="H225" s="10"/>
      <c r="I225" s="28"/>
      <c r="J225" s="29" t="str">
        <f aca="false">IF(OR($A225="",$B225=""),"",IF(YEAR($A225)=Settings!$C$4,MONTH($A225),""))</f>
        <v/>
      </c>
      <c r="K225" s="29" t="str">
        <f aca="false">IF($A225="","",IF(OR($J225="",$B225=""),0,IF(OR($G225="Won",$H225="Yes"),1,0)))</f>
        <v/>
      </c>
      <c r="L225" s="30" t="str">
        <f aca="false">IF($B225="","",IFERROR(IF(INDEX(Settings!$E$12:$E$21,MATCH($B225,Settings!$B$12:$B$21,0))="Gross margin",N($F225),N($E225)),""))</f>
        <v/>
      </c>
      <c r="M225" s="29" t="str">
        <f aca="false">IF(AND($G225="Cancelled",$H225="Yes",$I225&lt;&gt;""),IF(YEAR($I225)=Settings!$C$4,MONTH($I225),""),"")</f>
        <v/>
      </c>
      <c r="N225" s="31" t="str">
        <f aca="false">IF($M225="","",IFERROR(IF($J225="",IF(INDEX(Settings!$D$12:$D$21,MATCH($B225,Settings!$B$12:$B$21,0))="Tiered",INDEX(Settings!$I$12:$I$21,MATCH($B225,Settings!$B$12:$B$21,0)),INDEX(Settings!$G$12:$G$21,MATCH($B225,Settings!$B$12:$B$21,0))),INDEX(Calculation!$U$6:$U$125,(MATCH($B225,Settings!$B$12:$B$21,0)-1)*12+$J225)),0))</f>
        <v/>
      </c>
      <c r="O225" s="30" t="n">
        <f aca="false">IF($M225="",0,N($L225)*N($N225))</f>
        <v>0</v>
      </c>
      <c r="P225" s="29" t="n">
        <f aca="false">IF(AND($B225&lt;&gt;"",$B225=Statement!$C$6,$J225=Statement!$C$8,$K225=1),1,0)</f>
        <v>0</v>
      </c>
      <c r="Q225" s="29" t="str">
        <f aca="false">IF($P225=1,SUM($P$5:$P225),"")</f>
        <v/>
      </c>
      <c r="R225" s="29" t="n">
        <f aca="false">IF(AND($B225&lt;&gt;"",$B225=Statement!$C$6,$M225=Statement!$C$8),1,0)</f>
        <v>0</v>
      </c>
      <c r="S225" s="29" t="str">
        <f aca="false">IF($R225=1,SUM($R$5:$R225),"")</f>
        <v/>
      </c>
    </row>
    <row r="226" customFormat="false" ht="15" hidden="false" customHeight="false" outlineLevel="0" collapsed="false">
      <c r="A226" s="28"/>
      <c r="B226" s="10"/>
      <c r="C226" s="10"/>
      <c r="D226" s="10"/>
      <c r="E226" s="23"/>
      <c r="F226" s="23"/>
      <c r="G226" s="10"/>
      <c r="H226" s="10"/>
      <c r="I226" s="28"/>
      <c r="J226" s="29" t="str">
        <f aca="false">IF(OR($A226="",$B226=""),"",IF(YEAR($A226)=Settings!$C$4,MONTH($A226),""))</f>
        <v/>
      </c>
      <c r="K226" s="29" t="str">
        <f aca="false">IF($A226="","",IF(OR($J226="",$B226=""),0,IF(OR($G226="Won",$H226="Yes"),1,0)))</f>
        <v/>
      </c>
      <c r="L226" s="30" t="str">
        <f aca="false">IF($B226="","",IFERROR(IF(INDEX(Settings!$E$12:$E$21,MATCH($B226,Settings!$B$12:$B$21,0))="Gross margin",N($F226),N($E226)),""))</f>
        <v/>
      </c>
      <c r="M226" s="29" t="str">
        <f aca="false">IF(AND($G226="Cancelled",$H226="Yes",$I226&lt;&gt;""),IF(YEAR($I226)=Settings!$C$4,MONTH($I226),""),"")</f>
        <v/>
      </c>
      <c r="N226" s="31" t="str">
        <f aca="false">IF($M226="","",IFERROR(IF($J226="",IF(INDEX(Settings!$D$12:$D$21,MATCH($B226,Settings!$B$12:$B$21,0))="Tiered",INDEX(Settings!$I$12:$I$21,MATCH($B226,Settings!$B$12:$B$21,0)),INDEX(Settings!$G$12:$G$21,MATCH($B226,Settings!$B$12:$B$21,0))),INDEX(Calculation!$U$6:$U$125,(MATCH($B226,Settings!$B$12:$B$21,0)-1)*12+$J226)),0))</f>
        <v/>
      </c>
      <c r="O226" s="30" t="n">
        <f aca="false">IF($M226="",0,N($L226)*N($N226))</f>
        <v>0</v>
      </c>
      <c r="P226" s="29" t="n">
        <f aca="false">IF(AND($B226&lt;&gt;"",$B226=Statement!$C$6,$J226=Statement!$C$8,$K226=1),1,0)</f>
        <v>0</v>
      </c>
      <c r="Q226" s="29" t="str">
        <f aca="false">IF($P226=1,SUM($P$5:$P226),"")</f>
        <v/>
      </c>
      <c r="R226" s="29" t="n">
        <f aca="false">IF(AND($B226&lt;&gt;"",$B226=Statement!$C$6,$M226=Statement!$C$8),1,0)</f>
        <v>0</v>
      </c>
      <c r="S226" s="29" t="str">
        <f aca="false">IF($R226=1,SUM($R$5:$R226),"")</f>
        <v/>
      </c>
    </row>
    <row r="227" customFormat="false" ht="15" hidden="false" customHeight="false" outlineLevel="0" collapsed="false">
      <c r="A227" s="28"/>
      <c r="B227" s="10"/>
      <c r="C227" s="10"/>
      <c r="D227" s="10"/>
      <c r="E227" s="23"/>
      <c r="F227" s="23"/>
      <c r="G227" s="10"/>
      <c r="H227" s="10"/>
      <c r="I227" s="28"/>
      <c r="J227" s="29" t="str">
        <f aca="false">IF(OR($A227="",$B227=""),"",IF(YEAR($A227)=Settings!$C$4,MONTH($A227),""))</f>
        <v/>
      </c>
      <c r="K227" s="29" t="str">
        <f aca="false">IF($A227="","",IF(OR($J227="",$B227=""),0,IF(OR($G227="Won",$H227="Yes"),1,0)))</f>
        <v/>
      </c>
      <c r="L227" s="30" t="str">
        <f aca="false">IF($B227="","",IFERROR(IF(INDEX(Settings!$E$12:$E$21,MATCH($B227,Settings!$B$12:$B$21,0))="Gross margin",N($F227),N($E227)),""))</f>
        <v/>
      </c>
      <c r="M227" s="29" t="str">
        <f aca="false">IF(AND($G227="Cancelled",$H227="Yes",$I227&lt;&gt;""),IF(YEAR($I227)=Settings!$C$4,MONTH($I227),""),"")</f>
        <v/>
      </c>
      <c r="N227" s="31" t="str">
        <f aca="false">IF($M227="","",IFERROR(IF($J227="",IF(INDEX(Settings!$D$12:$D$21,MATCH($B227,Settings!$B$12:$B$21,0))="Tiered",INDEX(Settings!$I$12:$I$21,MATCH($B227,Settings!$B$12:$B$21,0)),INDEX(Settings!$G$12:$G$21,MATCH($B227,Settings!$B$12:$B$21,0))),INDEX(Calculation!$U$6:$U$125,(MATCH($B227,Settings!$B$12:$B$21,0)-1)*12+$J227)),0))</f>
        <v/>
      </c>
      <c r="O227" s="30" t="n">
        <f aca="false">IF($M227="",0,N($L227)*N($N227))</f>
        <v>0</v>
      </c>
      <c r="P227" s="29" t="n">
        <f aca="false">IF(AND($B227&lt;&gt;"",$B227=Statement!$C$6,$J227=Statement!$C$8,$K227=1),1,0)</f>
        <v>0</v>
      </c>
      <c r="Q227" s="29" t="str">
        <f aca="false">IF($P227=1,SUM($P$5:$P227),"")</f>
        <v/>
      </c>
      <c r="R227" s="29" t="n">
        <f aca="false">IF(AND($B227&lt;&gt;"",$B227=Statement!$C$6,$M227=Statement!$C$8),1,0)</f>
        <v>0</v>
      </c>
      <c r="S227" s="29" t="str">
        <f aca="false">IF($R227=1,SUM($R$5:$R227),"")</f>
        <v/>
      </c>
    </row>
    <row r="228" customFormat="false" ht="15" hidden="false" customHeight="false" outlineLevel="0" collapsed="false">
      <c r="A228" s="28"/>
      <c r="B228" s="10"/>
      <c r="C228" s="10"/>
      <c r="D228" s="10"/>
      <c r="E228" s="23"/>
      <c r="F228" s="23"/>
      <c r="G228" s="10"/>
      <c r="H228" s="10"/>
      <c r="I228" s="28"/>
      <c r="J228" s="29" t="str">
        <f aca="false">IF(OR($A228="",$B228=""),"",IF(YEAR($A228)=Settings!$C$4,MONTH($A228),""))</f>
        <v/>
      </c>
      <c r="K228" s="29" t="str">
        <f aca="false">IF($A228="","",IF(OR($J228="",$B228=""),0,IF(OR($G228="Won",$H228="Yes"),1,0)))</f>
        <v/>
      </c>
      <c r="L228" s="30" t="str">
        <f aca="false">IF($B228="","",IFERROR(IF(INDEX(Settings!$E$12:$E$21,MATCH($B228,Settings!$B$12:$B$21,0))="Gross margin",N($F228),N($E228)),""))</f>
        <v/>
      </c>
      <c r="M228" s="29" t="str">
        <f aca="false">IF(AND($G228="Cancelled",$H228="Yes",$I228&lt;&gt;""),IF(YEAR($I228)=Settings!$C$4,MONTH($I228),""),"")</f>
        <v/>
      </c>
      <c r="N228" s="31" t="str">
        <f aca="false">IF($M228="","",IFERROR(IF($J228="",IF(INDEX(Settings!$D$12:$D$21,MATCH($B228,Settings!$B$12:$B$21,0))="Tiered",INDEX(Settings!$I$12:$I$21,MATCH($B228,Settings!$B$12:$B$21,0)),INDEX(Settings!$G$12:$G$21,MATCH($B228,Settings!$B$12:$B$21,0))),INDEX(Calculation!$U$6:$U$125,(MATCH($B228,Settings!$B$12:$B$21,0)-1)*12+$J228)),0))</f>
        <v/>
      </c>
      <c r="O228" s="30" t="n">
        <f aca="false">IF($M228="",0,N($L228)*N($N228))</f>
        <v>0</v>
      </c>
      <c r="P228" s="29" t="n">
        <f aca="false">IF(AND($B228&lt;&gt;"",$B228=Statement!$C$6,$J228=Statement!$C$8,$K228=1),1,0)</f>
        <v>0</v>
      </c>
      <c r="Q228" s="29" t="str">
        <f aca="false">IF($P228=1,SUM($P$5:$P228),"")</f>
        <v/>
      </c>
      <c r="R228" s="29" t="n">
        <f aca="false">IF(AND($B228&lt;&gt;"",$B228=Statement!$C$6,$M228=Statement!$C$8),1,0)</f>
        <v>0</v>
      </c>
      <c r="S228" s="29" t="str">
        <f aca="false">IF($R228=1,SUM($R$5:$R228),"")</f>
        <v/>
      </c>
    </row>
    <row r="229" customFormat="false" ht="15" hidden="false" customHeight="false" outlineLevel="0" collapsed="false">
      <c r="A229" s="28"/>
      <c r="B229" s="10"/>
      <c r="C229" s="10"/>
      <c r="D229" s="10"/>
      <c r="E229" s="23"/>
      <c r="F229" s="23"/>
      <c r="G229" s="10"/>
      <c r="H229" s="10"/>
      <c r="I229" s="28"/>
      <c r="J229" s="29" t="str">
        <f aca="false">IF(OR($A229="",$B229=""),"",IF(YEAR($A229)=Settings!$C$4,MONTH($A229),""))</f>
        <v/>
      </c>
      <c r="K229" s="29" t="str">
        <f aca="false">IF($A229="","",IF(OR($J229="",$B229=""),0,IF(OR($G229="Won",$H229="Yes"),1,0)))</f>
        <v/>
      </c>
      <c r="L229" s="30" t="str">
        <f aca="false">IF($B229="","",IFERROR(IF(INDEX(Settings!$E$12:$E$21,MATCH($B229,Settings!$B$12:$B$21,0))="Gross margin",N($F229),N($E229)),""))</f>
        <v/>
      </c>
      <c r="M229" s="29" t="str">
        <f aca="false">IF(AND($G229="Cancelled",$H229="Yes",$I229&lt;&gt;""),IF(YEAR($I229)=Settings!$C$4,MONTH($I229),""),"")</f>
        <v/>
      </c>
      <c r="N229" s="31" t="str">
        <f aca="false">IF($M229="","",IFERROR(IF($J229="",IF(INDEX(Settings!$D$12:$D$21,MATCH($B229,Settings!$B$12:$B$21,0))="Tiered",INDEX(Settings!$I$12:$I$21,MATCH($B229,Settings!$B$12:$B$21,0)),INDEX(Settings!$G$12:$G$21,MATCH($B229,Settings!$B$12:$B$21,0))),INDEX(Calculation!$U$6:$U$125,(MATCH($B229,Settings!$B$12:$B$21,0)-1)*12+$J229)),0))</f>
        <v/>
      </c>
      <c r="O229" s="30" t="n">
        <f aca="false">IF($M229="",0,N($L229)*N($N229))</f>
        <v>0</v>
      </c>
      <c r="P229" s="29" t="n">
        <f aca="false">IF(AND($B229&lt;&gt;"",$B229=Statement!$C$6,$J229=Statement!$C$8,$K229=1),1,0)</f>
        <v>0</v>
      </c>
      <c r="Q229" s="29" t="str">
        <f aca="false">IF($P229=1,SUM($P$5:$P229),"")</f>
        <v/>
      </c>
      <c r="R229" s="29" t="n">
        <f aca="false">IF(AND($B229&lt;&gt;"",$B229=Statement!$C$6,$M229=Statement!$C$8),1,0)</f>
        <v>0</v>
      </c>
      <c r="S229" s="29" t="str">
        <f aca="false">IF($R229=1,SUM($R$5:$R229),"")</f>
        <v/>
      </c>
    </row>
    <row r="230" customFormat="false" ht="15" hidden="false" customHeight="false" outlineLevel="0" collapsed="false">
      <c r="A230" s="28"/>
      <c r="B230" s="10"/>
      <c r="C230" s="10"/>
      <c r="D230" s="10"/>
      <c r="E230" s="23"/>
      <c r="F230" s="23"/>
      <c r="G230" s="10"/>
      <c r="H230" s="10"/>
      <c r="I230" s="28"/>
      <c r="J230" s="29" t="str">
        <f aca="false">IF(OR($A230="",$B230=""),"",IF(YEAR($A230)=Settings!$C$4,MONTH($A230),""))</f>
        <v/>
      </c>
      <c r="K230" s="29" t="str">
        <f aca="false">IF($A230="","",IF(OR($J230="",$B230=""),0,IF(OR($G230="Won",$H230="Yes"),1,0)))</f>
        <v/>
      </c>
      <c r="L230" s="30" t="str">
        <f aca="false">IF($B230="","",IFERROR(IF(INDEX(Settings!$E$12:$E$21,MATCH($B230,Settings!$B$12:$B$21,0))="Gross margin",N($F230),N($E230)),""))</f>
        <v/>
      </c>
      <c r="M230" s="29" t="str">
        <f aca="false">IF(AND($G230="Cancelled",$H230="Yes",$I230&lt;&gt;""),IF(YEAR($I230)=Settings!$C$4,MONTH($I230),""),"")</f>
        <v/>
      </c>
      <c r="N230" s="31" t="str">
        <f aca="false">IF($M230="","",IFERROR(IF($J230="",IF(INDEX(Settings!$D$12:$D$21,MATCH($B230,Settings!$B$12:$B$21,0))="Tiered",INDEX(Settings!$I$12:$I$21,MATCH($B230,Settings!$B$12:$B$21,0)),INDEX(Settings!$G$12:$G$21,MATCH($B230,Settings!$B$12:$B$21,0))),INDEX(Calculation!$U$6:$U$125,(MATCH($B230,Settings!$B$12:$B$21,0)-1)*12+$J230)),0))</f>
        <v/>
      </c>
      <c r="O230" s="30" t="n">
        <f aca="false">IF($M230="",0,N($L230)*N($N230))</f>
        <v>0</v>
      </c>
      <c r="P230" s="29" t="n">
        <f aca="false">IF(AND($B230&lt;&gt;"",$B230=Statement!$C$6,$J230=Statement!$C$8,$K230=1),1,0)</f>
        <v>0</v>
      </c>
      <c r="Q230" s="29" t="str">
        <f aca="false">IF($P230=1,SUM($P$5:$P230),"")</f>
        <v/>
      </c>
      <c r="R230" s="29" t="n">
        <f aca="false">IF(AND($B230&lt;&gt;"",$B230=Statement!$C$6,$M230=Statement!$C$8),1,0)</f>
        <v>0</v>
      </c>
      <c r="S230" s="29" t="str">
        <f aca="false">IF($R230=1,SUM($R$5:$R230),"")</f>
        <v/>
      </c>
    </row>
    <row r="231" customFormat="false" ht="15" hidden="false" customHeight="false" outlineLevel="0" collapsed="false">
      <c r="A231" s="28"/>
      <c r="B231" s="10"/>
      <c r="C231" s="10"/>
      <c r="D231" s="10"/>
      <c r="E231" s="23"/>
      <c r="F231" s="23"/>
      <c r="G231" s="10"/>
      <c r="H231" s="10"/>
      <c r="I231" s="28"/>
      <c r="J231" s="29" t="str">
        <f aca="false">IF(OR($A231="",$B231=""),"",IF(YEAR($A231)=Settings!$C$4,MONTH($A231),""))</f>
        <v/>
      </c>
      <c r="K231" s="29" t="str">
        <f aca="false">IF($A231="","",IF(OR($J231="",$B231=""),0,IF(OR($G231="Won",$H231="Yes"),1,0)))</f>
        <v/>
      </c>
      <c r="L231" s="30" t="str">
        <f aca="false">IF($B231="","",IFERROR(IF(INDEX(Settings!$E$12:$E$21,MATCH($B231,Settings!$B$12:$B$21,0))="Gross margin",N($F231),N($E231)),""))</f>
        <v/>
      </c>
      <c r="M231" s="29" t="str">
        <f aca="false">IF(AND($G231="Cancelled",$H231="Yes",$I231&lt;&gt;""),IF(YEAR($I231)=Settings!$C$4,MONTH($I231),""),"")</f>
        <v/>
      </c>
      <c r="N231" s="31" t="str">
        <f aca="false">IF($M231="","",IFERROR(IF($J231="",IF(INDEX(Settings!$D$12:$D$21,MATCH($B231,Settings!$B$12:$B$21,0))="Tiered",INDEX(Settings!$I$12:$I$21,MATCH($B231,Settings!$B$12:$B$21,0)),INDEX(Settings!$G$12:$G$21,MATCH($B231,Settings!$B$12:$B$21,0))),INDEX(Calculation!$U$6:$U$125,(MATCH($B231,Settings!$B$12:$B$21,0)-1)*12+$J231)),0))</f>
        <v/>
      </c>
      <c r="O231" s="30" t="n">
        <f aca="false">IF($M231="",0,N($L231)*N($N231))</f>
        <v>0</v>
      </c>
      <c r="P231" s="29" t="n">
        <f aca="false">IF(AND($B231&lt;&gt;"",$B231=Statement!$C$6,$J231=Statement!$C$8,$K231=1),1,0)</f>
        <v>0</v>
      </c>
      <c r="Q231" s="29" t="str">
        <f aca="false">IF($P231=1,SUM($P$5:$P231),"")</f>
        <v/>
      </c>
      <c r="R231" s="29" t="n">
        <f aca="false">IF(AND($B231&lt;&gt;"",$B231=Statement!$C$6,$M231=Statement!$C$8),1,0)</f>
        <v>0</v>
      </c>
      <c r="S231" s="29" t="str">
        <f aca="false">IF($R231=1,SUM($R$5:$R231),"")</f>
        <v/>
      </c>
    </row>
    <row r="232" customFormat="false" ht="15" hidden="false" customHeight="false" outlineLevel="0" collapsed="false">
      <c r="A232" s="28"/>
      <c r="B232" s="10"/>
      <c r="C232" s="10"/>
      <c r="D232" s="10"/>
      <c r="E232" s="23"/>
      <c r="F232" s="23"/>
      <c r="G232" s="10"/>
      <c r="H232" s="10"/>
      <c r="I232" s="28"/>
      <c r="J232" s="29" t="str">
        <f aca="false">IF(OR($A232="",$B232=""),"",IF(YEAR($A232)=Settings!$C$4,MONTH($A232),""))</f>
        <v/>
      </c>
      <c r="K232" s="29" t="str">
        <f aca="false">IF($A232="","",IF(OR($J232="",$B232=""),0,IF(OR($G232="Won",$H232="Yes"),1,0)))</f>
        <v/>
      </c>
      <c r="L232" s="30" t="str">
        <f aca="false">IF($B232="","",IFERROR(IF(INDEX(Settings!$E$12:$E$21,MATCH($B232,Settings!$B$12:$B$21,0))="Gross margin",N($F232),N($E232)),""))</f>
        <v/>
      </c>
      <c r="M232" s="29" t="str">
        <f aca="false">IF(AND($G232="Cancelled",$H232="Yes",$I232&lt;&gt;""),IF(YEAR($I232)=Settings!$C$4,MONTH($I232),""),"")</f>
        <v/>
      </c>
      <c r="N232" s="31" t="str">
        <f aca="false">IF($M232="","",IFERROR(IF($J232="",IF(INDEX(Settings!$D$12:$D$21,MATCH($B232,Settings!$B$12:$B$21,0))="Tiered",INDEX(Settings!$I$12:$I$21,MATCH($B232,Settings!$B$12:$B$21,0)),INDEX(Settings!$G$12:$G$21,MATCH($B232,Settings!$B$12:$B$21,0))),INDEX(Calculation!$U$6:$U$125,(MATCH($B232,Settings!$B$12:$B$21,0)-1)*12+$J232)),0))</f>
        <v/>
      </c>
      <c r="O232" s="30" t="n">
        <f aca="false">IF($M232="",0,N($L232)*N($N232))</f>
        <v>0</v>
      </c>
      <c r="P232" s="29" t="n">
        <f aca="false">IF(AND($B232&lt;&gt;"",$B232=Statement!$C$6,$J232=Statement!$C$8,$K232=1),1,0)</f>
        <v>0</v>
      </c>
      <c r="Q232" s="29" t="str">
        <f aca="false">IF($P232=1,SUM($P$5:$P232),"")</f>
        <v/>
      </c>
      <c r="R232" s="29" t="n">
        <f aca="false">IF(AND($B232&lt;&gt;"",$B232=Statement!$C$6,$M232=Statement!$C$8),1,0)</f>
        <v>0</v>
      </c>
      <c r="S232" s="29" t="str">
        <f aca="false">IF($R232=1,SUM($R$5:$R232),"")</f>
        <v/>
      </c>
    </row>
    <row r="233" customFormat="false" ht="15" hidden="false" customHeight="false" outlineLevel="0" collapsed="false">
      <c r="A233" s="28"/>
      <c r="B233" s="10"/>
      <c r="C233" s="10"/>
      <c r="D233" s="10"/>
      <c r="E233" s="23"/>
      <c r="F233" s="23"/>
      <c r="G233" s="10"/>
      <c r="H233" s="10"/>
      <c r="I233" s="28"/>
      <c r="J233" s="29" t="str">
        <f aca="false">IF(OR($A233="",$B233=""),"",IF(YEAR($A233)=Settings!$C$4,MONTH($A233),""))</f>
        <v/>
      </c>
      <c r="K233" s="29" t="str">
        <f aca="false">IF($A233="","",IF(OR($J233="",$B233=""),0,IF(OR($G233="Won",$H233="Yes"),1,0)))</f>
        <v/>
      </c>
      <c r="L233" s="30" t="str">
        <f aca="false">IF($B233="","",IFERROR(IF(INDEX(Settings!$E$12:$E$21,MATCH($B233,Settings!$B$12:$B$21,0))="Gross margin",N($F233),N($E233)),""))</f>
        <v/>
      </c>
      <c r="M233" s="29" t="str">
        <f aca="false">IF(AND($G233="Cancelled",$H233="Yes",$I233&lt;&gt;""),IF(YEAR($I233)=Settings!$C$4,MONTH($I233),""),"")</f>
        <v/>
      </c>
      <c r="N233" s="31" t="str">
        <f aca="false">IF($M233="","",IFERROR(IF($J233="",IF(INDEX(Settings!$D$12:$D$21,MATCH($B233,Settings!$B$12:$B$21,0))="Tiered",INDEX(Settings!$I$12:$I$21,MATCH($B233,Settings!$B$12:$B$21,0)),INDEX(Settings!$G$12:$G$21,MATCH($B233,Settings!$B$12:$B$21,0))),INDEX(Calculation!$U$6:$U$125,(MATCH($B233,Settings!$B$12:$B$21,0)-1)*12+$J233)),0))</f>
        <v/>
      </c>
      <c r="O233" s="30" t="n">
        <f aca="false">IF($M233="",0,N($L233)*N($N233))</f>
        <v>0</v>
      </c>
      <c r="P233" s="29" t="n">
        <f aca="false">IF(AND($B233&lt;&gt;"",$B233=Statement!$C$6,$J233=Statement!$C$8,$K233=1),1,0)</f>
        <v>0</v>
      </c>
      <c r="Q233" s="29" t="str">
        <f aca="false">IF($P233=1,SUM($P$5:$P233),"")</f>
        <v/>
      </c>
      <c r="R233" s="29" t="n">
        <f aca="false">IF(AND($B233&lt;&gt;"",$B233=Statement!$C$6,$M233=Statement!$C$8),1,0)</f>
        <v>0</v>
      </c>
      <c r="S233" s="29" t="str">
        <f aca="false">IF($R233=1,SUM($R$5:$R233),"")</f>
        <v/>
      </c>
    </row>
    <row r="234" customFormat="false" ht="15" hidden="false" customHeight="false" outlineLevel="0" collapsed="false">
      <c r="A234" s="28"/>
      <c r="B234" s="10"/>
      <c r="C234" s="10"/>
      <c r="D234" s="10"/>
      <c r="E234" s="23"/>
      <c r="F234" s="23"/>
      <c r="G234" s="10"/>
      <c r="H234" s="10"/>
      <c r="I234" s="28"/>
      <c r="J234" s="29" t="str">
        <f aca="false">IF(OR($A234="",$B234=""),"",IF(YEAR($A234)=Settings!$C$4,MONTH($A234),""))</f>
        <v/>
      </c>
      <c r="K234" s="29" t="str">
        <f aca="false">IF($A234="","",IF(OR($J234="",$B234=""),0,IF(OR($G234="Won",$H234="Yes"),1,0)))</f>
        <v/>
      </c>
      <c r="L234" s="30" t="str">
        <f aca="false">IF($B234="","",IFERROR(IF(INDEX(Settings!$E$12:$E$21,MATCH($B234,Settings!$B$12:$B$21,0))="Gross margin",N($F234),N($E234)),""))</f>
        <v/>
      </c>
      <c r="M234" s="29" t="str">
        <f aca="false">IF(AND($G234="Cancelled",$H234="Yes",$I234&lt;&gt;""),IF(YEAR($I234)=Settings!$C$4,MONTH($I234),""),"")</f>
        <v/>
      </c>
      <c r="N234" s="31" t="str">
        <f aca="false">IF($M234="","",IFERROR(IF($J234="",IF(INDEX(Settings!$D$12:$D$21,MATCH($B234,Settings!$B$12:$B$21,0))="Tiered",INDEX(Settings!$I$12:$I$21,MATCH($B234,Settings!$B$12:$B$21,0)),INDEX(Settings!$G$12:$G$21,MATCH($B234,Settings!$B$12:$B$21,0))),INDEX(Calculation!$U$6:$U$125,(MATCH($B234,Settings!$B$12:$B$21,0)-1)*12+$J234)),0))</f>
        <v/>
      </c>
      <c r="O234" s="30" t="n">
        <f aca="false">IF($M234="",0,N($L234)*N($N234))</f>
        <v>0</v>
      </c>
      <c r="P234" s="29" t="n">
        <f aca="false">IF(AND($B234&lt;&gt;"",$B234=Statement!$C$6,$J234=Statement!$C$8,$K234=1),1,0)</f>
        <v>0</v>
      </c>
      <c r="Q234" s="29" t="str">
        <f aca="false">IF($P234=1,SUM($P$5:$P234),"")</f>
        <v/>
      </c>
      <c r="R234" s="29" t="n">
        <f aca="false">IF(AND($B234&lt;&gt;"",$B234=Statement!$C$6,$M234=Statement!$C$8),1,0)</f>
        <v>0</v>
      </c>
      <c r="S234" s="29" t="str">
        <f aca="false">IF($R234=1,SUM($R$5:$R234),"")</f>
        <v/>
      </c>
    </row>
    <row r="235" customFormat="false" ht="15" hidden="false" customHeight="false" outlineLevel="0" collapsed="false">
      <c r="A235" s="28"/>
      <c r="B235" s="10"/>
      <c r="C235" s="10"/>
      <c r="D235" s="10"/>
      <c r="E235" s="23"/>
      <c r="F235" s="23"/>
      <c r="G235" s="10"/>
      <c r="H235" s="10"/>
      <c r="I235" s="28"/>
      <c r="J235" s="29" t="str">
        <f aca="false">IF(OR($A235="",$B235=""),"",IF(YEAR($A235)=Settings!$C$4,MONTH($A235),""))</f>
        <v/>
      </c>
      <c r="K235" s="29" t="str">
        <f aca="false">IF($A235="","",IF(OR($J235="",$B235=""),0,IF(OR($G235="Won",$H235="Yes"),1,0)))</f>
        <v/>
      </c>
      <c r="L235" s="30" t="str">
        <f aca="false">IF($B235="","",IFERROR(IF(INDEX(Settings!$E$12:$E$21,MATCH($B235,Settings!$B$12:$B$21,0))="Gross margin",N($F235),N($E235)),""))</f>
        <v/>
      </c>
      <c r="M235" s="29" t="str">
        <f aca="false">IF(AND($G235="Cancelled",$H235="Yes",$I235&lt;&gt;""),IF(YEAR($I235)=Settings!$C$4,MONTH($I235),""),"")</f>
        <v/>
      </c>
      <c r="N235" s="31" t="str">
        <f aca="false">IF($M235="","",IFERROR(IF($J235="",IF(INDEX(Settings!$D$12:$D$21,MATCH($B235,Settings!$B$12:$B$21,0))="Tiered",INDEX(Settings!$I$12:$I$21,MATCH($B235,Settings!$B$12:$B$21,0)),INDEX(Settings!$G$12:$G$21,MATCH($B235,Settings!$B$12:$B$21,0))),INDEX(Calculation!$U$6:$U$125,(MATCH($B235,Settings!$B$12:$B$21,0)-1)*12+$J235)),0))</f>
        <v/>
      </c>
      <c r="O235" s="30" t="n">
        <f aca="false">IF($M235="",0,N($L235)*N($N235))</f>
        <v>0</v>
      </c>
      <c r="P235" s="29" t="n">
        <f aca="false">IF(AND($B235&lt;&gt;"",$B235=Statement!$C$6,$J235=Statement!$C$8,$K235=1),1,0)</f>
        <v>0</v>
      </c>
      <c r="Q235" s="29" t="str">
        <f aca="false">IF($P235=1,SUM($P$5:$P235),"")</f>
        <v/>
      </c>
      <c r="R235" s="29" t="n">
        <f aca="false">IF(AND($B235&lt;&gt;"",$B235=Statement!$C$6,$M235=Statement!$C$8),1,0)</f>
        <v>0</v>
      </c>
      <c r="S235" s="29" t="str">
        <f aca="false">IF($R235=1,SUM($R$5:$R235),"")</f>
        <v/>
      </c>
    </row>
    <row r="236" customFormat="false" ht="15" hidden="false" customHeight="false" outlineLevel="0" collapsed="false">
      <c r="A236" s="28"/>
      <c r="B236" s="10"/>
      <c r="C236" s="10"/>
      <c r="D236" s="10"/>
      <c r="E236" s="23"/>
      <c r="F236" s="23"/>
      <c r="G236" s="10"/>
      <c r="H236" s="10"/>
      <c r="I236" s="28"/>
      <c r="J236" s="29" t="str">
        <f aca="false">IF(OR($A236="",$B236=""),"",IF(YEAR($A236)=Settings!$C$4,MONTH($A236),""))</f>
        <v/>
      </c>
      <c r="K236" s="29" t="str">
        <f aca="false">IF($A236="","",IF(OR($J236="",$B236=""),0,IF(OR($G236="Won",$H236="Yes"),1,0)))</f>
        <v/>
      </c>
      <c r="L236" s="30" t="str">
        <f aca="false">IF($B236="","",IFERROR(IF(INDEX(Settings!$E$12:$E$21,MATCH($B236,Settings!$B$12:$B$21,0))="Gross margin",N($F236),N($E236)),""))</f>
        <v/>
      </c>
      <c r="M236" s="29" t="str">
        <f aca="false">IF(AND($G236="Cancelled",$H236="Yes",$I236&lt;&gt;""),IF(YEAR($I236)=Settings!$C$4,MONTH($I236),""),"")</f>
        <v/>
      </c>
      <c r="N236" s="31" t="str">
        <f aca="false">IF($M236="","",IFERROR(IF($J236="",IF(INDEX(Settings!$D$12:$D$21,MATCH($B236,Settings!$B$12:$B$21,0))="Tiered",INDEX(Settings!$I$12:$I$21,MATCH($B236,Settings!$B$12:$B$21,0)),INDEX(Settings!$G$12:$G$21,MATCH($B236,Settings!$B$12:$B$21,0))),INDEX(Calculation!$U$6:$U$125,(MATCH($B236,Settings!$B$12:$B$21,0)-1)*12+$J236)),0))</f>
        <v/>
      </c>
      <c r="O236" s="30" t="n">
        <f aca="false">IF($M236="",0,N($L236)*N($N236))</f>
        <v>0</v>
      </c>
      <c r="P236" s="29" t="n">
        <f aca="false">IF(AND($B236&lt;&gt;"",$B236=Statement!$C$6,$J236=Statement!$C$8,$K236=1),1,0)</f>
        <v>0</v>
      </c>
      <c r="Q236" s="29" t="str">
        <f aca="false">IF($P236=1,SUM($P$5:$P236),"")</f>
        <v/>
      </c>
      <c r="R236" s="29" t="n">
        <f aca="false">IF(AND($B236&lt;&gt;"",$B236=Statement!$C$6,$M236=Statement!$C$8),1,0)</f>
        <v>0</v>
      </c>
      <c r="S236" s="29" t="str">
        <f aca="false">IF($R236=1,SUM($R$5:$R236),"")</f>
        <v/>
      </c>
    </row>
    <row r="237" customFormat="false" ht="15" hidden="false" customHeight="false" outlineLevel="0" collapsed="false">
      <c r="A237" s="28"/>
      <c r="B237" s="10"/>
      <c r="C237" s="10"/>
      <c r="D237" s="10"/>
      <c r="E237" s="23"/>
      <c r="F237" s="23"/>
      <c r="G237" s="10"/>
      <c r="H237" s="10"/>
      <c r="I237" s="28"/>
      <c r="J237" s="29" t="str">
        <f aca="false">IF(OR($A237="",$B237=""),"",IF(YEAR($A237)=Settings!$C$4,MONTH($A237),""))</f>
        <v/>
      </c>
      <c r="K237" s="29" t="str">
        <f aca="false">IF($A237="","",IF(OR($J237="",$B237=""),0,IF(OR($G237="Won",$H237="Yes"),1,0)))</f>
        <v/>
      </c>
      <c r="L237" s="30" t="str">
        <f aca="false">IF($B237="","",IFERROR(IF(INDEX(Settings!$E$12:$E$21,MATCH($B237,Settings!$B$12:$B$21,0))="Gross margin",N($F237),N($E237)),""))</f>
        <v/>
      </c>
      <c r="M237" s="29" t="str">
        <f aca="false">IF(AND($G237="Cancelled",$H237="Yes",$I237&lt;&gt;""),IF(YEAR($I237)=Settings!$C$4,MONTH($I237),""),"")</f>
        <v/>
      </c>
      <c r="N237" s="31" t="str">
        <f aca="false">IF($M237="","",IFERROR(IF($J237="",IF(INDEX(Settings!$D$12:$D$21,MATCH($B237,Settings!$B$12:$B$21,0))="Tiered",INDEX(Settings!$I$12:$I$21,MATCH($B237,Settings!$B$12:$B$21,0)),INDEX(Settings!$G$12:$G$21,MATCH($B237,Settings!$B$12:$B$21,0))),INDEX(Calculation!$U$6:$U$125,(MATCH($B237,Settings!$B$12:$B$21,0)-1)*12+$J237)),0))</f>
        <v/>
      </c>
      <c r="O237" s="30" t="n">
        <f aca="false">IF($M237="",0,N($L237)*N($N237))</f>
        <v>0</v>
      </c>
      <c r="P237" s="29" t="n">
        <f aca="false">IF(AND($B237&lt;&gt;"",$B237=Statement!$C$6,$J237=Statement!$C$8,$K237=1),1,0)</f>
        <v>0</v>
      </c>
      <c r="Q237" s="29" t="str">
        <f aca="false">IF($P237=1,SUM($P$5:$P237),"")</f>
        <v/>
      </c>
      <c r="R237" s="29" t="n">
        <f aca="false">IF(AND($B237&lt;&gt;"",$B237=Statement!$C$6,$M237=Statement!$C$8),1,0)</f>
        <v>0</v>
      </c>
      <c r="S237" s="29" t="str">
        <f aca="false">IF($R237=1,SUM($R$5:$R237),"")</f>
        <v/>
      </c>
    </row>
    <row r="238" customFormat="false" ht="15" hidden="false" customHeight="false" outlineLevel="0" collapsed="false">
      <c r="A238" s="28"/>
      <c r="B238" s="10"/>
      <c r="C238" s="10"/>
      <c r="D238" s="10"/>
      <c r="E238" s="23"/>
      <c r="F238" s="23"/>
      <c r="G238" s="10"/>
      <c r="H238" s="10"/>
      <c r="I238" s="28"/>
      <c r="J238" s="29" t="str">
        <f aca="false">IF(OR($A238="",$B238=""),"",IF(YEAR($A238)=Settings!$C$4,MONTH($A238),""))</f>
        <v/>
      </c>
      <c r="K238" s="29" t="str">
        <f aca="false">IF($A238="","",IF(OR($J238="",$B238=""),0,IF(OR($G238="Won",$H238="Yes"),1,0)))</f>
        <v/>
      </c>
      <c r="L238" s="30" t="str">
        <f aca="false">IF($B238="","",IFERROR(IF(INDEX(Settings!$E$12:$E$21,MATCH($B238,Settings!$B$12:$B$21,0))="Gross margin",N($F238),N($E238)),""))</f>
        <v/>
      </c>
      <c r="M238" s="29" t="str">
        <f aca="false">IF(AND($G238="Cancelled",$H238="Yes",$I238&lt;&gt;""),IF(YEAR($I238)=Settings!$C$4,MONTH($I238),""),"")</f>
        <v/>
      </c>
      <c r="N238" s="31" t="str">
        <f aca="false">IF($M238="","",IFERROR(IF($J238="",IF(INDEX(Settings!$D$12:$D$21,MATCH($B238,Settings!$B$12:$B$21,0))="Tiered",INDEX(Settings!$I$12:$I$21,MATCH($B238,Settings!$B$12:$B$21,0)),INDEX(Settings!$G$12:$G$21,MATCH($B238,Settings!$B$12:$B$21,0))),INDEX(Calculation!$U$6:$U$125,(MATCH($B238,Settings!$B$12:$B$21,0)-1)*12+$J238)),0))</f>
        <v/>
      </c>
      <c r="O238" s="30" t="n">
        <f aca="false">IF($M238="",0,N($L238)*N($N238))</f>
        <v>0</v>
      </c>
      <c r="P238" s="29" t="n">
        <f aca="false">IF(AND($B238&lt;&gt;"",$B238=Statement!$C$6,$J238=Statement!$C$8,$K238=1),1,0)</f>
        <v>0</v>
      </c>
      <c r="Q238" s="29" t="str">
        <f aca="false">IF($P238=1,SUM($P$5:$P238),"")</f>
        <v/>
      </c>
      <c r="R238" s="29" t="n">
        <f aca="false">IF(AND($B238&lt;&gt;"",$B238=Statement!$C$6,$M238=Statement!$C$8),1,0)</f>
        <v>0</v>
      </c>
      <c r="S238" s="29" t="str">
        <f aca="false">IF($R238=1,SUM($R$5:$R238),"")</f>
        <v/>
      </c>
    </row>
    <row r="239" customFormat="false" ht="15" hidden="false" customHeight="false" outlineLevel="0" collapsed="false">
      <c r="A239" s="28"/>
      <c r="B239" s="10"/>
      <c r="C239" s="10"/>
      <c r="D239" s="10"/>
      <c r="E239" s="23"/>
      <c r="F239" s="23"/>
      <c r="G239" s="10"/>
      <c r="H239" s="10"/>
      <c r="I239" s="28"/>
      <c r="J239" s="29" t="str">
        <f aca="false">IF(OR($A239="",$B239=""),"",IF(YEAR($A239)=Settings!$C$4,MONTH($A239),""))</f>
        <v/>
      </c>
      <c r="K239" s="29" t="str">
        <f aca="false">IF($A239="","",IF(OR($J239="",$B239=""),0,IF(OR($G239="Won",$H239="Yes"),1,0)))</f>
        <v/>
      </c>
      <c r="L239" s="30" t="str">
        <f aca="false">IF($B239="","",IFERROR(IF(INDEX(Settings!$E$12:$E$21,MATCH($B239,Settings!$B$12:$B$21,0))="Gross margin",N($F239),N($E239)),""))</f>
        <v/>
      </c>
      <c r="M239" s="29" t="str">
        <f aca="false">IF(AND($G239="Cancelled",$H239="Yes",$I239&lt;&gt;""),IF(YEAR($I239)=Settings!$C$4,MONTH($I239),""),"")</f>
        <v/>
      </c>
      <c r="N239" s="31" t="str">
        <f aca="false">IF($M239="","",IFERROR(IF($J239="",IF(INDEX(Settings!$D$12:$D$21,MATCH($B239,Settings!$B$12:$B$21,0))="Tiered",INDEX(Settings!$I$12:$I$21,MATCH($B239,Settings!$B$12:$B$21,0)),INDEX(Settings!$G$12:$G$21,MATCH($B239,Settings!$B$12:$B$21,0))),INDEX(Calculation!$U$6:$U$125,(MATCH($B239,Settings!$B$12:$B$21,0)-1)*12+$J239)),0))</f>
        <v/>
      </c>
      <c r="O239" s="30" t="n">
        <f aca="false">IF($M239="",0,N($L239)*N($N239))</f>
        <v>0</v>
      </c>
      <c r="P239" s="29" t="n">
        <f aca="false">IF(AND($B239&lt;&gt;"",$B239=Statement!$C$6,$J239=Statement!$C$8,$K239=1),1,0)</f>
        <v>0</v>
      </c>
      <c r="Q239" s="29" t="str">
        <f aca="false">IF($P239=1,SUM($P$5:$P239),"")</f>
        <v/>
      </c>
      <c r="R239" s="29" t="n">
        <f aca="false">IF(AND($B239&lt;&gt;"",$B239=Statement!$C$6,$M239=Statement!$C$8),1,0)</f>
        <v>0</v>
      </c>
      <c r="S239" s="29" t="str">
        <f aca="false">IF($R239=1,SUM($R$5:$R239),"")</f>
        <v/>
      </c>
    </row>
    <row r="240" customFormat="false" ht="15" hidden="false" customHeight="false" outlineLevel="0" collapsed="false">
      <c r="A240" s="28"/>
      <c r="B240" s="10"/>
      <c r="C240" s="10"/>
      <c r="D240" s="10"/>
      <c r="E240" s="23"/>
      <c r="F240" s="23"/>
      <c r="G240" s="10"/>
      <c r="H240" s="10"/>
      <c r="I240" s="28"/>
      <c r="J240" s="29" t="str">
        <f aca="false">IF(OR($A240="",$B240=""),"",IF(YEAR($A240)=Settings!$C$4,MONTH($A240),""))</f>
        <v/>
      </c>
      <c r="K240" s="29" t="str">
        <f aca="false">IF($A240="","",IF(OR($J240="",$B240=""),0,IF(OR($G240="Won",$H240="Yes"),1,0)))</f>
        <v/>
      </c>
      <c r="L240" s="30" t="str">
        <f aca="false">IF($B240="","",IFERROR(IF(INDEX(Settings!$E$12:$E$21,MATCH($B240,Settings!$B$12:$B$21,0))="Gross margin",N($F240),N($E240)),""))</f>
        <v/>
      </c>
      <c r="M240" s="29" t="str">
        <f aca="false">IF(AND($G240="Cancelled",$H240="Yes",$I240&lt;&gt;""),IF(YEAR($I240)=Settings!$C$4,MONTH($I240),""),"")</f>
        <v/>
      </c>
      <c r="N240" s="31" t="str">
        <f aca="false">IF($M240="","",IFERROR(IF($J240="",IF(INDEX(Settings!$D$12:$D$21,MATCH($B240,Settings!$B$12:$B$21,0))="Tiered",INDEX(Settings!$I$12:$I$21,MATCH($B240,Settings!$B$12:$B$21,0)),INDEX(Settings!$G$12:$G$21,MATCH($B240,Settings!$B$12:$B$21,0))),INDEX(Calculation!$U$6:$U$125,(MATCH($B240,Settings!$B$12:$B$21,0)-1)*12+$J240)),0))</f>
        <v/>
      </c>
      <c r="O240" s="30" t="n">
        <f aca="false">IF($M240="",0,N($L240)*N($N240))</f>
        <v>0</v>
      </c>
      <c r="P240" s="29" t="n">
        <f aca="false">IF(AND($B240&lt;&gt;"",$B240=Statement!$C$6,$J240=Statement!$C$8,$K240=1),1,0)</f>
        <v>0</v>
      </c>
      <c r="Q240" s="29" t="str">
        <f aca="false">IF($P240=1,SUM($P$5:$P240),"")</f>
        <v/>
      </c>
      <c r="R240" s="29" t="n">
        <f aca="false">IF(AND($B240&lt;&gt;"",$B240=Statement!$C$6,$M240=Statement!$C$8),1,0)</f>
        <v>0</v>
      </c>
      <c r="S240" s="29" t="str">
        <f aca="false">IF($R240=1,SUM($R$5:$R240),"")</f>
        <v/>
      </c>
    </row>
    <row r="241" customFormat="false" ht="15" hidden="false" customHeight="false" outlineLevel="0" collapsed="false">
      <c r="A241" s="28"/>
      <c r="B241" s="10"/>
      <c r="C241" s="10"/>
      <c r="D241" s="10"/>
      <c r="E241" s="23"/>
      <c r="F241" s="23"/>
      <c r="G241" s="10"/>
      <c r="H241" s="10"/>
      <c r="I241" s="28"/>
      <c r="J241" s="29" t="str">
        <f aca="false">IF(OR($A241="",$B241=""),"",IF(YEAR($A241)=Settings!$C$4,MONTH($A241),""))</f>
        <v/>
      </c>
      <c r="K241" s="29" t="str">
        <f aca="false">IF($A241="","",IF(OR($J241="",$B241=""),0,IF(OR($G241="Won",$H241="Yes"),1,0)))</f>
        <v/>
      </c>
      <c r="L241" s="30" t="str">
        <f aca="false">IF($B241="","",IFERROR(IF(INDEX(Settings!$E$12:$E$21,MATCH($B241,Settings!$B$12:$B$21,0))="Gross margin",N($F241),N($E241)),""))</f>
        <v/>
      </c>
      <c r="M241" s="29" t="str">
        <f aca="false">IF(AND($G241="Cancelled",$H241="Yes",$I241&lt;&gt;""),IF(YEAR($I241)=Settings!$C$4,MONTH($I241),""),"")</f>
        <v/>
      </c>
      <c r="N241" s="31" t="str">
        <f aca="false">IF($M241="","",IFERROR(IF($J241="",IF(INDEX(Settings!$D$12:$D$21,MATCH($B241,Settings!$B$12:$B$21,0))="Tiered",INDEX(Settings!$I$12:$I$21,MATCH($B241,Settings!$B$12:$B$21,0)),INDEX(Settings!$G$12:$G$21,MATCH($B241,Settings!$B$12:$B$21,0))),INDEX(Calculation!$U$6:$U$125,(MATCH($B241,Settings!$B$12:$B$21,0)-1)*12+$J241)),0))</f>
        <v/>
      </c>
      <c r="O241" s="30" t="n">
        <f aca="false">IF($M241="",0,N($L241)*N($N241))</f>
        <v>0</v>
      </c>
      <c r="P241" s="29" t="n">
        <f aca="false">IF(AND($B241&lt;&gt;"",$B241=Statement!$C$6,$J241=Statement!$C$8,$K241=1),1,0)</f>
        <v>0</v>
      </c>
      <c r="Q241" s="29" t="str">
        <f aca="false">IF($P241=1,SUM($P$5:$P241),"")</f>
        <v/>
      </c>
      <c r="R241" s="29" t="n">
        <f aca="false">IF(AND($B241&lt;&gt;"",$B241=Statement!$C$6,$M241=Statement!$C$8),1,0)</f>
        <v>0</v>
      </c>
      <c r="S241" s="29" t="str">
        <f aca="false">IF($R241=1,SUM($R$5:$R241),"")</f>
        <v/>
      </c>
    </row>
    <row r="242" customFormat="false" ht="15" hidden="false" customHeight="false" outlineLevel="0" collapsed="false">
      <c r="A242" s="28"/>
      <c r="B242" s="10"/>
      <c r="C242" s="10"/>
      <c r="D242" s="10"/>
      <c r="E242" s="23"/>
      <c r="F242" s="23"/>
      <c r="G242" s="10"/>
      <c r="H242" s="10"/>
      <c r="I242" s="28"/>
      <c r="J242" s="29" t="str">
        <f aca="false">IF(OR($A242="",$B242=""),"",IF(YEAR($A242)=Settings!$C$4,MONTH($A242),""))</f>
        <v/>
      </c>
      <c r="K242" s="29" t="str">
        <f aca="false">IF($A242="","",IF(OR($J242="",$B242=""),0,IF(OR($G242="Won",$H242="Yes"),1,0)))</f>
        <v/>
      </c>
      <c r="L242" s="30" t="str">
        <f aca="false">IF($B242="","",IFERROR(IF(INDEX(Settings!$E$12:$E$21,MATCH($B242,Settings!$B$12:$B$21,0))="Gross margin",N($F242),N($E242)),""))</f>
        <v/>
      </c>
      <c r="M242" s="29" t="str">
        <f aca="false">IF(AND($G242="Cancelled",$H242="Yes",$I242&lt;&gt;""),IF(YEAR($I242)=Settings!$C$4,MONTH($I242),""),"")</f>
        <v/>
      </c>
      <c r="N242" s="31" t="str">
        <f aca="false">IF($M242="","",IFERROR(IF($J242="",IF(INDEX(Settings!$D$12:$D$21,MATCH($B242,Settings!$B$12:$B$21,0))="Tiered",INDEX(Settings!$I$12:$I$21,MATCH($B242,Settings!$B$12:$B$21,0)),INDEX(Settings!$G$12:$G$21,MATCH($B242,Settings!$B$12:$B$21,0))),INDEX(Calculation!$U$6:$U$125,(MATCH($B242,Settings!$B$12:$B$21,0)-1)*12+$J242)),0))</f>
        <v/>
      </c>
      <c r="O242" s="30" t="n">
        <f aca="false">IF($M242="",0,N($L242)*N($N242))</f>
        <v>0</v>
      </c>
      <c r="P242" s="29" t="n">
        <f aca="false">IF(AND($B242&lt;&gt;"",$B242=Statement!$C$6,$J242=Statement!$C$8,$K242=1),1,0)</f>
        <v>0</v>
      </c>
      <c r="Q242" s="29" t="str">
        <f aca="false">IF($P242=1,SUM($P$5:$P242),"")</f>
        <v/>
      </c>
      <c r="R242" s="29" t="n">
        <f aca="false">IF(AND($B242&lt;&gt;"",$B242=Statement!$C$6,$M242=Statement!$C$8),1,0)</f>
        <v>0</v>
      </c>
      <c r="S242" s="29" t="str">
        <f aca="false">IF($R242=1,SUM($R$5:$R242),"")</f>
        <v/>
      </c>
    </row>
    <row r="243" customFormat="false" ht="15" hidden="false" customHeight="false" outlineLevel="0" collapsed="false">
      <c r="A243" s="28"/>
      <c r="B243" s="10"/>
      <c r="C243" s="10"/>
      <c r="D243" s="10"/>
      <c r="E243" s="23"/>
      <c r="F243" s="23"/>
      <c r="G243" s="10"/>
      <c r="H243" s="10"/>
      <c r="I243" s="28"/>
      <c r="J243" s="29" t="str">
        <f aca="false">IF(OR($A243="",$B243=""),"",IF(YEAR($A243)=Settings!$C$4,MONTH($A243),""))</f>
        <v/>
      </c>
      <c r="K243" s="29" t="str">
        <f aca="false">IF($A243="","",IF(OR($J243="",$B243=""),0,IF(OR($G243="Won",$H243="Yes"),1,0)))</f>
        <v/>
      </c>
      <c r="L243" s="30" t="str">
        <f aca="false">IF($B243="","",IFERROR(IF(INDEX(Settings!$E$12:$E$21,MATCH($B243,Settings!$B$12:$B$21,0))="Gross margin",N($F243),N($E243)),""))</f>
        <v/>
      </c>
      <c r="M243" s="29" t="str">
        <f aca="false">IF(AND($G243="Cancelled",$H243="Yes",$I243&lt;&gt;""),IF(YEAR($I243)=Settings!$C$4,MONTH($I243),""),"")</f>
        <v/>
      </c>
      <c r="N243" s="31" t="str">
        <f aca="false">IF($M243="","",IFERROR(IF($J243="",IF(INDEX(Settings!$D$12:$D$21,MATCH($B243,Settings!$B$12:$B$21,0))="Tiered",INDEX(Settings!$I$12:$I$21,MATCH($B243,Settings!$B$12:$B$21,0)),INDEX(Settings!$G$12:$G$21,MATCH($B243,Settings!$B$12:$B$21,0))),INDEX(Calculation!$U$6:$U$125,(MATCH($B243,Settings!$B$12:$B$21,0)-1)*12+$J243)),0))</f>
        <v/>
      </c>
      <c r="O243" s="30" t="n">
        <f aca="false">IF($M243="",0,N($L243)*N($N243))</f>
        <v>0</v>
      </c>
      <c r="P243" s="29" t="n">
        <f aca="false">IF(AND($B243&lt;&gt;"",$B243=Statement!$C$6,$J243=Statement!$C$8,$K243=1),1,0)</f>
        <v>0</v>
      </c>
      <c r="Q243" s="29" t="str">
        <f aca="false">IF($P243=1,SUM($P$5:$P243),"")</f>
        <v/>
      </c>
      <c r="R243" s="29" t="n">
        <f aca="false">IF(AND($B243&lt;&gt;"",$B243=Statement!$C$6,$M243=Statement!$C$8),1,0)</f>
        <v>0</v>
      </c>
      <c r="S243" s="29" t="str">
        <f aca="false">IF($R243=1,SUM($R$5:$R243),"")</f>
        <v/>
      </c>
    </row>
    <row r="244" customFormat="false" ht="15" hidden="false" customHeight="false" outlineLevel="0" collapsed="false">
      <c r="A244" s="28"/>
      <c r="B244" s="10"/>
      <c r="C244" s="10"/>
      <c r="D244" s="10"/>
      <c r="E244" s="23"/>
      <c r="F244" s="23"/>
      <c r="G244" s="10"/>
      <c r="H244" s="10"/>
      <c r="I244" s="28"/>
      <c r="J244" s="29" t="str">
        <f aca="false">IF(OR($A244="",$B244=""),"",IF(YEAR($A244)=Settings!$C$4,MONTH($A244),""))</f>
        <v/>
      </c>
      <c r="K244" s="29" t="str">
        <f aca="false">IF($A244="","",IF(OR($J244="",$B244=""),0,IF(OR($G244="Won",$H244="Yes"),1,0)))</f>
        <v/>
      </c>
      <c r="L244" s="30" t="str">
        <f aca="false">IF($B244="","",IFERROR(IF(INDEX(Settings!$E$12:$E$21,MATCH($B244,Settings!$B$12:$B$21,0))="Gross margin",N($F244),N($E244)),""))</f>
        <v/>
      </c>
      <c r="M244" s="29" t="str">
        <f aca="false">IF(AND($G244="Cancelled",$H244="Yes",$I244&lt;&gt;""),IF(YEAR($I244)=Settings!$C$4,MONTH($I244),""),"")</f>
        <v/>
      </c>
      <c r="N244" s="31" t="str">
        <f aca="false">IF($M244="","",IFERROR(IF($J244="",IF(INDEX(Settings!$D$12:$D$21,MATCH($B244,Settings!$B$12:$B$21,0))="Tiered",INDEX(Settings!$I$12:$I$21,MATCH($B244,Settings!$B$12:$B$21,0)),INDEX(Settings!$G$12:$G$21,MATCH($B244,Settings!$B$12:$B$21,0))),INDEX(Calculation!$U$6:$U$125,(MATCH($B244,Settings!$B$12:$B$21,0)-1)*12+$J244)),0))</f>
        <v/>
      </c>
      <c r="O244" s="30" t="n">
        <f aca="false">IF($M244="",0,N($L244)*N($N244))</f>
        <v>0</v>
      </c>
      <c r="P244" s="29" t="n">
        <f aca="false">IF(AND($B244&lt;&gt;"",$B244=Statement!$C$6,$J244=Statement!$C$8,$K244=1),1,0)</f>
        <v>0</v>
      </c>
      <c r="Q244" s="29" t="str">
        <f aca="false">IF($P244=1,SUM($P$5:$P244),"")</f>
        <v/>
      </c>
      <c r="R244" s="29" t="n">
        <f aca="false">IF(AND($B244&lt;&gt;"",$B244=Statement!$C$6,$M244=Statement!$C$8),1,0)</f>
        <v>0</v>
      </c>
      <c r="S244" s="29" t="str">
        <f aca="false">IF($R244=1,SUM($R$5:$R244),"")</f>
        <v/>
      </c>
    </row>
    <row r="245" customFormat="false" ht="15" hidden="false" customHeight="false" outlineLevel="0" collapsed="false">
      <c r="A245" s="28"/>
      <c r="B245" s="10"/>
      <c r="C245" s="10"/>
      <c r="D245" s="10"/>
      <c r="E245" s="23"/>
      <c r="F245" s="23"/>
      <c r="G245" s="10"/>
      <c r="H245" s="10"/>
      <c r="I245" s="28"/>
      <c r="J245" s="29" t="str">
        <f aca="false">IF(OR($A245="",$B245=""),"",IF(YEAR($A245)=Settings!$C$4,MONTH($A245),""))</f>
        <v/>
      </c>
      <c r="K245" s="29" t="str">
        <f aca="false">IF($A245="","",IF(OR($J245="",$B245=""),0,IF(OR($G245="Won",$H245="Yes"),1,0)))</f>
        <v/>
      </c>
      <c r="L245" s="30" t="str">
        <f aca="false">IF($B245="","",IFERROR(IF(INDEX(Settings!$E$12:$E$21,MATCH($B245,Settings!$B$12:$B$21,0))="Gross margin",N($F245),N($E245)),""))</f>
        <v/>
      </c>
      <c r="M245" s="29" t="str">
        <f aca="false">IF(AND($G245="Cancelled",$H245="Yes",$I245&lt;&gt;""),IF(YEAR($I245)=Settings!$C$4,MONTH($I245),""),"")</f>
        <v/>
      </c>
      <c r="N245" s="31" t="str">
        <f aca="false">IF($M245="","",IFERROR(IF($J245="",IF(INDEX(Settings!$D$12:$D$21,MATCH($B245,Settings!$B$12:$B$21,0))="Tiered",INDEX(Settings!$I$12:$I$21,MATCH($B245,Settings!$B$12:$B$21,0)),INDEX(Settings!$G$12:$G$21,MATCH($B245,Settings!$B$12:$B$21,0))),INDEX(Calculation!$U$6:$U$125,(MATCH($B245,Settings!$B$12:$B$21,0)-1)*12+$J245)),0))</f>
        <v/>
      </c>
      <c r="O245" s="30" t="n">
        <f aca="false">IF($M245="",0,N($L245)*N($N245))</f>
        <v>0</v>
      </c>
      <c r="P245" s="29" t="n">
        <f aca="false">IF(AND($B245&lt;&gt;"",$B245=Statement!$C$6,$J245=Statement!$C$8,$K245=1),1,0)</f>
        <v>0</v>
      </c>
      <c r="Q245" s="29" t="str">
        <f aca="false">IF($P245=1,SUM($P$5:$P245),"")</f>
        <v/>
      </c>
      <c r="R245" s="29" t="n">
        <f aca="false">IF(AND($B245&lt;&gt;"",$B245=Statement!$C$6,$M245=Statement!$C$8),1,0)</f>
        <v>0</v>
      </c>
      <c r="S245" s="29" t="str">
        <f aca="false">IF($R245=1,SUM($R$5:$R245),"")</f>
        <v/>
      </c>
    </row>
    <row r="246" customFormat="false" ht="15" hidden="false" customHeight="false" outlineLevel="0" collapsed="false">
      <c r="A246" s="28"/>
      <c r="B246" s="10"/>
      <c r="C246" s="10"/>
      <c r="D246" s="10"/>
      <c r="E246" s="23"/>
      <c r="F246" s="23"/>
      <c r="G246" s="10"/>
      <c r="H246" s="10"/>
      <c r="I246" s="28"/>
      <c r="J246" s="29" t="str">
        <f aca="false">IF(OR($A246="",$B246=""),"",IF(YEAR($A246)=Settings!$C$4,MONTH($A246),""))</f>
        <v/>
      </c>
      <c r="K246" s="29" t="str">
        <f aca="false">IF($A246="","",IF(OR($J246="",$B246=""),0,IF(OR($G246="Won",$H246="Yes"),1,0)))</f>
        <v/>
      </c>
      <c r="L246" s="30" t="str">
        <f aca="false">IF($B246="","",IFERROR(IF(INDEX(Settings!$E$12:$E$21,MATCH($B246,Settings!$B$12:$B$21,0))="Gross margin",N($F246),N($E246)),""))</f>
        <v/>
      </c>
      <c r="M246" s="29" t="str">
        <f aca="false">IF(AND($G246="Cancelled",$H246="Yes",$I246&lt;&gt;""),IF(YEAR($I246)=Settings!$C$4,MONTH($I246),""),"")</f>
        <v/>
      </c>
      <c r="N246" s="31" t="str">
        <f aca="false">IF($M246="","",IFERROR(IF($J246="",IF(INDEX(Settings!$D$12:$D$21,MATCH($B246,Settings!$B$12:$B$21,0))="Tiered",INDEX(Settings!$I$12:$I$21,MATCH($B246,Settings!$B$12:$B$21,0)),INDEX(Settings!$G$12:$G$21,MATCH($B246,Settings!$B$12:$B$21,0))),INDEX(Calculation!$U$6:$U$125,(MATCH($B246,Settings!$B$12:$B$21,0)-1)*12+$J246)),0))</f>
        <v/>
      </c>
      <c r="O246" s="30" t="n">
        <f aca="false">IF($M246="",0,N($L246)*N($N246))</f>
        <v>0</v>
      </c>
      <c r="P246" s="29" t="n">
        <f aca="false">IF(AND($B246&lt;&gt;"",$B246=Statement!$C$6,$J246=Statement!$C$8,$K246=1),1,0)</f>
        <v>0</v>
      </c>
      <c r="Q246" s="29" t="str">
        <f aca="false">IF($P246=1,SUM($P$5:$P246),"")</f>
        <v/>
      </c>
      <c r="R246" s="29" t="n">
        <f aca="false">IF(AND($B246&lt;&gt;"",$B246=Statement!$C$6,$M246=Statement!$C$8),1,0)</f>
        <v>0</v>
      </c>
      <c r="S246" s="29" t="str">
        <f aca="false">IF($R246=1,SUM($R$5:$R246),"")</f>
        <v/>
      </c>
    </row>
    <row r="247" customFormat="false" ht="15" hidden="false" customHeight="false" outlineLevel="0" collapsed="false">
      <c r="A247" s="28"/>
      <c r="B247" s="10"/>
      <c r="C247" s="10"/>
      <c r="D247" s="10"/>
      <c r="E247" s="23"/>
      <c r="F247" s="23"/>
      <c r="G247" s="10"/>
      <c r="H247" s="10"/>
      <c r="I247" s="28"/>
      <c r="J247" s="29" t="str">
        <f aca="false">IF(OR($A247="",$B247=""),"",IF(YEAR($A247)=Settings!$C$4,MONTH($A247),""))</f>
        <v/>
      </c>
      <c r="K247" s="29" t="str">
        <f aca="false">IF($A247="","",IF(OR($J247="",$B247=""),0,IF(OR($G247="Won",$H247="Yes"),1,0)))</f>
        <v/>
      </c>
      <c r="L247" s="30" t="str">
        <f aca="false">IF($B247="","",IFERROR(IF(INDEX(Settings!$E$12:$E$21,MATCH($B247,Settings!$B$12:$B$21,0))="Gross margin",N($F247),N($E247)),""))</f>
        <v/>
      </c>
      <c r="M247" s="29" t="str">
        <f aca="false">IF(AND($G247="Cancelled",$H247="Yes",$I247&lt;&gt;""),IF(YEAR($I247)=Settings!$C$4,MONTH($I247),""),"")</f>
        <v/>
      </c>
      <c r="N247" s="31" t="str">
        <f aca="false">IF($M247="","",IFERROR(IF($J247="",IF(INDEX(Settings!$D$12:$D$21,MATCH($B247,Settings!$B$12:$B$21,0))="Tiered",INDEX(Settings!$I$12:$I$21,MATCH($B247,Settings!$B$12:$B$21,0)),INDEX(Settings!$G$12:$G$21,MATCH($B247,Settings!$B$12:$B$21,0))),INDEX(Calculation!$U$6:$U$125,(MATCH($B247,Settings!$B$12:$B$21,0)-1)*12+$J247)),0))</f>
        <v/>
      </c>
      <c r="O247" s="30" t="n">
        <f aca="false">IF($M247="",0,N($L247)*N($N247))</f>
        <v>0</v>
      </c>
      <c r="P247" s="29" t="n">
        <f aca="false">IF(AND($B247&lt;&gt;"",$B247=Statement!$C$6,$J247=Statement!$C$8,$K247=1),1,0)</f>
        <v>0</v>
      </c>
      <c r="Q247" s="29" t="str">
        <f aca="false">IF($P247=1,SUM($P$5:$P247),"")</f>
        <v/>
      </c>
      <c r="R247" s="29" t="n">
        <f aca="false">IF(AND($B247&lt;&gt;"",$B247=Statement!$C$6,$M247=Statement!$C$8),1,0)</f>
        <v>0</v>
      </c>
      <c r="S247" s="29" t="str">
        <f aca="false">IF($R247=1,SUM($R$5:$R247),"")</f>
        <v/>
      </c>
    </row>
    <row r="248" customFormat="false" ht="15" hidden="false" customHeight="false" outlineLevel="0" collapsed="false">
      <c r="A248" s="28"/>
      <c r="B248" s="10"/>
      <c r="C248" s="10"/>
      <c r="D248" s="10"/>
      <c r="E248" s="23"/>
      <c r="F248" s="23"/>
      <c r="G248" s="10"/>
      <c r="H248" s="10"/>
      <c r="I248" s="28"/>
      <c r="J248" s="29" t="str">
        <f aca="false">IF(OR($A248="",$B248=""),"",IF(YEAR($A248)=Settings!$C$4,MONTH($A248),""))</f>
        <v/>
      </c>
      <c r="K248" s="29" t="str">
        <f aca="false">IF($A248="","",IF(OR($J248="",$B248=""),0,IF(OR($G248="Won",$H248="Yes"),1,0)))</f>
        <v/>
      </c>
      <c r="L248" s="30" t="str">
        <f aca="false">IF($B248="","",IFERROR(IF(INDEX(Settings!$E$12:$E$21,MATCH($B248,Settings!$B$12:$B$21,0))="Gross margin",N($F248),N($E248)),""))</f>
        <v/>
      </c>
      <c r="M248" s="29" t="str">
        <f aca="false">IF(AND($G248="Cancelled",$H248="Yes",$I248&lt;&gt;""),IF(YEAR($I248)=Settings!$C$4,MONTH($I248),""),"")</f>
        <v/>
      </c>
      <c r="N248" s="31" t="str">
        <f aca="false">IF($M248="","",IFERROR(IF($J248="",IF(INDEX(Settings!$D$12:$D$21,MATCH($B248,Settings!$B$12:$B$21,0))="Tiered",INDEX(Settings!$I$12:$I$21,MATCH($B248,Settings!$B$12:$B$21,0)),INDEX(Settings!$G$12:$G$21,MATCH($B248,Settings!$B$12:$B$21,0))),INDEX(Calculation!$U$6:$U$125,(MATCH($B248,Settings!$B$12:$B$21,0)-1)*12+$J248)),0))</f>
        <v/>
      </c>
      <c r="O248" s="30" t="n">
        <f aca="false">IF($M248="",0,N($L248)*N($N248))</f>
        <v>0</v>
      </c>
      <c r="P248" s="29" t="n">
        <f aca="false">IF(AND($B248&lt;&gt;"",$B248=Statement!$C$6,$J248=Statement!$C$8,$K248=1),1,0)</f>
        <v>0</v>
      </c>
      <c r="Q248" s="29" t="str">
        <f aca="false">IF($P248=1,SUM($P$5:$P248),"")</f>
        <v/>
      </c>
      <c r="R248" s="29" t="n">
        <f aca="false">IF(AND($B248&lt;&gt;"",$B248=Statement!$C$6,$M248=Statement!$C$8),1,0)</f>
        <v>0</v>
      </c>
      <c r="S248" s="29" t="str">
        <f aca="false">IF($R248=1,SUM($R$5:$R248),"")</f>
        <v/>
      </c>
    </row>
    <row r="249" customFormat="false" ht="15" hidden="false" customHeight="false" outlineLevel="0" collapsed="false">
      <c r="A249" s="28"/>
      <c r="B249" s="10"/>
      <c r="C249" s="10"/>
      <c r="D249" s="10"/>
      <c r="E249" s="23"/>
      <c r="F249" s="23"/>
      <c r="G249" s="10"/>
      <c r="H249" s="10"/>
      <c r="I249" s="28"/>
      <c r="J249" s="29" t="str">
        <f aca="false">IF(OR($A249="",$B249=""),"",IF(YEAR($A249)=Settings!$C$4,MONTH($A249),""))</f>
        <v/>
      </c>
      <c r="K249" s="29" t="str">
        <f aca="false">IF($A249="","",IF(OR($J249="",$B249=""),0,IF(OR($G249="Won",$H249="Yes"),1,0)))</f>
        <v/>
      </c>
      <c r="L249" s="30" t="str">
        <f aca="false">IF($B249="","",IFERROR(IF(INDEX(Settings!$E$12:$E$21,MATCH($B249,Settings!$B$12:$B$21,0))="Gross margin",N($F249),N($E249)),""))</f>
        <v/>
      </c>
      <c r="M249" s="29" t="str">
        <f aca="false">IF(AND($G249="Cancelled",$H249="Yes",$I249&lt;&gt;""),IF(YEAR($I249)=Settings!$C$4,MONTH($I249),""),"")</f>
        <v/>
      </c>
      <c r="N249" s="31" t="str">
        <f aca="false">IF($M249="","",IFERROR(IF($J249="",IF(INDEX(Settings!$D$12:$D$21,MATCH($B249,Settings!$B$12:$B$21,0))="Tiered",INDEX(Settings!$I$12:$I$21,MATCH($B249,Settings!$B$12:$B$21,0)),INDEX(Settings!$G$12:$G$21,MATCH($B249,Settings!$B$12:$B$21,0))),INDEX(Calculation!$U$6:$U$125,(MATCH($B249,Settings!$B$12:$B$21,0)-1)*12+$J249)),0))</f>
        <v/>
      </c>
      <c r="O249" s="30" t="n">
        <f aca="false">IF($M249="",0,N($L249)*N($N249))</f>
        <v>0</v>
      </c>
      <c r="P249" s="29" t="n">
        <f aca="false">IF(AND($B249&lt;&gt;"",$B249=Statement!$C$6,$J249=Statement!$C$8,$K249=1),1,0)</f>
        <v>0</v>
      </c>
      <c r="Q249" s="29" t="str">
        <f aca="false">IF($P249=1,SUM($P$5:$P249),"")</f>
        <v/>
      </c>
      <c r="R249" s="29" t="n">
        <f aca="false">IF(AND($B249&lt;&gt;"",$B249=Statement!$C$6,$M249=Statement!$C$8),1,0)</f>
        <v>0</v>
      </c>
      <c r="S249" s="29" t="str">
        <f aca="false">IF($R249=1,SUM($R$5:$R249),"")</f>
        <v/>
      </c>
    </row>
    <row r="250" customFormat="false" ht="15" hidden="false" customHeight="false" outlineLevel="0" collapsed="false">
      <c r="A250" s="28"/>
      <c r="B250" s="10"/>
      <c r="C250" s="10"/>
      <c r="D250" s="10"/>
      <c r="E250" s="23"/>
      <c r="F250" s="23"/>
      <c r="G250" s="10"/>
      <c r="H250" s="10"/>
      <c r="I250" s="28"/>
      <c r="J250" s="29" t="str">
        <f aca="false">IF(OR($A250="",$B250=""),"",IF(YEAR($A250)=Settings!$C$4,MONTH($A250),""))</f>
        <v/>
      </c>
      <c r="K250" s="29" t="str">
        <f aca="false">IF($A250="","",IF(OR($J250="",$B250=""),0,IF(OR($G250="Won",$H250="Yes"),1,0)))</f>
        <v/>
      </c>
      <c r="L250" s="30" t="str">
        <f aca="false">IF($B250="","",IFERROR(IF(INDEX(Settings!$E$12:$E$21,MATCH($B250,Settings!$B$12:$B$21,0))="Gross margin",N($F250),N($E250)),""))</f>
        <v/>
      </c>
      <c r="M250" s="29" t="str">
        <f aca="false">IF(AND($G250="Cancelled",$H250="Yes",$I250&lt;&gt;""),IF(YEAR($I250)=Settings!$C$4,MONTH($I250),""),"")</f>
        <v/>
      </c>
      <c r="N250" s="31" t="str">
        <f aca="false">IF($M250="","",IFERROR(IF($J250="",IF(INDEX(Settings!$D$12:$D$21,MATCH($B250,Settings!$B$12:$B$21,0))="Tiered",INDEX(Settings!$I$12:$I$21,MATCH($B250,Settings!$B$12:$B$21,0)),INDEX(Settings!$G$12:$G$21,MATCH($B250,Settings!$B$12:$B$21,0))),INDEX(Calculation!$U$6:$U$125,(MATCH($B250,Settings!$B$12:$B$21,0)-1)*12+$J250)),0))</f>
        <v/>
      </c>
      <c r="O250" s="30" t="n">
        <f aca="false">IF($M250="",0,N($L250)*N($N250))</f>
        <v>0</v>
      </c>
      <c r="P250" s="29" t="n">
        <f aca="false">IF(AND($B250&lt;&gt;"",$B250=Statement!$C$6,$J250=Statement!$C$8,$K250=1),1,0)</f>
        <v>0</v>
      </c>
      <c r="Q250" s="29" t="str">
        <f aca="false">IF($P250=1,SUM($P$5:$P250),"")</f>
        <v/>
      </c>
      <c r="R250" s="29" t="n">
        <f aca="false">IF(AND($B250&lt;&gt;"",$B250=Statement!$C$6,$M250=Statement!$C$8),1,0)</f>
        <v>0</v>
      </c>
      <c r="S250" s="29" t="str">
        <f aca="false">IF($R250=1,SUM($R$5:$R250),"")</f>
        <v/>
      </c>
    </row>
    <row r="251" customFormat="false" ht="15" hidden="false" customHeight="false" outlineLevel="0" collapsed="false">
      <c r="A251" s="28"/>
      <c r="B251" s="10"/>
      <c r="C251" s="10"/>
      <c r="D251" s="10"/>
      <c r="E251" s="23"/>
      <c r="F251" s="23"/>
      <c r="G251" s="10"/>
      <c r="H251" s="10"/>
      <c r="I251" s="28"/>
      <c r="J251" s="29" t="str">
        <f aca="false">IF(OR($A251="",$B251=""),"",IF(YEAR($A251)=Settings!$C$4,MONTH($A251),""))</f>
        <v/>
      </c>
      <c r="K251" s="29" t="str">
        <f aca="false">IF($A251="","",IF(OR($J251="",$B251=""),0,IF(OR($G251="Won",$H251="Yes"),1,0)))</f>
        <v/>
      </c>
      <c r="L251" s="30" t="str">
        <f aca="false">IF($B251="","",IFERROR(IF(INDEX(Settings!$E$12:$E$21,MATCH($B251,Settings!$B$12:$B$21,0))="Gross margin",N($F251),N($E251)),""))</f>
        <v/>
      </c>
      <c r="M251" s="29" t="str">
        <f aca="false">IF(AND($G251="Cancelled",$H251="Yes",$I251&lt;&gt;""),IF(YEAR($I251)=Settings!$C$4,MONTH($I251),""),"")</f>
        <v/>
      </c>
      <c r="N251" s="31" t="str">
        <f aca="false">IF($M251="","",IFERROR(IF($J251="",IF(INDEX(Settings!$D$12:$D$21,MATCH($B251,Settings!$B$12:$B$21,0))="Tiered",INDEX(Settings!$I$12:$I$21,MATCH($B251,Settings!$B$12:$B$21,0)),INDEX(Settings!$G$12:$G$21,MATCH($B251,Settings!$B$12:$B$21,0))),INDEX(Calculation!$U$6:$U$125,(MATCH($B251,Settings!$B$12:$B$21,0)-1)*12+$J251)),0))</f>
        <v/>
      </c>
      <c r="O251" s="30" t="n">
        <f aca="false">IF($M251="",0,N($L251)*N($N251))</f>
        <v>0</v>
      </c>
      <c r="P251" s="29" t="n">
        <f aca="false">IF(AND($B251&lt;&gt;"",$B251=Statement!$C$6,$J251=Statement!$C$8,$K251=1),1,0)</f>
        <v>0</v>
      </c>
      <c r="Q251" s="29" t="str">
        <f aca="false">IF($P251=1,SUM($P$5:$P251),"")</f>
        <v/>
      </c>
      <c r="R251" s="29" t="n">
        <f aca="false">IF(AND($B251&lt;&gt;"",$B251=Statement!$C$6,$M251=Statement!$C$8),1,0)</f>
        <v>0</v>
      </c>
      <c r="S251" s="29" t="str">
        <f aca="false">IF($R251=1,SUM($R$5:$R251),"")</f>
        <v/>
      </c>
    </row>
    <row r="252" customFormat="false" ht="15" hidden="false" customHeight="false" outlineLevel="0" collapsed="false">
      <c r="A252" s="28"/>
      <c r="B252" s="10"/>
      <c r="C252" s="10"/>
      <c r="D252" s="10"/>
      <c r="E252" s="23"/>
      <c r="F252" s="23"/>
      <c r="G252" s="10"/>
      <c r="H252" s="10"/>
      <c r="I252" s="28"/>
      <c r="J252" s="29" t="str">
        <f aca="false">IF(OR($A252="",$B252=""),"",IF(YEAR($A252)=Settings!$C$4,MONTH($A252),""))</f>
        <v/>
      </c>
      <c r="K252" s="29" t="str">
        <f aca="false">IF($A252="","",IF(OR($J252="",$B252=""),0,IF(OR($G252="Won",$H252="Yes"),1,0)))</f>
        <v/>
      </c>
      <c r="L252" s="30" t="str">
        <f aca="false">IF($B252="","",IFERROR(IF(INDEX(Settings!$E$12:$E$21,MATCH($B252,Settings!$B$12:$B$21,0))="Gross margin",N($F252),N($E252)),""))</f>
        <v/>
      </c>
      <c r="M252" s="29" t="str">
        <f aca="false">IF(AND($G252="Cancelled",$H252="Yes",$I252&lt;&gt;""),IF(YEAR($I252)=Settings!$C$4,MONTH($I252),""),"")</f>
        <v/>
      </c>
      <c r="N252" s="31" t="str">
        <f aca="false">IF($M252="","",IFERROR(IF($J252="",IF(INDEX(Settings!$D$12:$D$21,MATCH($B252,Settings!$B$12:$B$21,0))="Tiered",INDEX(Settings!$I$12:$I$21,MATCH($B252,Settings!$B$12:$B$21,0)),INDEX(Settings!$G$12:$G$21,MATCH($B252,Settings!$B$12:$B$21,0))),INDEX(Calculation!$U$6:$U$125,(MATCH($B252,Settings!$B$12:$B$21,0)-1)*12+$J252)),0))</f>
        <v/>
      </c>
      <c r="O252" s="30" t="n">
        <f aca="false">IF($M252="",0,N($L252)*N($N252))</f>
        <v>0</v>
      </c>
      <c r="P252" s="29" t="n">
        <f aca="false">IF(AND($B252&lt;&gt;"",$B252=Statement!$C$6,$J252=Statement!$C$8,$K252=1),1,0)</f>
        <v>0</v>
      </c>
      <c r="Q252" s="29" t="str">
        <f aca="false">IF($P252=1,SUM($P$5:$P252),"")</f>
        <v/>
      </c>
      <c r="R252" s="29" t="n">
        <f aca="false">IF(AND($B252&lt;&gt;"",$B252=Statement!$C$6,$M252=Statement!$C$8),1,0)</f>
        <v>0</v>
      </c>
      <c r="S252" s="29" t="str">
        <f aca="false">IF($R252=1,SUM($R$5:$R252),"")</f>
        <v/>
      </c>
    </row>
    <row r="253" customFormat="false" ht="15" hidden="false" customHeight="false" outlineLevel="0" collapsed="false">
      <c r="A253" s="28"/>
      <c r="B253" s="10"/>
      <c r="C253" s="10"/>
      <c r="D253" s="10"/>
      <c r="E253" s="23"/>
      <c r="F253" s="23"/>
      <c r="G253" s="10"/>
      <c r="H253" s="10"/>
      <c r="I253" s="28"/>
      <c r="J253" s="29" t="str">
        <f aca="false">IF(OR($A253="",$B253=""),"",IF(YEAR($A253)=Settings!$C$4,MONTH($A253),""))</f>
        <v/>
      </c>
      <c r="K253" s="29" t="str">
        <f aca="false">IF($A253="","",IF(OR($J253="",$B253=""),0,IF(OR($G253="Won",$H253="Yes"),1,0)))</f>
        <v/>
      </c>
      <c r="L253" s="30" t="str">
        <f aca="false">IF($B253="","",IFERROR(IF(INDEX(Settings!$E$12:$E$21,MATCH($B253,Settings!$B$12:$B$21,0))="Gross margin",N($F253),N($E253)),""))</f>
        <v/>
      </c>
      <c r="M253" s="29" t="str">
        <f aca="false">IF(AND($G253="Cancelled",$H253="Yes",$I253&lt;&gt;""),IF(YEAR($I253)=Settings!$C$4,MONTH($I253),""),"")</f>
        <v/>
      </c>
      <c r="N253" s="31" t="str">
        <f aca="false">IF($M253="","",IFERROR(IF($J253="",IF(INDEX(Settings!$D$12:$D$21,MATCH($B253,Settings!$B$12:$B$21,0))="Tiered",INDEX(Settings!$I$12:$I$21,MATCH($B253,Settings!$B$12:$B$21,0)),INDEX(Settings!$G$12:$G$21,MATCH($B253,Settings!$B$12:$B$21,0))),INDEX(Calculation!$U$6:$U$125,(MATCH($B253,Settings!$B$12:$B$21,0)-1)*12+$J253)),0))</f>
        <v/>
      </c>
      <c r="O253" s="30" t="n">
        <f aca="false">IF($M253="",0,N($L253)*N($N253))</f>
        <v>0</v>
      </c>
      <c r="P253" s="29" t="n">
        <f aca="false">IF(AND($B253&lt;&gt;"",$B253=Statement!$C$6,$J253=Statement!$C$8,$K253=1),1,0)</f>
        <v>0</v>
      </c>
      <c r="Q253" s="29" t="str">
        <f aca="false">IF($P253=1,SUM($P$5:$P253),"")</f>
        <v/>
      </c>
      <c r="R253" s="29" t="n">
        <f aca="false">IF(AND($B253&lt;&gt;"",$B253=Statement!$C$6,$M253=Statement!$C$8),1,0)</f>
        <v>0</v>
      </c>
      <c r="S253" s="29" t="str">
        <f aca="false">IF($R253=1,SUM($R$5:$R253),"")</f>
        <v/>
      </c>
    </row>
    <row r="254" customFormat="false" ht="15" hidden="false" customHeight="false" outlineLevel="0" collapsed="false">
      <c r="A254" s="28"/>
      <c r="B254" s="10"/>
      <c r="C254" s="10"/>
      <c r="D254" s="10"/>
      <c r="E254" s="23"/>
      <c r="F254" s="23"/>
      <c r="G254" s="10"/>
      <c r="H254" s="10"/>
      <c r="I254" s="28"/>
      <c r="J254" s="29" t="str">
        <f aca="false">IF(OR($A254="",$B254=""),"",IF(YEAR($A254)=Settings!$C$4,MONTH($A254),""))</f>
        <v/>
      </c>
      <c r="K254" s="29" t="str">
        <f aca="false">IF($A254="","",IF(OR($J254="",$B254=""),0,IF(OR($G254="Won",$H254="Yes"),1,0)))</f>
        <v/>
      </c>
      <c r="L254" s="30" t="str">
        <f aca="false">IF($B254="","",IFERROR(IF(INDEX(Settings!$E$12:$E$21,MATCH($B254,Settings!$B$12:$B$21,0))="Gross margin",N($F254),N($E254)),""))</f>
        <v/>
      </c>
      <c r="M254" s="29" t="str">
        <f aca="false">IF(AND($G254="Cancelled",$H254="Yes",$I254&lt;&gt;""),IF(YEAR($I254)=Settings!$C$4,MONTH($I254),""),"")</f>
        <v/>
      </c>
      <c r="N254" s="31" t="str">
        <f aca="false">IF($M254="","",IFERROR(IF($J254="",IF(INDEX(Settings!$D$12:$D$21,MATCH($B254,Settings!$B$12:$B$21,0))="Tiered",INDEX(Settings!$I$12:$I$21,MATCH($B254,Settings!$B$12:$B$21,0)),INDEX(Settings!$G$12:$G$21,MATCH($B254,Settings!$B$12:$B$21,0))),INDEX(Calculation!$U$6:$U$125,(MATCH($B254,Settings!$B$12:$B$21,0)-1)*12+$J254)),0))</f>
        <v/>
      </c>
      <c r="O254" s="30" t="n">
        <f aca="false">IF($M254="",0,N($L254)*N($N254))</f>
        <v>0</v>
      </c>
      <c r="P254" s="29" t="n">
        <f aca="false">IF(AND($B254&lt;&gt;"",$B254=Statement!$C$6,$J254=Statement!$C$8,$K254=1),1,0)</f>
        <v>0</v>
      </c>
      <c r="Q254" s="29" t="str">
        <f aca="false">IF($P254=1,SUM($P$5:$P254),"")</f>
        <v/>
      </c>
      <c r="R254" s="29" t="n">
        <f aca="false">IF(AND($B254&lt;&gt;"",$B254=Statement!$C$6,$M254=Statement!$C$8),1,0)</f>
        <v>0</v>
      </c>
      <c r="S254" s="29" t="str">
        <f aca="false">IF($R254=1,SUM($R$5:$R254),"")</f>
        <v/>
      </c>
    </row>
    <row r="255" customFormat="false" ht="15" hidden="false" customHeight="false" outlineLevel="0" collapsed="false">
      <c r="A255" s="28"/>
      <c r="B255" s="10"/>
      <c r="C255" s="10"/>
      <c r="D255" s="10"/>
      <c r="E255" s="23"/>
      <c r="F255" s="23"/>
      <c r="G255" s="10"/>
      <c r="H255" s="10"/>
      <c r="I255" s="28"/>
      <c r="J255" s="29" t="str">
        <f aca="false">IF(OR($A255="",$B255=""),"",IF(YEAR($A255)=Settings!$C$4,MONTH($A255),""))</f>
        <v/>
      </c>
      <c r="K255" s="29" t="str">
        <f aca="false">IF($A255="","",IF(OR($J255="",$B255=""),0,IF(OR($G255="Won",$H255="Yes"),1,0)))</f>
        <v/>
      </c>
      <c r="L255" s="30" t="str">
        <f aca="false">IF($B255="","",IFERROR(IF(INDEX(Settings!$E$12:$E$21,MATCH($B255,Settings!$B$12:$B$21,0))="Gross margin",N($F255),N($E255)),""))</f>
        <v/>
      </c>
      <c r="M255" s="29" t="str">
        <f aca="false">IF(AND($G255="Cancelled",$H255="Yes",$I255&lt;&gt;""),IF(YEAR($I255)=Settings!$C$4,MONTH($I255),""),"")</f>
        <v/>
      </c>
      <c r="N255" s="31" t="str">
        <f aca="false">IF($M255="","",IFERROR(IF($J255="",IF(INDEX(Settings!$D$12:$D$21,MATCH($B255,Settings!$B$12:$B$21,0))="Tiered",INDEX(Settings!$I$12:$I$21,MATCH($B255,Settings!$B$12:$B$21,0)),INDEX(Settings!$G$12:$G$21,MATCH($B255,Settings!$B$12:$B$21,0))),INDEX(Calculation!$U$6:$U$125,(MATCH($B255,Settings!$B$12:$B$21,0)-1)*12+$J255)),0))</f>
        <v/>
      </c>
      <c r="O255" s="30" t="n">
        <f aca="false">IF($M255="",0,N($L255)*N($N255))</f>
        <v>0</v>
      </c>
      <c r="P255" s="29" t="n">
        <f aca="false">IF(AND($B255&lt;&gt;"",$B255=Statement!$C$6,$J255=Statement!$C$8,$K255=1),1,0)</f>
        <v>0</v>
      </c>
      <c r="Q255" s="29" t="str">
        <f aca="false">IF($P255=1,SUM($P$5:$P255),"")</f>
        <v/>
      </c>
      <c r="R255" s="29" t="n">
        <f aca="false">IF(AND($B255&lt;&gt;"",$B255=Statement!$C$6,$M255=Statement!$C$8),1,0)</f>
        <v>0</v>
      </c>
      <c r="S255" s="29" t="str">
        <f aca="false">IF($R255=1,SUM($R$5:$R255),"")</f>
        <v/>
      </c>
    </row>
    <row r="256" customFormat="false" ht="15" hidden="false" customHeight="false" outlineLevel="0" collapsed="false">
      <c r="A256" s="28"/>
      <c r="B256" s="10"/>
      <c r="C256" s="10"/>
      <c r="D256" s="10"/>
      <c r="E256" s="23"/>
      <c r="F256" s="23"/>
      <c r="G256" s="10"/>
      <c r="H256" s="10"/>
      <c r="I256" s="28"/>
      <c r="J256" s="29" t="str">
        <f aca="false">IF(OR($A256="",$B256=""),"",IF(YEAR($A256)=Settings!$C$4,MONTH($A256),""))</f>
        <v/>
      </c>
      <c r="K256" s="29" t="str">
        <f aca="false">IF($A256="","",IF(OR($J256="",$B256=""),0,IF(OR($G256="Won",$H256="Yes"),1,0)))</f>
        <v/>
      </c>
      <c r="L256" s="30" t="str">
        <f aca="false">IF($B256="","",IFERROR(IF(INDEX(Settings!$E$12:$E$21,MATCH($B256,Settings!$B$12:$B$21,0))="Gross margin",N($F256),N($E256)),""))</f>
        <v/>
      </c>
      <c r="M256" s="29" t="str">
        <f aca="false">IF(AND($G256="Cancelled",$H256="Yes",$I256&lt;&gt;""),IF(YEAR($I256)=Settings!$C$4,MONTH($I256),""),"")</f>
        <v/>
      </c>
      <c r="N256" s="31" t="str">
        <f aca="false">IF($M256="","",IFERROR(IF($J256="",IF(INDEX(Settings!$D$12:$D$21,MATCH($B256,Settings!$B$12:$B$21,0))="Tiered",INDEX(Settings!$I$12:$I$21,MATCH($B256,Settings!$B$12:$B$21,0)),INDEX(Settings!$G$12:$G$21,MATCH($B256,Settings!$B$12:$B$21,0))),INDEX(Calculation!$U$6:$U$125,(MATCH($B256,Settings!$B$12:$B$21,0)-1)*12+$J256)),0))</f>
        <v/>
      </c>
      <c r="O256" s="30" t="n">
        <f aca="false">IF($M256="",0,N($L256)*N($N256))</f>
        <v>0</v>
      </c>
      <c r="P256" s="29" t="n">
        <f aca="false">IF(AND($B256&lt;&gt;"",$B256=Statement!$C$6,$J256=Statement!$C$8,$K256=1),1,0)</f>
        <v>0</v>
      </c>
      <c r="Q256" s="29" t="str">
        <f aca="false">IF($P256=1,SUM($P$5:$P256),"")</f>
        <v/>
      </c>
      <c r="R256" s="29" t="n">
        <f aca="false">IF(AND($B256&lt;&gt;"",$B256=Statement!$C$6,$M256=Statement!$C$8),1,0)</f>
        <v>0</v>
      </c>
      <c r="S256" s="29" t="str">
        <f aca="false">IF($R256=1,SUM($R$5:$R256),"")</f>
        <v/>
      </c>
    </row>
    <row r="257" customFormat="false" ht="15" hidden="false" customHeight="false" outlineLevel="0" collapsed="false">
      <c r="A257" s="28"/>
      <c r="B257" s="10"/>
      <c r="C257" s="10"/>
      <c r="D257" s="10"/>
      <c r="E257" s="23"/>
      <c r="F257" s="23"/>
      <c r="G257" s="10"/>
      <c r="H257" s="10"/>
      <c r="I257" s="28"/>
      <c r="J257" s="29" t="str">
        <f aca="false">IF(OR($A257="",$B257=""),"",IF(YEAR($A257)=Settings!$C$4,MONTH($A257),""))</f>
        <v/>
      </c>
      <c r="K257" s="29" t="str">
        <f aca="false">IF($A257="","",IF(OR($J257="",$B257=""),0,IF(OR($G257="Won",$H257="Yes"),1,0)))</f>
        <v/>
      </c>
      <c r="L257" s="30" t="str">
        <f aca="false">IF($B257="","",IFERROR(IF(INDEX(Settings!$E$12:$E$21,MATCH($B257,Settings!$B$12:$B$21,0))="Gross margin",N($F257),N($E257)),""))</f>
        <v/>
      </c>
      <c r="M257" s="29" t="str">
        <f aca="false">IF(AND($G257="Cancelled",$H257="Yes",$I257&lt;&gt;""),IF(YEAR($I257)=Settings!$C$4,MONTH($I257),""),"")</f>
        <v/>
      </c>
      <c r="N257" s="31" t="str">
        <f aca="false">IF($M257="","",IFERROR(IF($J257="",IF(INDEX(Settings!$D$12:$D$21,MATCH($B257,Settings!$B$12:$B$21,0))="Tiered",INDEX(Settings!$I$12:$I$21,MATCH($B257,Settings!$B$12:$B$21,0)),INDEX(Settings!$G$12:$G$21,MATCH($B257,Settings!$B$12:$B$21,0))),INDEX(Calculation!$U$6:$U$125,(MATCH($B257,Settings!$B$12:$B$21,0)-1)*12+$J257)),0))</f>
        <v/>
      </c>
      <c r="O257" s="30" t="n">
        <f aca="false">IF($M257="",0,N($L257)*N($N257))</f>
        <v>0</v>
      </c>
      <c r="P257" s="29" t="n">
        <f aca="false">IF(AND($B257&lt;&gt;"",$B257=Statement!$C$6,$J257=Statement!$C$8,$K257=1),1,0)</f>
        <v>0</v>
      </c>
      <c r="Q257" s="29" t="str">
        <f aca="false">IF($P257=1,SUM($P$5:$P257),"")</f>
        <v/>
      </c>
      <c r="R257" s="29" t="n">
        <f aca="false">IF(AND($B257&lt;&gt;"",$B257=Statement!$C$6,$M257=Statement!$C$8),1,0)</f>
        <v>0</v>
      </c>
      <c r="S257" s="29" t="str">
        <f aca="false">IF($R257=1,SUM($R$5:$R257),"")</f>
        <v/>
      </c>
    </row>
    <row r="258" customFormat="false" ht="15" hidden="false" customHeight="false" outlineLevel="0" collapsed="false">
      <c r="A258" s="28"/>
      <c r="B258" s="10"/>
      <c r="C258" s="10"/>
      <c r="D258" s="10"/>
      <c r="E258" s="23"/>
      <c r="F258" s="23"/>
      <c r="G258" s="10"/>
      <c r="H258" s="10"/>
      <c r="I258" s="28"/>
      <c r="J258" s="29" t="str">
        <f aca="false">IF(OR($A258="",$B258=""),"",IF(YEAR($A258)=Settings!$C$4,MONTH($A258),""))</f>
        <v/>
      </c>
      <c r="K258" s="29" t="str">
        <f aca="false">IF($A258="","",IF(OR($J258="",$B258=""),0,IF(OR($G258="Won",$H258="Yes"),1,0)))</f>
        <v/>
      </c>
      <c r="L258" s="30" t="str">
        <f aca="false">IF($B258="","",IFERROR(IF(INDEX(Settings!$E$12:$E$21,MATCH($B258,Settings!$B$12:$B$21,0))="Gross margin",N($F258),N($E258)),""))</f>
        <v/>
      </c>
      <c r="M258" s="29" t="str">
        <f aca="false">IF(AND($G258="Cancelled",$H258="Yes",$I258&lt;&gt;""),IF(YEAR($I258)=Settings!$C$4,MONTH($I258),""),"")</f>
        <v/>
      </c>
      <c r="N258" s="31" t="str">
        <f aca="false">IF($M258="","",IFERROR(IF($J258="",IF(INDEX(Settings!$D$12:$D$21,MATCH($B258,Settings!$B$12:$B$21,0))="Tiered",INDEX(Settings!$I$12:$I$21,MATCH($B258,Settings!$B$12:$B$21,0)),INDEX(Settings!$G$12:$G$21,MATCH($B258,Settings!$B$12:$B$21,0))),INDEX(Calculation!$U$6:$U$125,(MATCH($B258,Settings!$B$12:$B$21,0)-1)*12+$J258)),0))</f>
        <v/>
      </c>
      <c r="O258" s="30" t="n">
        <f aca="false">IF($M258="",0,N($L258)*N($N258))</f>
        <v>0</v>
      </c>
      <c r="P258" s="29" t="n">
        <f aca="false">IF(AND($B258&lt;&gt;"",$B258=Statement!$C$6,$J258=Statement!$C$8,$K258=1),1,0)</f>
        <v>0</v>
      </c>
      <c r="Q258" s="29" t="str">
        <f aca="false">IF($P258=1,SUM($P$5:$P258),"")</f>
        <v/>
      </c>
      <c r="R258" s="29" t="n">
        <f aca="false">IF(AND($B258&lt;&gt;"",$B258=Statement!$C$6,$M258=Statement!$C$8),1,0)</f>
        <v>0</v>
      </c>
      <c r="S258" s="29" t="str">
        <f aca="false">IF($R258=1,SUM($R$5:$R258),"")</f>
        <v/>
      </c>
    </row>
    <row r="259" customFormat="false" ht="15" hidden="false" customHeight="false" outlineLevel="0" collapsed="false">
      <c r="A259" s="28"/>
      <c r="B259" s="10"/>
      <c r="C259" s="10"/>
      <c r="D259" s="10"/>
      <c r="E259" s="23"/>
      <c r="F259" s="23"/>
      <c r="G259" s="10"/>
      <c r="H259" s="10"/>
      <c r="I259" s="28"/>
      <c r="J259" s="29" t="str">
        <f aca="false">IF(OR($A259="",$B259=""),"",IF(YEAR($A259)=Settings!$C$4,MONTH($A259),""))</f>
        <v/>
      </c>
      <c r="K259" s="29" t="str">
        <f aca="false">IF($A259="","",IF(OR($J259="",$B259=""),0,IF(OR($G259="Won",$H259="Yes"),1,0)))</f>
        <v/>
      </c>
      <c r="L259" s="30" t="str">
        <f aca="false">IF($B259="","",IFERROR(IF(INDEX(Settings!$E$12:$E$21,MATCH($B259,Settings!$B$12:$B$21,0))="Gross margin",N($F259),N($E259)),""))</f>
        <v/>
      </c>
      <c r="M259" s="29" t="str">
        <f aca="false">IF(AND($G259="Cancelled",$H259="Yes",$I259&lt;&gt;""),IF(YEAR($I259)=Settings!$C$4,MONTH($I259),""),"")</f>
        <v/>
      </c>
      <c r="N259" s="31" t="str">
        <f aca="false">IF($M259="","",IFERROR(IF($J259="",IF(INDEX(Settings!$D$12:$D$21,MATCH($B259,Settings!$B$12:$B$21,0))="Tiered",INDEX(Settings!$I$12:$I$21,MATCH($B259,Settings!$B$12:$B$21,0)),INDEX(Settings!$G$12:$G$21,MATCH($B259,Settings!$B$12:$B$21,0))),INDEX(Calculation!$U$6:$U$125,(MATCH($B259,Settings!$B$12:$B$21,0)-1)*12+$J259)),0))</f>
        <v/>
      </c>
      <c r="O259" s="30" t="n">
        <f aca="false">IF($M259="",0,N($L259)*N($N259))</f>
        <v>0</v>
      </c>
      <c r="P259" s="29" t="n">
        <f aca="false">IF(AND($B259&lt;&gt;"",$B259=Statement!$C$6,$J259=Statement!$C$8,$K259=1),1,0)</f>
        <v>0</v>
      </c>
      <c r="Q259" s="29" t="str">
        <f aca="false">IF($P259=1,SUM($P$5:$P259),"")</f>
        <v/>
      </c>
      <c r="R259" s="29" t="n">
        <f aca="false">IF(AND($B259&lt;&gt;"",$B259=Statement!$C$6,$M259=Statement!$C$8),1,0)</f>
        <v>0</v>
      </c>
      <c r="S259" s="29" t="str">
        <f aca="false">IF($R259=1,SUM($R$5:$R259),"")</f>
        <v/>
      </c>
    </row>
    <row r="260" customFormat="false" ht="15" hidden="false" customHeight="false" outlineLevel="0" collapsed="false">
      <c r="A260" s="28"/>
      <c r="B260" s="10"/>
      <c r="C260" s="10"/>
      <c r="D260" s="10"/>
      <c r="E260" s="23"/>
      <c r="F260" s="23"/>
      <c r="G260" s="10"/>
      <c r="H260" s="10"/>
      <c r="I260" s="28"/>
      <c r="J260" s="29" t="str">
        <f aca="false">IF(OR($A260="",$B260=""),"",IF(YEAR($A260)=Settings!$C$4,MONTH($A260),""))</f>
        <v/>
      </c>
      <c r="K260" s="29" t="str">
        <f aca="false">IF($A260="","",IF(OR($J260="",$B260=""),0,IF(OR($G260="Won",$H260="Yes"),1,0)))</f>
        <v/>
      </c>
      <c r="L260" s="30" t="str">
        <f aca="false">IF($B260="","",IFERROR(IF(INDEX(Settings!$E$12:$E$21,MATCH($B260,Settings!$B$12:$B$21,0))="Gross margin",N($F260),N($E260)),""))</f>
        <v/>
      </c>
      <c r="M260" s="29" t="str">
        <f aca="false">IF(AND($G260="Cancelled",$H260="Yes",$I260&lt;&gt;""),IF(YEAR($I260)=Settings!$C$4,MONTH($I260),""),"")</f>
        <v/>
      </c>
      <c r="N260" s="31" t="str">
        <f aca="false">IF($M260="","",IFERROR(IF($J260="",IF(INDEX(Settings!$D$12:$D$21,MATCH($B260,Settings!$B$12:$B$21,0))="Tiered",INDEX(Settings!$I$12:$I$21,MATCH($B260,Settings!$B$12:$B$21,0)),INDEX(Settings!$G$12:$G$21,MATCH($B260,Settings!$B$12:$B$21,0))),INDEX(Calculation!$U$6:$U$125,(MATCH($B260,Settings!$B$12:$B$21,0)-1)*12+$J260)),0))</f>
        <v/>
      </c>
      <c r="O260" s="30" t="n">
        <f aca="false">IF($M260="",0,N($L260)*N($N260))</f>
        <v>0</v>
      </c>
      <c r="P260" s="29" t="n">
        <f aca="false">IF(AND($B260&lt;&gt;"",$B260=Statement!$C$6,$J260=Statement!$C$8,$K260=1),1,0)</f>
        <v>0</v>
      </c>
      <c r="Q260" s="29" t="str">
        <f aca="false">IF($P260=1,SUM($P$5:$P260),"")</f>
        <v/>
      </c>
      <c r="R260" s="29" t="n">
        <f aca="false">IF(AND($B260&lt;&gt;"",$B260=Statement!$C$6,$M260=Statement!$C$8),1,0)</f>
        <v>0</v>
      </c>
      <c r="S260" s="29" t="str">
        <f aca="false">IF($R260=1,SUM($R$5:$R260),"")</f>
        <v/>
      </c>
    </row>
    <row r="261" customFormat="false" ht="15" hidden="false" customHeight="false" outlineLevel="0" collapsed="false">
      <c r="A261" s="28"/>
      <c r="B261" s="10"/>
      <c r="C261" s="10"/>
      <c r="D261" s="10"/>
      <c r="E261" s="23"/>
      <c r="F261" s="23"/>
      <c r="G261" s="10"/>
      <c r="H261" s="10"/>
      <c r="I261" s="28"/>
      <c r="J261" s="29" t="str">
        <f aca="false">IF(OR($A261="",$B261=""),"",IF(YEAR($A261)=Settings!$C$4,MONTH($A261),""))</f>
        <v/>
      </c>
      <c r="K261" s="29" t="str">
        <f aca="false">IF($A261="","",IF(OR($J261="",$B261=""),0,IF(OR($G261="Won",$H261="Yes"),1,0)))</f>
        <v/>
      </c>
      <c r="L261" s="30" t="str">
        <f aca="false">IF($B261="","",IFERROR(IF(INDEX(Settings!$E$12:$E$21,MATCH($B261,Settings!$B$12:$B$21,0))="Gross margin",N($F261),N($E261)),""))</f>
        <v/>
      </c>
      <c r="M261" s="29" t="str">
        <f aca="false">IF(AND($G261="Cancelled",$H261="Yes",$I261&lt;&gt;""),IF(YEAR($I261)=Settings!$C$4,MONTH($I261),""),"")</f>
        <v/>
      </c>
      <c r="N261" s="31" t="str">
        <f aca="false">IF($M261="","",IFERROR(IF($J261="",IF(INDEX(Settings!$D$12:$D$21,MATCH($B261,Settings!$B$12:$B$21,0))="Tiered",INDEX(Settings!$I$12:$I$21,MATCH($B261,Settings!$B$12:$B$21,0)),INDEX(Settings!$G$12:$G$21,MATCH($B261,Settings!$B$12:$B$21,0))),INDEX(Calculation!$U$6:$U$125,(MATCH($B261,Settings!$B$12:$B$21,0)-1)*12+$J261)),0))</f>
        <v/>
      </c>
      <c r="O261" s="30" t="n">
        <f aca="false">IF($M261="",0,N($L261)*N($N261))</f>
        <v>0</v>
      </c>
      <c r="P261" s="29" t="n">
        <f aca="false">IF(AND($B261&lt;&gt;"",$B261=Statement!$C$6,$J261=Statement!$C$8,$K261=1),1,0)</f>
        <v>0</v>
      </c>
      <c r="Q261" s="29" t="str">
        <f aca="false">IF($P261=1,SUM($P$5:$P261),"")</f>
        <v/>
      </c>
      <c r="R261" s="29" t="n">
        <f aca="false">IF(AND($B261&lt;&gt;"",$B261=Statement!$C$6,$M261=Statement!$C$8),1,0)</f>
        <v>0</v>
      </c>
      <c r="S261" s="29" t="str">
        <f aca="false">IF($R261=1,SUM($R$5:$R261),"")</f>
        <v/>
      </c>
    </row>
    <row r="262" customFormat="false" ht="15" hidden="false" customHeight="false" outlineLevel="0" collapsed="false">
      <c r="A262" s="28"/>
      <c r="B262" s="10"/>
      <c r="C262" s="10"/>
      <c r="D262" s="10"/>
      <c r="E262" s="23"/>
      <c r="F262" s="23"/>
      <c r="G262" s="10"/>
      <c r="H262" s="10"/>
      <c r="I262" s="28"/>
      <c r="J262" s="29" t="str">
        <f aca="false">IF(OR($A262="",$B262=""),"",IF(YEAR($A262)=Settings!$C$4,MONTH($A262),""))</f>
        <v/>
      </c>
      <c r="K262" s="29" t="str">
        <f aca="false">IF($A262="","",IF(OR($J262="",$B262=""),0,IF(OR($G262="Won",$H262="Yes"),1,0)))</f>
        <v/>
      </c>
      <c r="L262" s="30" t="str">
        <f aca="false">IF($B262="","",IFERROR(IF(INDEX(Settings!$E$12:$E$21,MATCH($B262,Settings!$B$12:$B$21,0))="Gross margin",N($F262),N($E262)),""))</f>
        <v/>
      </c>
      <c r="M262" s="29" t="str">
        <f aca="false">IF(AND($G262="Cancelled",$H262="Yes",$I262&lt;&gt;""),IF(YEAR($I262)=Settings!$C$4,MONTH($I262),""),"")</f>
        <v/>
      </c>
      <c r="N262" s="31" t="str">
        <f aca="false">IF($M262="","",IFERROR(IF($J262="",IF(INDEX(Settings!$D$12:$D$21,MATCH($B262,Settings!$B$12:$B$21,0))="Tiered",INDEX(Settings!$I$12:$I$21,MATCH($B262,Settings!$B$12:$B$21,0)),INDEX(Settings!$G$12:$G$21,MATCH($B262,Settings!$B$12:$B$21,0))),INDEX(Calculation!$U$6:$U$125,(MATCH($B262,Settings!$B$12:$B$21,0)-1)*12+$J262)),0))</f>
        <v/>
      </c>
      <c r="O262" s="30" t="n">
        <f aca="false">IF($M262="",0,N($L262)*N($N262))</f>
        <v>0</v>
      </c>
      <c r="P262" s="29" t="n">
        <f aca="false">IF(AND($B262&lt;&gt;"",$B262=Statement!$C$6,$J262=Statement!$C$8,$K262=1),1,0)</f>
        <v>0</v>
      </c>
      <c r="Q262" s="29" t="str">
        <f aca="false">IF($P262=1,SUM($P$5:$P262),"")</f>
        <v/>
      </c>
      <c r="R262" s="29" t="n">
        <f aca="false">IF(AND($B262&lt;&gt;"",$B262=Statement!$C$6,$M262=Statement!$C$8),1,0)</f>
        <v>0</v>
      </c>
      <c r="S262" s="29" t="str">
        <f aca="false">IF($R262=1,SUM($R$5:$R262),"")</f>
        <v/>
      </c>
    </row>
    <row r="263" customFormat="false" ht="15" hidden="false" customHeight="false" outlineLevel="0" collapsed="false">
      <c r="A263" s="28"/>
      <c r="B263" s="10"/>
      <c r="C263" s="10"/>
      <c r="D263" s="10"/>
      <c r="E263" s="23"/>
      <c r="F263" s="23"/>
      <c r="G263" s="10"/>
      <c r="H263" s="10"/>
      <c r="I263" s="28"/>
      <c r="J263" s="29" t="str">
        <f aca="false">IF(OR($A263="",$B263=""),"",IF(YEAR($A263)=Settings!$C$4,MONTH($A263),""))</f>
        <v/>
      </c>
      <c r="K263" s="29" t="str">
        <f aca="false">IF($A263="","",IF(OR($J263="",$B263=""),0,IF(OR($G263="Won",$H263="Yes"),1,0)))</f>
        <v/>
      </c>
      <c r="L263" s="30" t="str">
        <f aca="false">IF($B263="","",IFERROR(IF(INDEX(Settings!$E$12:$E$21,MATCH($B263,Settings!$B$12:$B$21,0))="Gross margin",N($F263),N($E263)),""))</f>
        <v/>
      </c>
      <c r="M263" s="29" t="str">
        <f aca="false">IF(AND($G263="Cancelled",$H263="Yes",$I263&lt;&gt;""),IF(YEAR($I263)=Settings!$C$4,MONTH($I263),""),"")</f>
        <v/>
      </c>
      <c r="N263" s="31" t="str">
        <f aca="false">IF($M263="","",IFERROR(IF($J263="",IF(INDEX(Settings!$D$12:$D$21,MATCH($B263,Settings!$B$12:$B$21,0))="Tiered",INDEX(Settings!$I$12:$I$21,MATCH($B263,Settings!$B$12:$B$21,0)),INDEX(Settings!$G$12:$G$21,MATCH($B263,Settings!$B$12:$B$21,0))),INDEX(Calculation!$U$6:$U$125,(MATCH($B263,Settings!$B$12:$B$21,0)-1)*12+$J263)),0))</f>
        <v/>
      </c>
      <c r="O263" s="30" t="n">
        <f aca="false">IF($M263="",0,N($L263)*N($N263))</f>
        <v>0</v>
      </c>
      <c r="P263" s="29" t="n">
        <f aca="false">IF(AND($B263&lt;&gt;"",$B263=Statement!$C$6,$J263=Statement!$C$8,$K263=1),1,0)</f>
        <v>0</v>
      </c>
      <c r="Q263" s="29" t="str">
        <f aca="false">IF($P263=1,SUM($P$5:$P263),"")</f>
        <v/>
      </c>
      <c r="R263" s="29" t="n">
        <f aca="false">IF(AND($B263&lt;&gt;"",$B263=Statement!$C$6,$M263=Statement!$C$8),1,0)</f>
        <v>0</v>
      </c>
      <c r="S263" s="29" t="str">
        <f aca="false">IF($R263=1,SUM($R$5:$R263),"")</f>
        <v/>
      </c>
    </row>
    <row r="264" customFormat="false" ht="15" hidden="false" customHeight="false" outlineLevel="0" collapsed="false">
      <c r="A264" s="28"/>
      <c r="B264" s="10"/>
      <c r="C264" s="10"/>
      <c r="D264" s="10"/>
      <c r="E264" s="23"/>
      <c r="F264" s="23"/>
      <c r="G264" s="10"/>
      <c r="H264" s="10"/>
      <c r="I264" s="28"/>
      <c r="J264" s="29" t="str">
        <f aca="false">IF(OR($A264="",$B264=""),"",IF(YEAR($A264)=Settings!$C$4,MONTH($A264),""))</f>
        <v/>
      </c>
      <c r="K264" s="29" t="str">
        <f aca="false">IF($A264="","",IF(OR($J264="",$B264=""),0,IF(OR($G264="Won",$H264="Yes"),1,0)))</f>
        <v/>
      </c>
      <c r="L264" s="30" t="str">
        <f aca="false">IF($B264="","",IFERROR(IF(INDEX(Settings!$E$12:$E$21,MATCH($B264,Settings!$B$12:$B$21,0))="Gross margin",N($F264),N($E264)),""))</f>
        <v/>
      </c>
      <c r="M264" s="29" t="str">
        <f aca="false">IF(AND($G264="Cancelled",$H264="Yes",$I264&lt;&gt;""),IF(YEAR($I264)=Settings!$C$4,MONTH($I264),""),"")</f>
        <v/>
      </c>
      <c r="N264" s="31" t="str">
        <f aca="false">IF($M264="","",IFERROR(IF($J264="",IF(INDEX(Settings!$D$12:$D$21,MATCH($B264,Settings!$B$12:$B$21,0))="Tiered",INDEX(Settings!$I$12:$I$21,MATCH($B264,Settings!$B$12:$B$21,0)),INDEX(Settings!$G$12:$G$21,MATCH($B264,Settings!$B$12:$B$21,0))),INDEX(Calculation!$U$6:$U$125,(MATCH($B264,Settings!$B$12:$B$21,0)-1)*12+$J264)),0))</f>
        <v/>
      </c>
      <c r="O264" s="30" t="n">
        <f aca="false">IF($M264="",0,N($L264)*N($N264))</f>
        <v>0</v>
      </c>
      <c r="P264" s="29" t="n">
        <f aca="false">IF(AND($B264&lt;&gt;"",$B264=Statement!$C$6,$J264=Statement!$C$8,$K264=1),1,0)</f>
        <v>0</v>
      </c>
      <c r="Q264" s="29" t="str">
        <f aca="false">IF($P264=1,SUM($P$5:$P264),"")</f>
        <v/>
      </c>
      <c r="R264" s="29" t="n">
        <f aca="false">IF(AND($B264&lt;&gt;"",$B264=Statement!$C$6,$M264=Statement!$C$8),1,0)</f>
        <v>0</v>
      </c>
      <c r="S264" s="29" t="str">
        <f aca="false">IF($R264=1,SUM($R$5:$R264),"")</f>
        <v/>
      </c>
    </row>
    <row r="265" customFormat="false" ht="15" hidden="false" customHeight="false" outlineLevel="0" collapsed="false">
      <c r="A265" s="28"/>
      <c r="B265" s="10"/>
      <c r="C265" s="10"/>
      <c r="D265" s="10"/>
      <c r="E265" s="23"/>
      <c r="F265" s="23"/>
      <c r="G265" s="10"/>
      <c r="H265" s="10"/>
      <c r="I265" s="28"/>
      <c r="J265" s="29" t="str">
        <f aca="false">IF(OR($A265="",$B265=""),"",IF(YEAR($A265)=Settings!$C$4,MONTH($A265),""))</f>
        <v/>
      </c>
      <c r="K265" s="29" t="str">
        <f aca="false">IF($A265="","",IF(OR($J265="",$B265=""),0,IF(OR($G265="Won",$H265="Yes"),1,0)))</f>
        <v/>
      </c>
      <c r="L265" s="30" t="str">
        <f aca="false">IF($B265="","",IFERROR(IF(INDEX(Settings!$E$12:$E$21,MATCH($B265,Settings!$B$12:$B$21,0))="Gross margin",N($F265),N($E265)),""))</f>
        <v/>
      </c>
      <c r="M265" s="29" t="str">
        <f aca="false">IF(AND($G265="Cancelled",$H265="Yes",$I265&lt;&gt;""),IF(YEAR($I265)=Settings!$C$4,MONTH($I265),""),"")</f>
        <v/>
      </c>
      <c r="N265" s="31" t="str">
        <f aca="false">IF($M265="","",IFERROR(IF($J265="",IF(INDEX(Settings!$D$12:$D$21,MATCH($B265,Settings!$B$12:$B$21,0))="Tiered",INDEX(Settings!$I$12:$I$21,MATCH($B265,Settings!$B$12:$B$21,0)),INDEX(Settings!$G$12:$G$21,MATCH($B265,Settings!$B$12:$B$21,0))),INDEX(Calculation!$U$6:$U$125,(MATCH($B265,Settings!$B$12:$B$21,0)-1)*12+$J265)),0))</f>
        <v/>
      </c>
      <c r="O265" s="30" t="n">
        <f aca="false">IF($M265="",0,N($L265)*N($N265))</f>
        <v>0</v>
      </c>
      <c r="P265" s="29" t="n">
        <f aca="false">IF(AND($B265&lt;&gt;"",$B265=Statement!$C$6,$J265=Statement!$C$8,$K265=1),1,0)</f>
        <v>0</v>
      </c>
      <c r="Q265" s="29" t="str">
        <f aca="false">IF($P265=1,SUM($P$5:$P265),"")</f>
        <v/>
      </c>
      <c r="R265" s="29" t="n">
        <f aca="false">IF(AND($B265&lt;&gt;"",$B265=Statement!$C$6,$M265=Statement!$C$8),1,0)</f>
        <v>0</v>
      </c>
      <c r="S265" s="29" t="str">
        <f aca="false">IF($R265=1,SUM($R$5:$R265),"")</f>
        <v/>
      </c>
    </row>
    <row r="266" customFormat="false" ht="15" hidden="false" customHeight="false" outlineLevel="0" collapsed="false">
      <c r="A266" s="28"/>
      <c r="B266" s="10"/>
      <c r="C266" s="10"/>
      <c r="D266" s="10"/>
      <c r="E266" s="23"/>
      <c r="F266" s="23"/>
      <c r="G266" s="10"/>
      <c r="H266" s="10"/>
      <c r="I266" s="28"/>
      <c r="J266" s="29" t="str">
        <f aca="false">IF(OR($A266="",$B266=""),"",IF(YEAR($A266)=Settings!$C$4,MONTH($A266),""))</f>
        <v/>
      </c>
      <c r="K266" s="29" t="str">
        <f aca="false">IF($A266="","",IF(OR($J266="",$B266=""),0,IF(OR($G266="Won",$H266="Yes"),1,0)))</f>
        <v/>
      </c>
      <c r="L266" s="30" t="str">
        <f aca="false">IF($B266="","",IFERROR(IF(INDEX(Settings!$E$12:$E$21,MATCH($B266,Settings!$B$12:$B$21,0))="Gross margin",N($F266),N($E266)),""))</f>
        <v/>
      </c>
      <c r="M266" s="29" t="str">
        <f aca="false">IF(AND($G266="Cancelled",$H266="Yes",$I266&lt;&gt;""),IF(YEAR($I266)=Settings!$C$4,MONTH($I266),""),"")</f>
        <v/>
      </c>
      <c r="N266" s="31" t="str">
        <f aca="false">IF($M266="","",IFERROR(IF($J266="",IF(INDEX(Settings!$D$12:$D$21,MATCH($B266,Settings!$B$12:$B$21,0))="Tiered",INDEX(Settings!$I$12:$I$21,MATCH($B266,Settings!$B$12:$B$21,0)),INDEX(Settings!$G$12:$G$21,MATCH($B266,Settings!$B$12:$B$21,0))),INDEX(Calculation!$U$6:$U$125,(MATCH($B266,Settings!$B$12:$B$21,0)-1)*12+$J266)),0))</f>
        <v/>
      </c>
      <c r="O266" s="30" t="n">
        <f aca="false">IF($M266="",0,N($L266)*N($N266))</f>
        <v>0</v>
      </c>
      <c r="P266" s="29" t="n">
        <f aca="false">IF(AND($B266&lt;&gt;"",$B266=Statement!$C$6,$J266=Statement!$C$8,$K266=1),1,0)</f>
        <v>0</v>
      </c>
      <c r="Q266" s="29" t="str">
        <f aca="false">IF($P266=1,SUM($P$5:$P266),"")</f>
        <v/>
      </c>
      <c r="R266" s="29" t="n">
        <f aca="false">IF(AND($B266&lt;&gt;"",$B266=Statement!$C$6,$M266=Statement!$C$8),1,0)</f>
        <v>0</v>
      </c>
      <c r="S266" s="29" t="str">
        <f aca="false">IF($R266=1,SUM($R$5:$R266),"")</f>
        <v/>
      </c>
    </row>
    <row r="267" customFormat="false" ht="15" hidden="false" customHeight="false" outlineLevel="0" collapsed="false">
      <c r="A267" s="28"/>
      <c r="B267" s="10"/>
      <c r="C267" s="10"/>
      <c r="D267" s="10"/>
      <c r="E267" s="23"/>
      <c r="F267" s="23"/>
      <c r="G267" s="10"/>
      <c r="H267" s="10"/>
      <c r="I267" s="28"/>
      <c r="J267" s="29" t="str">
        <f aca="false">IF(OR($A267="",$B267=""),"",IF(YEAR($A267)=Settings!$C$4,MONTH($A267),""))</f>
        <v/>
      </c>
      <c r="K267" s="29" t="str">
        <f aca="false">IF($A267="","",IF(OR($J267="",$B267=""),0,IF(OR($G267="Won",$H267="Yes"),1,0)))</f>
        <v/>
      </c>
      <c r="L267" s="30" t="str">
        <f aca="false">IF($B267="","",IFERROR(IF(INDEX(Settings!$E$12:$E$21,MATCH($B267,Settings!$B$12:$B$21,0))="Gross margin",N($F267),N($E267)),""))</f>
        <v/>
      </c>
      <c r="M267" s="29" t="str">
        <f aca="false">IF(AND($G267="Cancelled",$H267="Yes",$I267&lt;&gt;""),IF(YEAR($I267)=Settings!$C$4,MONTH($I267),""),"")</f>
        <v/>
      </c>
      <c r="N267" s="31" t="str">
        <f aca="false">IF($M267="","",IFERROR(IF($J267="",IF(INDEX(Settings!$D$12:$D$21,MATCH($B267,Settings!$B$12:$B$21,0))="Tiered",INDEX(Settings!$I$12:$I$21,MATCH($B267,Settings!$B$12:$B$21,0)),INDEX(Settings!$G$12:$G$21,MATCH($B267,Settings!$B$12:$B$21,0))),INDEX(Calculation!$U$6:$U$125,(MATCH($B267,Settings!$B$12:$B$21,0)-1)*12+$J267)),0))</f>
        <v/>
      </c>
      <c r="O267" s="30" t="n">
        <f aca="false">IF($M267="",0,N($L267)*N($N267))</f>
        <v>0</v>
      </c>
      <c r="P267" s="29" t="n">
        <f aca="false">IF(AND($B267&lt;&gt;"",$B267=Statement!$C$6,$J267=Statement!$C$8,$K267=1),1,0)</f>
        <v>0</v>
      </c>
      <c r="Q267" s="29" t="str">
        <f aca="false">IF($P267=1,SUM($P$5:$P267),"")</f>
        <v/>
      </c>
      <c r="R267" s="29" t="n">
        <f aca="false">IF(AND($B267&lt;&gt;"",$B267=Statement!$C$6,$M267=Statement!$C$8),1,0)</f>
        <v>0</v>
      </c>
      <c r="S267" s="29" t="str">
        <f aca="false">IF($R267=1,SUM($R$5:$R267),"")</f>
        <v/>
      </c>
    </row>
    <row r="268" customFormat="false" ht="15" hidden="false" customHeight="false" outlineLevel="0" collapsed="false">
      <c r="A268" s="28"/>
      <c r="B268" s="10"/>
      <c r="C268" s="10"/>
      <c r="D268" s="10"/>
      <c r="E268" s="23"/>
      <c r="F268" s="23"/>
      <c r="G268" s="10"/>
      <c r="H268" s="10"/>
      <c r="I268" s="28"/>
      <c r="J268" s="29" t="str">
        <f aca="false">IF(OR($A268="",$B268=""),"",IF(YEAR($A268)=Settings!$C$4,MONTH($A268),""))</f>
        <v/>
      </c>
      <c r="K268" s="29" t="str">
        <f aca="false">IF($A268="","",IF(OR($J268="",$B268=""),0,IF(OR($G268="Won",$H268="Yes"),1,0)))</f>
        <v/>
      </c>
      <c r="L268" s="30" t="str">
        <f aca="false">IF($B268="","",IFERROR(IF(INDEX(Settings!$E$12:$E$21,MATCH($B268,Settings!$B$12:$B$21,0))="Gross margin",N($F268),N($E268)),""))</f>
        <v/>
      </c>
      <c r="M268" s="29" t="str">
        <f aca="false">IF(AND($G268="Cancelled",$H268="Yes",$I268&lt;&gt;""),IF(YEAR($I268)=Settings!$C$4,MONTH($I268),""),"")</f>
        <v/>
      </c>
      <c r="N268" s="31" t="str">
        <f aca="false">IF($M268="","",IFERROR(IF($J268="",IF(INDEX(Settings!$D$12:$D$21,MATCH($B268,Settings!$B$12:$B$21,0))="Tiered",INDEX(Settings!$I$12:$I$21,MATCH($B268,Settings!$B$12:$B$21,0)),INDEX(Settings!$G$12:$G$21,MATCH($B268,Settings!$B$12:$B$21,0))),INDEX(Calculation!$U$6:$U$125,(MATCH($B268,Settings!$B$12:$B$21,0)-1)*12+$J268)),0))</f>
        <v/>
      </c>
      <c r="O268" s="30" t="n">
        <f aca="false">IF($M268="",0,N($L268)*N($N268))</f>
        <v>0</v>
      </c>
      <c r="P268" s="29" t="n">
        <f aca="false">IF(AND($B268&lt;&gt;"",$B268=Statement!$C$6,$J268=Statement!$C$8,$K268=1),1,0)</f>
        <v>0</v>
      </c>
      <c r="Q268" s="29" t="str">
        <f aca="false">IF($P268=1,SUM($P$5:$P268),"")</f>
        <v/>
      </c>
      <c r="R268" s="29" t="n">
        <f aca="false">IF(AND($B268&lt;&gt;"",$B268=Statement!$C$6,$M268=Statement!$C$8),1,0)</f>
        <v>0</v>
      </c>
      <c r="S268" s="29" t="str">
        <f aca="false">IF($R268=1,SUM($R$5:$R268),"")</f>
        <v/>
      </c>
    </row>
    <row r="269" customFormat="false" ht="15" hidden="false" customHeight="false" outlineLevel="0" collapsed="false">
      <c r="A269" s="28"/>
      <c r="B269" s="10"/>
      <c r="C269" s="10"/>
      <c r="D269" s="10"/>
      <c r="E269" s="23"/>
      <c r="F269" s="23"/>
      <c r="G269" s="10"/>
      <c r="H269" s="10"/>
      <c r="I269" s="28"/>
      <c r="J269" s="29" t="str">
        <f aca="false">IF(OR($A269="",$B269=""),"",IF(YEAR($A269)=Settings!$C$4,MONTH($A269),""))</f>
        <v/>
      </c>
      <c r="K269" s="29" t="str">
        <f aca="false">IF($A269="","",IF(OR($J269="",$B269=""),0,IF(OR($G269="Won",$H269="Yes"),1,0)))</f>
        <v/>
      </c>
      <c r="L269" s="30" t="str">
        <f aca="false">IF($B269="","",IFERROR(IF(INDEX(Settings!$E$12:$E$21,MATCH($B269,Settings!$B$12:$B$21,0))="Gross margin",N($F269),N($E269)),""))</f>
        <v/>
      </c>
      <c r="M269" s="29" t="str">
        <f aca="false">IF(AND($G269="Cancelled",$H269="Yes",$I269&lt;&gt;""),IF(YEAR($I269)=Settings!$C$4,MONTH($I269),""),"")</f>
        <v/>
      </c>
      <c r="N269" s="31" t="str">
        <f aca="false">IF($M269="","",IFERROR(IF($J269="",IF(INDEX(Settings!$D$12:$D$21,MATCH($B269,Settings!$B$12:$B$21,0))="Tiered",INDEX(Settings!$I$12:$I$21,MATCH($B269,Settings!$B$12:$B$21,0)),INDEX(Settings!$G$12:$G$21,MATCH($B269,Settings!$B$12:$B$21,0))),INDEX(Calculation!$U$6:$U$125,(MATCH($B269,Settings!$B$12:$B$21,0)-1)*12+$J269)),0))</f>
        <v/>
      </c>
      <c r="O269" s="30" t="n">
        <f aca="false">IF($M269="",0,N($L269)*N($N269))</f>
        <v>0</v>
      </c>
      <c r="P269" s="29" t="n">
        <f aca="false">IF(AND($B269&lt;&gt;"",$B269=Statement!$C$6,$J269=Statement!$C$8,$K269=1),1,0)</f>
        <v>0</v>
      </c>
      <c r="Q269" s="29" t="str">
        <f aca="false">IF($P269=1,SUM($P$5:$P269),"")</f>
        <v/>
      </c>
      <c r="R269" s="29" t="n">
        <f aca="false">IF(AND($B269&lt;&gt;"",$B269=Statement!$C$6,$M269=Statement!$C$8),1,0)</f>
        <v>0</v>
      </c>
      <c r="S269" s="29" t="str">
        <f aca="false">IF($R269=1,SUM($R$5:$R269),"")</f>
        <v/>
      </c>
    </row>
    <row r="270" customFormat="false" ht="15" hidden="false" customHeight="false" outlineLevel="0" collapsed="false">
      <c r="A270" s="28"/>
      <c r="B270" s="10"/>
      <c r="C270" s="10"/>
      <c r="D270" s="10"/>
      <c r="E270" s="23"/>
      <c r="F270" s="23"/>
      <c r="G270" s="10"/>
      <c r="H270" s="10"/>
      <c r="I270" s="28"/>
      <c r="J270" s="29" t="str">
        <f aca="false">IF(OR($A270="",$B270=""),"",IF(YEAR($A270)=Settings!$C$4,MONTH($A270),""))</f>
        <v/>
      </c>
      <c r="K270" s="29" t="str">
        <f aca="false">IF($A270="","",IF(OR($J270="",$B270=""),0,IF(OR($G270="Won",$H270="Yes"),1,0)))</f>
        <v/>
      </c>
      <c r="L270" s="30" t="str">
        <f aca="false">IF($B270="","",IFERROR(IF(INDEX(Settings!$E$12:$E$21,MATCH($B270,Settings!$B$12:$B$21,0))="Gross margin",N($F270),N($E270)),""))</f>
        <v/>
      </c>
      <c r="M270" s="29" t="str">
        <f aca="false">IF(AND($G270="Cancelled",$H270="Yes",$I270&lt;&gt;""),IF(YEAR($I270)=Settings!$C$4,MONTH($I270),""),"")</f>
        <v/>
      </c>
      <c r="N270" s="31" t="str">
        <f aca="false">IF($M270="","",IFERROR(IF($J270="",IF(INDEX(Settings!$D$12:$D$21,MATCH($B270,Settings!$B$12:$B$21,0))="Tiered",INDEX(Settings!$I$12:$I$21,MATCH($B270,Settings!$B$12:$B$21,0)),INDEX(Settings!$G$12:$G$21,MATCH($B270,Settings!$B$12:$B$21,0))),INDEX(Calculation!$U$6:$U$125,(MATCH($B270,Settings!$B$12:$B$21,0)-1)*12+$J270)),0))</f>
        <v/>
      </c>
      <c r="O270" s="30" t="n">
        <f aca="false">IF($M270="",0,N($L270)*N($N270))</f>
        <v>0</v>
      </c>
      <c r="P270" s="29" t="n">
        <f aca="false">IF(AND($B270&lt;&gt;"",$B270=Statement!$C$6,$J270=Statement!$C$8,$K270=1),1,0)</f>
        <v>0</v>
      </c>
      <c r="Q270" s="29" t="str">
        <f aca="false">IF($P270=1,SUM($P$5:$P270),"")</f>
        <v/>
      </c>
      <c r="R270" s="29" t="n">
        <f aca="false">IF(AND($B270&lt;&gt;"",$B270=Statement!$C$6,$M270=Statement!$C$8),1,0)</f>
        <v>0</v>
      </c>
      <c r="S270" s="29" t="str">
        <f aca="false">IF($R270=1,SUM($R$5:$R270),"")</f>
        <v/>
      </c>
    </row>
    <row r="271" customFormat="false" ht="15" hidden="false" customHeight="false" outlineLevel="0" collapsed="false">
      <c r="A271" s="28"/>
      <c r="B271" s="10"/>
      <c r="C271" s="10"/>
      <c r="D271" s="10"/>
      <c r="E271" s="23"/>
      <c r="F271" s="23"/>
      <c r="G271" s="10"/>
      <c r="H271" s="10"/>
      <c r="I271" s="28"/>
      <c r="J271" s="29" t="str">
        <f aca="false">IF(OR($A271="",$B271=""),"",IF(YEAR($A271)=Settings!$C$4,MONTH($A271),""))</f>
        <v/>
      </c>
      <c r="K271" s="29" t="str">
        <f aca="false">IF($A271="","",IF(OR($J271="",$B271=""),0,IF(OR($G271="Won",$H271="Yes"),1,0)))</f>
        <v/>
      </c>
      <c r="L271" s="30" t="str">
        <f aca="false">IF($B271="","",IFERROR(IF(INDEX(Settings!$E$12:$E$21,MATCH($B271,Settings!$B$12:$B$21,0))="Gross margin",N($F271),N($E271)),""))</f>
        <v/>
      </c>
      <c r="M271" s="29" t="str">
        <f aca="false">IF(AND($G271="Cancelled",$H271="Yes",$I271&lt;&gt;""),IF(YEAR($I271)=Settings!$C$4,MONTH($I271),""),"")</f>
        <v/>
      </c>
      <c r="N271" s="31" t="str">
        <f aca="false">IF($M271="","",IFERROR(IF($J271="",IF(INDEX(Settings!$D$12:$D$21,MATCH($B271,Settings!$B$12:$B$21,0))="Tiered",INDEX(Settings!$I$12:$I$21,MATCH($B271,Settings!$B$12:$B$21,0)),INDEX(Settings!$G$12:$G$21,MATCH($B271,Settings!$B$12:$B$21,0))),INDEX(Calculation!$U$6:$U$125,(MATCH($B271,Settings!$B$12:$B$21,0)-1)*12+$J271)),0))</f>
        <v/>
      </c>
      <c r="O271" s="30" t="n">
        <f aca="false">IF($M271="",0,N($L271)*N($N271))</f>
        <v>0</v>
      </c>
      <c r="P271" s="29" t="n">
        <f aca="false">IF(AND($B271&lt;&gt;"",$B271=Statement!$C$6,$J271=Statement!$C$8,$K271=1),1,0)</f>
        <v>0</v>
      </c>
      <c r="Q271" s="29" t="str">
        <f aca="false">IF($P271=1,SUM($P$5:$P271),"")</f>
        <v/>
      </c>
      <c r="R271" s="29" t="n">
        <f aca="false">IF(AND($B271&lt;&gt;"",$B271=Statement!$C$6,$M271=Statement!$C$8),1,0)</f>
        <v>0</v>
      </c>
      <c r="S271" s="29" t="str">
        <f aca="false">IF($R271=1,SUM($R$5:$R271),"")</f>
        <v/>
      </c>
    </row>
    <row r="272" customFormat="false" ht="15" hidden="false" customHeight="false" outlineLevel="0" collapsed="false">
      <c r="A272" s="28"/>
      <c r="B272" s="10"/>
      <c r="C272" s="10"/>
      <c r="D272" s="10"/>
      <c r="E272" s="23"/>
      <c r="F272" s="23"/>
      <c r="G272" s="10"/>
      <c r="H272" s="10"/>
      <c r="I272" s="28"/>
      <c r="J272" s="29" t="str">
        <f aca="false">IF(OR($A272="",$B272=""),"",IF(YEAR($A272)=Settings!$C$4,MONTH($A272),""))</f>
        <v/>
      </c>
      <c r="K272" s="29" t="str">
        <f aca="false">IF($A272="","",IF(OR($J272="",$B272=""),0,IF(OR($G272="Won",$H272="Yes"),1,0)))</f>
        <v/>
      </c>
      <c r="L272" s="30" t="str">
        <f aca="false">IF($B272="","",IFERROR(IF(INDEX(Settings!$E$12:$E$21,MATCH($B272,Settings!$B$12:$B$21,0))="Gross margin",N($F272),N($E272)),""))</f>
        <v/>
      </c>
      <c r="M272" s="29" t="str">
        <f aca="false">IF(AND($G272="Cancelled",$H272="Yes",$I272&lt;&gt;""),IF(YEAR($I272)=Settings!$C$4,MONTH($I272),""),"")</f>
        <v/>
      </c>
      <c r="N272" s="31" t="str">
        <f aca="false">IF($M272="","",IFERROR(IF($J272="",IF(INDEX(Settings!$D$12:$D$21,MATCH($B272,Settings!$B$12:$B$21,0))="Tiered",INDEX(Settings!$I$12:$I$21,MATCH($B272,Settings!$B$12:$B$21,0)),INDEX(Settings!$G$12:$G$21,MATCH($B272,Settings!$B$12:$B$21,0))),INDEX(Calculation!$U$6:$U$125,(MATCH($B272,Settings!$B$12:$B$21,0)-1)*12+$J272)),0))</f>
        <v/>
      </c>
      <c r="O272" s="30" t="n">
        <f aca="false">IF($M272="",0,N($L272)*N($N272))</f>
        <v>0</v>
      </c>
      <c r="P272" s="29" t="n">
        <f aca="false">IF(AND($B272&lt;&gt;"",$B272=Statement!$C$6,$J272=Statement!$C$8,$K272=1),1,0)</f>
        <v>0</v>
      </c>
      <c r="Q272" s="29" t="str">
        <f aca="false">IF($P272=1,SUM($P$5:$P272),"")</f>
        <v/>
      </c>
      <c r="R272" s="29" t="n">
        <f aca="false">IF(AND($B272&lt;&gt;"",$B272=Statement!$C$6,$M272=Statement!$C$8),1,0)</f>
        <v>0</v>
      </c>
      <c r="S272" s="29" t="str">
        <f aca="false">IF($R272=1,SUM($R$5:$R272),"")</f>
        <v/>
      </c>
    </row>
    <row r="273" customFormat="false" ht="15" hidden="false" customHeight="false" outlineLevel="0" collapsed="false">
      <c r="A273" s="28"/>
      <c r="B273" s="10"/>
      <c r="C273" s="10"/>
      <c r="D273" s="10"/>
      <c r="E273" s="23"/>
      <c r="F273" s="23"/>
      <c r="G273" s="10"/>
      <c r="H273" s="10"/>
      <c r="I273" s="28"/>
      <c r="J273" s="29" t="str">
        <f aca="false">IF(OR($A273="",$B273=""),"",IF(YEAR($A273)=Settings!$C$4,MONTH($A273),""))</f>
        <v/>
      </c>
      <c r="K273" s="29" t="str">
        <f aca="false">IF($A273="","",IF(OR($J273="",$B273=""),0,IF(OR($G273="Won",$H273="Yes"),1,0)))</f>
        <v/>
      </c>
      <c r="L273" s="30" t="str">
        <f aca="false">IF($B273="","",IFERROR(IF(INDEX(Settings!$E$12:$E$21,MATCH($B273,Settings!$B$12:$B$21,0))="Gross margin",N($F273),N($E273)),""))</f>
        <v/>
      </c>
      <c r="M273" s="29" t="str">
        <f aca="false">IF(AND($G273="Cancelled",$H273="Yes",$I273&lt;&gt;""),IF(YEAR($I273)=Settings!$C$4,MONTH($I273),""),"")</f>
        <v/>
      </c>
      <c r="N273" s="31" t="str">
        <f aca="false">IF($M273="","",IFERROR(IF($J273="",IF(INDEX(Settings!$D$12:$D$21,MATCH($B273,Settings!$B$12:$B$21,0))="Tiered",INDEX(Settings!$I$12:$I$21,MATCH($B273,Settings!$B$12:$B$21,0)),INDEX(Settings!$G$12:$G$21,MATCH($B273,Settings!$B$12:$B$21,0))),INDEX(Calculation!$U$6:$U$125,(MATCH($B273,Settings!$B$12:$B$21,0)-1)*12+$J273)),0))</f>
        <v/>
      </c>
      <c r="O273" s="30" t="n">
        <f aca="false">IF($M273="",0,N($L273)*N($N273))</f>
        <v>0</v>
      </c>
      <c r="P273" s="29" t="n">
        <f aca="false">IF(AND($B273&lt;&gt;"",$B273=Statement!$C$6,$J273=Statement!$C$8,$K273=1),1,0)</f>
        <v>0</v>
      </c>
      <c r="Q273" s="29" t="str">
        <f aca="false">IF($P273=1,SUM($P$5:$P273),"")</f>
        <v/>
      </c>
      <c r="R273" s="29" t="n">
        <f aca="false">IF(AND($B273&lt;&gt;"",$B273=Statement!$C$6,$M273=Statement!$C$8),1,0)</f>
        <v>0</v>
      </c>
      <c r="S273" s="29" t="str">
        <f aca="false">IF($R273=1,SUM($R$5:$R273),"")</f>
        <v/>
      </c>
    </row>
    <row r="274" customFormat="false" ht="15" hidden="false" customHeight="false" outlineLevel="0" collapsed="false">
      <c r="A274" s="28"/>
      <c r="B274" s="10"/>
      <c r="C274" s="10"/>
      <c r="D274" s="10"/>
      <c r="E274" s="23"/>
      <c r="F274" s="23"/>
      <c r="G274" s="10"/>
      <c r="H274" s="10"/>
      <c r="I274" s="28"/>
      <c r="J274" s="29" t="str">
        <f aca="false">IF(OR($A274="",$B274=""),"",IF(YEAR($A274)=Settings!$C$4,MONTH($A274),""))</f>
        <v/>
      </c>
      <c r="K274" s="29" t="str">
        <f aca="false">IF($A274="","",IF(OR($J274="",$B274=""),0,IF(OR($G274="Won",$H274="Yes"),1,0)))</f>
        <v/>
      </c>
      <c r="L274" s="30" t="str">
        <f aca="false">IF($B274="","",IFERROR(IF(INDEX(Settings!$E$12:$E$21,MATCH($B274,Settings!$B$12:$B$21,0))="Gross margin",N($F274),N($E274)),""))</f>
        <v/>
      </c>
      <c r="M274" s="29" t="str">
        <f aca="false">IF(AND($G274="Cancelled",$H274="Yes",$I274&lt;&gt;""),IF(YEAR($I274)=Settings!$C$4,MONTH($I274),""),"")</f>
        <v/>
      </c>
      <c r="N274" s="31" t="str">
        <f aca="false">IF($M274="","",IFERROR(IF($J274="",IF(INDEX(Settings!$D$12:$D$21,MATCH($B274,Settings!$B$12:$B$21,0))="Tiered",INDEX(Settings!$I$12:$I$21,MATCH($B274,Settings!$B$12:$B$21,0)),INDEX(Settings!$G$12:$G$21,MATCH($B274,Settings!$B$12:$B$21,0))),INDEX(Calculation!$U$6:$U$125,(MATCH($B274,Settings!$B$12:$B$21,0)-1)*12+$J274)),0))</f>
        <v/>
      </c>
      <c r="O274" s="30" t="n">
        <f aca="false">IF($M274="",0,N($L274)*N($N274))</f>
        <v>0</v>
      </c>
      <c r="P274" s="29" t="n">
        <f aca="false">IF(AND($B274&lt;&gt;"",$B274=Statement!$C$6,$J274=Statement!$C$8,$K274=1),1,0)</f>
        <v>0</v>
      </c>
      <c r="Q274" s="29" t="str">
        <f aca="false">IF($P274=1,SUM($P$5:$P274),"")</f>
        <v/>
      </c>
      <c r="R274" s="29" t="n">
        <f aca="false">IF(AND($B274&lt;&gt;"",$B274=Statement!$C$6,$M274=Statement!$C$8),1,0)</f>
        <v>0</v>
      </c>
      <c r="S274" s="29" t="str">
        <f aca="false">IF($R274=1,SUM($R$5:$R274),"")</f>
        <v/>
      </c>
    </row>
    <row r="275" customFormat="false" ht="15" hidden="false" customHeight="false" outlineLevel="0" collapsed="false">
      <c r="A275" s="28"/>
      <c r="B275" s="10"/>
      <c r="C275" s="10"/>
      <c r="D275" s="10"/>
      <c r="E275" s="23"/>
      <c r="F275" s="23"/>
      <c r="G275" s="10"/>
      <c r="H275" s="10"/>
      <c r="I275" s="28"/>
      <c r="J275" s="29" t="str">
        <f aca="false">IF(OR($A275="",$B275=""),"",IF(YEAR($A275)=Settings!$C$4,MONTH($A275),""))</f>
        <v/>
      </c>
      <c r="K275" s="29" t="str">
        <f aca="false">IF($A275="","",IF(OR($J275="",$B275=""),0,IF(OR($G275="Won",$H275="Yes"),1,0)))</f>
        <v/>
      </c>
      <c r="L275" s="30" t="str">
        <f aca="false">IF($B275="","",IFERROR(IF(INDEX(Settings!$E$12:$E$21,MATCH($B275,Settings!$B$12:$B$21,0))="Gross margin",N($F275),N($E275)),""))</f>
        <v/>
      </c>
      <c r="M275" s="29" t="str">
        <f aca="false">IF(AND($G275="Cancelled",$H275="Yes",$I275&lt;&gt;""),IF(YEAR($I275)=Settings!$C$4,MONTH($I275),""),"")</f>
        <v/>
      </c>
      <c r="N275" s="31" t="str">
        <f aca="false">IF($M275="","",IFERROR(IF($J275="",IF(INDEX(Settings!$D$12:$D$21,MATCH($B275,Settings!$B$12:$B$21,0))="Tiered",INDEX(Settings!$I$12:$I$21,MATCH($B275,Settings!$B$12:$B$21,0)),INDEX(Settings!$G$12:$G$21,MATCH($B275,Settings!$B$12:$B$21,0))),INDEX(Calculation!$U$6:$U$125,(MATCH($B275,Settings!$B$12:$B$21,0)-1)*12+$J275)),0))</f>
        <v/>
      </c>
      <c r="O275" s="30" t="n">
        <f aca="false">IF($M275="",0,N($L275)*N($N275))</f>
        <v>0</v>
      </c>
      <c r="P275" s="29" t="n">
        <f aca="false">IF(AND($B275&lt;&gt;"",$B275=Statement!$C$6,$J275=Statement!$C$8,$K275=1),1,0)</f>
        <v>0</v>
      </c>
      <c r="Q275" s="29" t="str">
        <f aca="false">IF($P275=1,SUM($P$5:$P275),"")</f>
        <v/>
      </c>
      <c r="R275" s="29" t="n">
        <f aca="false">IF(AND($B275&lt;&gt;"",$B275=Statement!$C$6,$M275=Statement!$C$8),1,0)</f>
        <v>0</v>
      </c>
      <c r="S275" s="29" t="str">
        <f aca="false">IF($R275=1,SUM($R$5:$R275),"")</f>
        <v/>
      </c>
    </row>
    <row r="276" customFormat="false" ht="15" hidden="false" customHeight="false" outlineLevel="0" collapsed="false">
      <c r="A276" s="28"/>
      <c r="B276" s="10"/>
      <c r="C276" s="10"/>
      <c r="D276" s="10"/>
      <c r="E276" s="23"/>
      <c r="F276" s="23"/>
      <c r="G276" s="10"/>
      <c r="H276" s="10"/>
      <c r="I276" s="28"/>
      <c r="J276" s="29" t="str">
        <f aca="false">IF(OR($A276="",$B276=""),"",IF(YEAR($A276)=Settings!$C$4,MONTH($A276),""))</f>
        <v/>
      </c>
      <c r="K276" s="29" t="str">
        <f aca="false">IF($A276="","",IF(OR($J276="",$B276=""),0,IF(OR($G276="Won",$H276="Yes"),1,0)))</f>
        <v/>
      </c>
      <c r="L276" s="30" t="str">
        <f aca="false">IF($B276="","",IFERROR(IF(INDEX(Settings!$E$12:$E$21,MATCH($B276,Settings!$B$12:$B$21,0))="Gross margin",N($F276),N($E276)),""))</f>
        <v/>
      </c>
      <c r="M276" s="29" t="str">
        <f aca="false">IF(AND($G276="Cancelled",$H276="Yes",$I276&lt;&gt;""),IF(YEAR($I276)=Settings!$C$4,MONTH($I276),""),"")</f>
        <v/>
      </c>
      <c r="N276" s="31" t="str">
        <f aca="false">IF($M276="","",IFERROR(IF($J276="",IF(INDEX(Settings!$D$12:$D$21,MATCH($B276,Settings!$B$12:$B$21,0))="Tiered",INDEX(Settings!$I$12:$I$21,MATCH($B276,Settings!$B$12:$B$21,0)),INDEX(Settings!$G$12:$G$21,MATCH($B276,Settings!$B$12:$B$21,0))),INDEX(Calculation!$U$6:$U$125,(MATCH($B276,Settings!$B$12:$B$21,0)-1)*12+$J276)),0))</f>
        <v/>
      </c>
      <c r="O276" s="30" t="n">
        <f aca="false">IF($M276="",0,N($L276)*N($N276))</f>
        <v>0</v>
      </c>
      <c r="P276" s="29" t="n">
        <f aca="false">IF(AND($B276&lt;&gt;"",$B276=Statement!$C$6,$J276=Statement!$C$8,$K276=1),1,0)</f>
        <v>0</v>
      </c>
      <c r="Q276" s="29" t="str">
        <f aca="false">IF($P276=1,SUM($P$5:$P276),"")</f>
        <v/>
      </c>
      <c r="R276" s="29" t="n">
        <f aca="false">IF(AND($B276&lt;&gt;"",$B276=Statement!$C$6,$M276=Statement!$C$8),1,0)</f>
        <v>0</v>
      </c>
      <c r="S276" s="29" t="str">
        <f aca="false">IF($R276=1,SUM($R$5:$R276),"")</f>
        <v/>
      </c>
    </row>
    <row r="277" customFormat="false" ht="15" hidden="false" customHeight="false" outlineLevel="0" collapsed="false">
      <c r="A277" s="28"/>
      <c r="B277" s="10"/>
      <c r="C277" s="10"/>
      <c r="D277" s="10"/>
      <c r="E277" s="23"/>
      <c r="F277" s="23"/>
      <c r="G277" s="10"/>
      <c r="H277" s="10"/>
      <c r="I277" s="28"/>
      <c r="J277" s="29" t="str">
        <f aca="false">IF(OR($A277="",$B277=""),"",IF(YEAR($A277)=Settings!$C$4,MONTH($A277),""))</f>
        <v/>
      </c>
      <c r="K277" s="29" t="str">
        <f aca="false">IF($A277="","",IF(OR($J277="",$B277=""),0,IF(OR($G277="Won",$H277="Yes"),1,0)))</f>
        <v/>
      </c>
      <c r="L277" s="30" t="str">
        <f aca="false">IF($B277="","",IFERROR(IF(INDEX(Settings!$E$12:$E$21,MATCH($B277,Settings!$B$12:$B$21,0))="Gross margin",N($F277),N($E277)),""))</f>
        <v/>
      </c>
      <c r="M277" s="29" t="str">
        <f aca="false">IF(AND($G277="Cancelled",$H277="Yes",$I277&lt;&gt;""),IF(YEAR($I277)=Settings!$C$4,MONTH($I277),""),"")</f>
        <v/>
      </c>
      <c r="N277" s="31" t="str">
        <f aca="false">IF($M277="","",IFERROR(IF($J277="",IF(INDEX(Settings!$D$12:$D$21,MATCH($B277,Settings!$B$12:$B$21,0))="Tiered",INDEX(Settings!$I$12:$I$21,MATCH($B277,Settings!$B$12:$B$21,0)),INDEX(Settings!$G$12:$G$21,MATCH($B277,Settings!$B$12:$B$21,0))),INDEX(Calculation!$U$6:$U$125,(MATCH($B277,Settings!$B$12:$B$21,0)-1)*12+$J277)),0))</f>
        <v/>
      </c>
      <c r="O277" s="30" t="n">
        <f aca="false">IF($M277="",0,N($L277)*N($N277))</f>
        <v>0</v>
      </c>
      <c r="P277" s="29" t="n">
        <f aca="false">IF(AND($B277&lt;&gt;"",$B277=Statement!$C$6,$J277=Statement!$C$8,$K277=1),1,0)</f>
        <v>0</v>
      </c>
      <c r="Q277" s="29" t="str">
        <f aca="false">IF($P277=1,SUM($P$5:$P277),"")</f>
        <v/>
      </c>
      <c r="R277" s="29" t="n">
        <f aca="false">IF(AND($B277&lt;&gt;"",$B277=Statement!$C$6,$M277=Statement!$C$8),1,0)</f>
        <v>0</v>
      </c>
      <c r="S277" s="29" t="str">
        <f aca="false">IF($R277=1,SUM($R$5:$R277),"")</f>
        <v/>
      </c>
    </row>
    <row r="278" customFormat="false" ht="15" hidden="false" customHeight="false" outlineLevel="0" collapsed="false">
      <c r="A278" s="28"/>
      <c r="B278" s="10"/>
      <c r="C278" s="10"/>
      <c r="D278" s="10"/>
      <c r="E278" s="23"/>
      <c r="F278" s="23"/>
      <c r="G278" s="10"/>
      <c r="H278" s="10"/>
      <c r="I278" s="28"/>
      <c r="J278" s="29" t="str">
        <f aca="false">IF(OR($A278="",$B278=""),"",IF(YEAR($A278)=Settings!$C$4,MONTH($A278),""))</f>
        <v/>
      </c>
      <c r="K278" s="29" t="str">
        <f aca="false">IF($A278="","",IF(OR($J278="",$B278=""),0,IF(OR($G278="Won",$H278="Yes"),1,0)))</f>
        <v/>
      </c>
      <c r="L278" s="30" t="str">
        <f aca="false">IF($B278="","",IFERROR(IF(INDEX(Settings!$E$12:$E$21,MATCH($B278,Settings!$B$12:$B$21,0))="Gross margin",N($F278),N($E278)),""))</f>
        <v/>
      </c>
      <c r="M278" s="29" t="str">
        <f aca="false">IF(AND($G278="Cancelled",$H278="Yes",$I278&lt;&gt;""),IF(YEAR($I278)=Settings!$C$4,MONTH($I278),""),"")</f>
        <v/>
      </c>
      <c r="N278" s="31" t="str">
        <f aca="false">IF($M278="","",IFERROR(IF($J278="",IF(INDEX(Settings!$D$12:$D$21,MATCH($B278,Settings!$B$12:$B$21,0))="Tiered",INDEX(Settings!$I$12:$I$21,MATCH($B278,Settings!$B$12:$B$21,0)),INDEX(Settings!$G$12:$G$21,MATCH($B278,Settings!$B$12:$B$21,0))),INDEX(Calculation!$U$6:$U$125,(MATCH($B278,Settings!$B$12:$B$21,0)-1)*12+$J278)),0))</f>
        <v/>
      </c>
      <c r="O278" s="30" t="n">
        <f aca="false">IF($M278="",0,N($L278)*N($N278))</f>
        <v>0</v>
      </c>
      <c r="P278" s="29" t="n">
        <f aca="false">IF(AND($B278&lt;&gt;"",$B278=Statement!$C$6,$J278=Statement!$C$8,$K278=1),1,0)</f>
        <v>0</v>
      </c>
      <c r="Q278" s="29" t="str">
        <f aca="false">IF($P278=1,SUM($P$5:$P278),"")</f>
        <v/>
      </c>
      <c r="R278" s="29" t="n">
        <f aca="false">IF(AND($B278&lt;&gt;"",$B278=Statement!$C$6,$M278=Statement!$C$8),1,0)</f>
        <v>0</v>
      </c>
      <c r="S278" s="29" t="str">
        <f aca="false">IF($R278=1,SUM($R$5:$R278),"")</f>
        <v/>
      </c>
    </row>
    <row r="279" customFormat="false" ht="15" hidden="false" customHeight="false" outlineLevel="0" collapsed="false">
      <c r="A279" s="28"/>
      <c r="B279" s="10"/>
      <c r="C279" s="10"/>
      <c r="D279" s="10"/>
      <c r="E279" s="23"/>
      <c r="F279" s="23"/>
      <c r="G279" s="10"/>
      <c r="H279" s="10"/>
      <c r="I279" s="28"/>
      <c r="J279" s="29" t="str">
        <f aca="false">IF(OR($A279="",$B279=""),"",IF(YEAR($A279)=Settings!$C$4,MONTH($A279),""))</f>
        <v/>
      </c>
      <c r="K279" s="29" t="str">
        <f aca="false">IF($A279="","",IF(OR($J279="",$B279=""),0,IF(OR($G279="Won",$H279="Yes"),1,0)))</f>
        <v/>
      </c>
      <c r="L279" s="30" t="str">
        <f aca="false">IF($B279="","",IFERROR(IF(INDEX(Settings!$E$12:$E$21,MATCH($B279,Settings!$B$12:$B$21,0))="Gross margin",N($F279),N($E279)),""))</f>
        <v/>
      </c>
      <c r="M279" s="29" t="str">
        <f aca="false">IF(AND($G279="Cancelled",$H279="Yes",$I279&lt;&gt;""),IF(YEAR($I279)=Settings!$C$4,MONTH($I279),""),"")</f>
        <v/>
      </c>
      <c r="N279" s="31" t="str">
        <f aca="false">IF($M279="","",IFERROR(IF($J279="",IF(INDEX(Settings!$D$12:$D$21,MATCH($B279,Settings!$B$12:$B$21,0))="Tiered",INDEX(Settings!$I$12:$I$21,MATCH($B279,Settings!$B$12:$B$21,0)),INDEX(Settings!$G$12:$G$21,MATCH($B279,Settings!$B$12:$B$21,0))),INDEX(Calculation!$U$6:$U$125,(MATCH($B279,Settings!$B$12:$B$21,0)-1)*12+$J279)),0))</f>
        <v/>
      </c>
      <c r="O279" s="30" t="n">
        <f aca="false">IF($M279="",0,N($L279)*N($N279))</f>
        <v>0</v>
      </c>
      <c r="P279" s="29" t="n">
        <f aca="false">IF(AND($B279&lt;&gt;"",$B279=Statement!$C$6,$J279=Statement!$C$8,$K279=1),1,0)</f>
        <v>0</v>
      </c>
      <c r="Q279" s="29" t="str">
        <f aca="false">IF($P279=1,SUM($P$5:$P279),"")</f>
        <v/>
      </c>
      <c r="R279" s="29" t="n">
        <f aca="false">IF(AND($B279&lt;&gt;"",$B279=Statement!$C$6,$M279=Statement!$C$8),1,0)</f>
        <v>0</v>
      </c>
      <c r="S279" s="29" t="str">
        <f aca="false">IF($R279=1,SUM($R$5:$R279),"")</f>
        <v/>
      </c>
    </row>
    <row r="280" customFormat="false" ht="15" hidden="false" customHeight="false" outlineLevel="0" collapsed="false">
      <c r="A280" s="28"/>
      <c r="B280" s="10"/>
      <c r="C280" s="10"/>
      <c r="D280" s="10"/>
      <c r="E280" s="23"/>
      <c r="F280" s="23"/>
      <c r="G280" s="10"/>
      <c r="H280" s="10"/>
      <c r="I280" s="28"/>
      <c r="J280" s="29" t="str">
        <f aca="false">IF(OR($A280="",$B280=""),"",IF(YEAR($A280)=Settings!$C$4,MONTH($A280),""))</f>
        <v/>
      </c>
      <c r="K280" s="29" t="str">
        <f aca="false">IF($A280="","",IF(OR($J280="",$B280=""),0,IF(OR($G280="Won",$H280="Yes"),1,0)))</f>
        <v/>
      </c>
      <c r="L280" s="30" t="str">
        <f aca="false">IF($B280="","",IFERROR(IF(INDEX(Settings!$E$12:$E$21,MATCH($B280,Settings!$B$12:$B$21,0))="Gross margin",N($F280),N($E280)),""))</f>
        <v/>
      </c>
      <c r="M280" s="29" t="str">
        <f aca="false">IF(AND($G280="Cancelled",$H280="Yes",$I280&lt;&gt;""),IF(YEAR($I280)=Settings!$C$4,MONTH($I280),""),"")</f>
        <v/>
      </c>
      <c r="N280" s="31" t="str">
        <f aca="false">IF($M280="","",IFERROR(IF($J280="",IF(INDEX(Settings!$D$12:$D$21,MATCH($B280,Settings!$B$12:$B$21,0))="Tiered",INDEX(Settings!$I$12:$I$21,MATCH($B280,Settings!$B$12:$B$21,0)),INDEX(Settings!$G$12:$G$21,MATCH($B280,Settings!$B$12:$B$21,0))),INDEX(Calculation!$U$6:$U$125,(MATCH($B280,Settings!$B$12:$B$21,0)-1)*12+$J280)),0))</f>
        <v/>
      </c>
      <c r="O280" s="30" t="n">
        <f aca="false">IF($M280="",0,N($L280)*N($N280))</f>
        <v>0</v>
      </c>
      <c r="P280" s="29" t="n">
        <f aca="false">IF(AND($B280&lt;&gt;"",$B280=Statement!$C$6,$J280=Statement!$C$8,$K280=1),1,0)</f>
        <v>0</v>
      </c>
      <c r="Q280" s="29" t="str">
        <f aca="false">IF($P280=1,SUM($P$5:$P280),"")</f>
        <v/>
      </c>
      <c r="R280" s="29" t="n">
        <f aca="false">IF(AND($B280&lt;&gt;"",$B280=Statement!$C$6,$M280=Statement!$C$8),1,0)</f>
        <v>0</v>
      </c>
      <c r="S280" s="29" t="str">
        <f aca="false">IF($R280=1,SUM($R$5:$R280),"")</f>
        <v/>
      </c>
    </row>
    <row r="281" customFormat="false" ht="15" hidden="false" customHeight="false" outlineLevel="0" collapsed="false">
      <c r="A281" s="28"/>
      <c r="B281" s="10"/>
      <c r="C281" s="10"/>
      <c r="D281" s="10"/>
      <c r="E281" s="23"/>
      <c r="F281" s="23"/>
      <c r="G281" s="10"/>
      <c r="H281" s="10"/>
      <c r="I281" s="28"/>
      <c r="J281" s="29" t="str">
        <f aca="false">IF(OR($A281="",$B281=""),"",IF(YEAR($A281)=Settings!$C$4,MONTH($A281),""))</f>
        <v/>
      </c>
      <c r="K281" s="29" t="str">
        <f aca="false">IF($A281="","",IF(OR($J281="",$B281=""),0,IF(OR($G281="Won",$H281="Yes"),1,0)))</f>
        <v/>
      </c>
      <c r="L281" s="30" t="str">
        <f aca="false">IF($B281="","",IFERROR(IF(INDEX(Settings!$E$12:$E$21,MATCH($B281,Settings!$B$12:$B$21,0))="Gross margin",N($F281),N($E281)),""))</f>
        <v/>
      </c>
      <c r="M281" s="29" t="str">
        <f aca="false">IF(AND($G281="Cancelled",$H281="Yes",$I281&lt;&gt;""),IF(YEAR($I281)=Settings!$C$4,MONTH($I281),""),"")</f>
        <v/>
      </c>
      <c r="N281" s="31" t="str">
        <f aca="false">IF($M281="","",IFERROR(IF($J281="",IF(INDEX(Settings!$D$12:$D$21,MATCH($B281,Settings!$B$12:$B$21,0))="Tiered",INDEX(Settings!$I$12:$I$21,MATCH($B281,Settings!$B$12:$B$21,0)),INDEX(Settings!$G$12:$G$21,MATCH($B281,Settings!$B$12:$B$21,0))),INDEX(Calculation!$U$6:$U$125,(MATCH($B281,Settings!$B$12:$B$21,0)-1)*12+$J281)),0))</f>
        <v/>
      </c>
      <c r="O281" s="30" t="n">
        <f aca="false">IF($M281="",0,N($L281)*N($N281))</f>
        <v>0</v>
      </c>
      <c r="P281" s="29" t="n">
        <f aca="false">IF(AND($B281&lt;&gt;"",$B281=Statement!$C$6,$J281=Statement!$C$8,$K281=1),1,0)</f>
        <v>0</v>
      </c>
      <c r="Q281" s="29" t="str">
        <f aca="false">IF($P281=1,SUM($P$5:$P281),"")</f>
        <v/>
      </c>
      <c r="R281" s="29" t="n">
        <f aca="false">IF(AND($B281&lt;&gt;"",$B281=Statement!$C$6,$M281=Statement!$C$8),1,0)</f>
        <v>0</v>
      </c>
      <c r="S281" s="29" t="str">
        <f aca="false">IF($R281=1,SUM($R$5:$R281),"")</f>
        <v/>
      </c>
    </row>
    <row r="282" customFormat="false" ht="15" hidden="false" customHeight="false" outlineLevel="0" collapsed="false">
      <c r="A282" s="28"/>
      <c r="B282" s="10"/>
      <c r="C282" s="10"/>
      <c r="D282" s="10"/>
      <c r="E282" s="23"/>
      <c r="F282" s="23"/>
      <c r="G282" s="10"/>
      <c r="H282" s="10"/>
      <c r="I282" s="28"/>
      <c r="J282" s="29" t="str">
        <f aca="false">IF(OR($A282="",$B282=""),"",IF(YEAR($A282)=Settings!$C$4,MONTH($A282),""))</f>
        <v/>
      </c>
      <c r="K282" s="29" t="str">
        <f aca="false">IF($A282="","",IF(OR($J282="",$B282=""),0,IF(OR($G282="Won",$H282="Yes"),1,0)))</f>
        <v/>
      </c>
      <c r="L282" s="30" t="str">
        <f aca="false">IF($B282="","",IFERROR(IF(INDEX(Settings!$E$12:$E$21,MATCH($B282,Settings!$B$12:$B$21,0))="Gross margin",N($F282),N($E282)),""))</f>
        <v/>
      </c>
      <c r="M282" s="29" t="str">
        <f aca="false">IF(AND($G282="Cancelled",$H282="Yes",$I282&lt;&gt;""),IF(YEAR($I282)=Settings!$C$4,MONTH($I282),""),"")</f>
        <v/>
      </c>
      <c r="N282" s="31" t="str">
        <f aca="false">IF($M282="","",IFERROR(IF($J282="",IF(INDEX(Settings!$D$12:$D$21,MATCH($B282,Settings!$B$12:$B$21,0))="Tiered",INDEX(Settings!$I$12:$I$21,MATCH($B282,Settings!$B$12:$B$21,0)),INDEX(Settings!$G$12:$G$21,MATCH($B282,Settings!$B$12:$B$21,0))),INDEX(Calculation!$U$6:$U$125,(MATCH($B282,Settings!$B$12:$B$21,0)-1)*12+$J282)),0))</f>
        <v/>
      </c>
      <c r="O282" s="30" t="n">
        <f aca="false">IF($M282="",0,N($L282)*N($N282))</f>
        <v>0</v>
      </c>
      <c r="P282" s="29" t="n">
        <f aca="false">IF(AND($B282&lt;&gt;"",$B282=Statement!$C$6,$J282=Statement!$C$8,$K282=1),1,0)</f>
        <v>0</v>
      </c>
      <c r="Q282" s="29" t="str">
        <f aca="false">IF($P282=1,SUM($P$5:$P282),"")</f>
        <v/>
      </c>
      <c r="R282" s="29" t="n">
        <f aca="false">IF(AND($B282&lt;&gt;"",$B282=Statement!$C$6,$M282=Statement!$C$8),1,0)</f>
        <v>0</v>
      </c>
      <c r="S282" s="29" t="str">
        <f aca="false">IF($R282=1,SUM($R$5:$R282),"")</f>
        <v/>
      </c>
    </row>
    <row r="283" customFormat="false" ht="15" hidden="false" customHeight="false" outlineLevel="0" collapsed="false">
      <c r="A283" s="28"/>
      <c r="B283" s="10"/>
      <c r="C283" s="10"/>
      <c r="D283" s="10"/>
      <c r="E283" s="23"/>
      <c r="F283" s="23"/>
      <c r="G283" s="10"/>
      <c r="H283" s="10"/>
      <c r="I283" s="28"/>
      <c r="J283" s="29" t="str">
        <f aca="false">IF(OR($A283="",$B283=""),"",IF(YEAR($A283)=Settings!$C$4,MONTH($A283),""))</f>
        <v/>
      </c>
      <c r="K283" s="29" t="str">
        <f aca="false">IF($A283="","",IF(OR($J283="",$B283=""),0,IF(OR($G283="Won",$H283="Yes"),1,0)))</f>
        <v/>
      </c>
      <c r="L283" s="30" t="str">
        <f aca="false">IF($B283="","",IFERROR(IF(INDEX(Settings!$E$12:$E$21,MATCH($B283,Settings!$B$12:$B$21,0))="Gross margin",N($F283),N($E283)),""))</f>
        <v/>
      </c>
      <c r="M283" s="29" t="str">
        <f aca="false">IF(AND($G283="Cancelled",$H283="Yes",$I283&lt;&gt;""),IF(YEAR($I283)=Settings!$C$4,MONTH($I283),""),"")</f>
        <v/>
      </c>
      <c r="N283" s="31" t="str">
        <f aca="false">IF($M283="","",IFERROR(IF($J283="",IF(INDEX(Settings!$D$12:$D$21,MATCH($B283,Settings!$B$12:$B$21,0))="Tiered",INDEX(Settings!$I$12:$I$21,MATCH($B283,Settings!$B$12:$B$21,0)),INDEX(Settings!$G$12:$G$21,MATCH($B283,Settings!$B$12:$B$21,0))),INDEX(Calculation!$U$6:$U$125,(MATCH($B283,Settings!$B$12:$B$21,0)-1)*12+$J283)),0))</f>
        <v/>
      </c>
      <c r="O283" s="30" t="n">
        <f aca="false">IF($M283="",0,N($L283)*N($N283))</f>
        <v>0</v>
      </c>
      <c r="P283" s="29" t="n">
        <f aca="false">IF(AND($B283&lt;&gt;"",$B283=Statement!$C$6,$J283=Statement!$C$8,$K283=1),1,0)</f>
        <v>0</v>
      </c>
      <c r="Q283" s="29" t="str">
        <f aca="false">IF($P283=1,SUM($P$5:$P283),"")</f>
        <v/>
      </c>
      <c r="R283" s="29" t="n">
        <f aca="false">IF(AND($B283&lt;&gt;"",$B283=Statement!$C$6,$M283=Statement!$C$8),1,0)</f>
        <v>0</v>
      </c>
      <c r="S283" s="29" t="str">
        <f aca="false">IF($R283=1,SUM($R$5:$R283),"")</f>
        <v/>
      </c>
    </row>
    <row r="284" customFormat="false" ht="15" hidden="false" customHeight="false" outlineLevel="0" collapsed="false">
      <c r="A284" s="28"/>
      <c r="B284" s="10"/>
      <c r="C284" s="10"/>
      <c r="D284" s="10"/>
      <c r="E284" s="23"/>
      <c r="F284" s="23"/>
      <c r="G284" s="10"/>
      <c r="H284" s="10"/>
      <c r="I284" s="28"/>
      <c r="J284" s="29" t="str">
        <f aca="false">IF(OR($A284="",$B284=""),"",IF(YEAR($A284)=Settings!$C$4,MONTH($A284),""))</f>
        <v/>
      </c>
      <c r="K284" s="29" t="str">
        <f aca="false">IF($A284="","",IF(OR($J284="",$B284=""),0,IF(OR($G284="Won",$H284="Yes"),1,0)))</f>
        <v/>
      </c>
      <c r="L284" s="30" t="str">
        <f aca="false">IF($B284="","",IFERROR(IF(INDEX(Settings!$E$12:$E$21,MATCH($B284,Settings!$B$12:$B$21,0))="Gross margin",N($F284),N($E284)),""))</f>
        <v/>
      </c>
      <c r="M284" s="29" t="str">
        <f aca="false">IF(AND($G284="Cancelled",$H284="Yes",$I284&lt;&gt;""),IF(YEAR($I284)=Settings!$C$4,MONTH($I284),""),"")</f>
        <v/>
      </c>
      <c r="N284" s="31" t="str">
        <f aca="false">IF($M284="","",IFERROR(IF($J284="",IF(INDEX(Settings!$D$12:$D$21,MATCH($B284,Settings!$B$12:$B$21,0))="Tiered",INDEX(Settings!$I$12:$I$21,MATCH($B284,Settings!$B$12:$B$21,0)),INDEX(Settings!$G$12:$G$21,MATCH($B284,Settings!$B$12:$B$21,0))),INDEX(Calculation!$U$6:$U$125,(MATCH($B284,Settings!$B$12:$B$21,0)-1)*12+$J284)),0))</f>
        <v/>
      </c>
      <c r="O284" s="30" t="n">
        <f aca="false">IF($M284="",0,N($L284)*N($N284))</f>
        <v>0</v>
      </c>
      <c r="P284" s="29" t="n">
        <f aca="false">IF(AND($B284&lt;&gt;"",$B284=Statement!$C$6,$J284=Statement!$C$8,$K284=1),1,0)</f>
        <v>0</v>
      </c>
      <c r="Q284" s="29" t="str">
        <f aca="false">IF($P284=1,SUM($P$5:$P284),"")</f>
        <v/>
      </c>
      <c r="R284" s="29" t="n">
        <f aca="false">IF(AND($B284&lt;&gt;"",$B284=Statement!$C$6,$M284=Statement!$C$8),1,0)</f>
        <v>0</v>
      </c>
      <c r="S284" s="29" t="str">
        <f aca="false">IF($R284=1,SUM($R$5:$R284),"")</f>
        <v/>
      </c>
    </row>
    <row r="285" customFormat="false" ht="15" hidden="false" customHeight="false" outlineLevel="0" collapsed="false">
      <c r="A285" s="28"/>
      <c r="B285" s="10"/>
      <c r="C285" s="10"/>
      <c r="D285" s="10"/>
      <c r="E285" s="23"/>
      <c r="F285" s="23"/>
      <c r="G285" s="10"/>
      <c r="H285" s="10"/>
      <c r="I285" s="28"/>
      <c r="J285" s="29" t="str">
        <f aca="false">IF(OR($A285="",$B285=""),"",IF(YEAR($A285)=Settings!$C$4,MONTH($A285),""))</f>
        <v/>
      </c>
      <c r="K285" s="29" t="str">
        <f aca="false">IF($A285="","",IF(OR($J285="",$B285=""),0,IF(OR($G285="Won",$H285="Yes"),1,0)))</f>
        <v/>
      </c>
      <c r="L285" s="30" t="str">
        <f aca="false">IF($B285="","",IFERROR(IF(INDEX(Settings!$E$12:$E$21,MATCH($B285,Settings!$B$12:$B$21,0))="Gross margin",N($F285),N($E285)),""))</f>
        <v/>
      </c>
      <c r="M285" s="29" t="str">
        <f aca="false">IF(AND($G285="Cancelled",$H285="Yes",$I285&lt;&gt;""),IF(YEAR($I285)=Settings!$C$4,MONTH($I285),""),"")</f>
        <v/>
      </c>
      <c r="N285" s="31" t="str">
        <f aca="false">IF($M285="","",IFERROR(IF($J285="",IF(INDEX(Settings!$D$12:$D$21,MATCH($B285,Settings!$B$12:$B$21,0))="Tiered",INDEX(Settings!$I$12:$I$21,MATCH($B285,Settings!$B$12:$B$21,0)),INDEX(Settings!$G$12:$G$21,MATCH($B285,Settings!$B$12:$B$21,0))),INDEX(Calculation!$U$6:$U$125,(MATCH($B285,Settings!$B$12:$B$21,0)-1)*12+$J285)),0))</f>
        <v/>
      </c>
      <c r="O285" s="30" t="n">
        <f aca="false">IF($M285="",0,N($L285)*N($N285))</f>
        <v>0</v>
      </c>
      <c r="P285" s="29" t="n">
        <f aca="false">IF(AND($B285&lt;&gt;"",$B285=Statement!$C$6,$J285=Statement!$C$8,$K285=1),1,0)</f>
        <v>0</v>
      </c>
      <c r="Q285" s="29" t="str">
        <f aca="false">IF($P285=1,SUM($P$5:$P285),"")</f>
        <v/>
      </c>
      <c r="R285" s="29" t="n">
        <f aca="false">IF(AND($B285&lt;&gt;"",$B285=Statement!$C$6,$M285=Statement!$C$8),1,0)</f>
        <v>0</v>
      </c>
      <c r="S285" s="29" t="str">
        <f aca="false">IF($R285=1,SUM($R$5:$R285),"")</f>
        <v/>
      </c>
    </row>
    <row r="286" customFormat="false" ht="15" hidden="false" customHeight="false" outlineLevel="0" collapsed="false">
      <c r="A286" s="28"/>
      <c r="B286" s="10"/>
      <c r="C286" s="10"/>
      <c r="D286" s="10"/>
      <c r="E286" s="23"/>
      <c r="F286" s="23"/>
      <c r="G286" s="10"/>
      <c r="H286" s="10"/>
      <c r="I286" s="28"/>
      <c r="J286" s="29" t="str">
        <f aca="false">IF(OR($A286="",$B286=""),"",IF(YEAR($A286)=Settings!$C$4,MONTH($A286),""))</f>
        <v/>
      </c>
      <c r="K286" s="29" t="str">
        <f aca="false">IF($A286="","",IF(OR($J286="",$B286=""),0,IF(OR($G286="Won",$H286="Yes"),1,0)))</f>
        <v/>
      </c>
      <c r="L286" s="30" t="str">
        <f aca="false">IF($B286="","",IFERROR(IF(INDEX(Settings!$E$12:$E$21,MATCH($B286,Settings!$B$12:$B$21,0))="Gross margin",N($F286),N($E286)),""))</f>
        <v/>
      </c>
      <c r="M286" s="29" t="str">
        <f aca="false">IF(AND($G286="Cancelled",$H286="Yes",$I286&lt;&gt;""),IF(YEAR($I286)=Settings!$C$4,MONTH($I286),""),"")</f>
        <v/>
      </c>
      <c r="N286" s="31" t="str">
        <f aca="false">IF($M286="","",IFERROR(IF($J286="",IF(INDEX(Settings!$D$12:$D$21,MATCH($B286,Settings!$B$12:$B$21,0))="Tiered",INDEX(Settings!$I$12:$I$21,MATCH($B286,Settings!$B$12:$B$21,0)),INDEX(Settings!$G$12:$G$21,MATCH($B286,Settings!$B$12:$B$21,0))),INDEX(Calculation!$U$6:$U$125,(MATCH($B286,Settings!$B$12:$B$21,0)-1)*12+$J286)),0))</f>
        <v/>
      </c>
      <c r="O286" s="30" t="n">
        <f aca="false">IF($M286="",0,N($L286)*N($N286))</f>
        <v>0</v>
      </c>
      <c r="P286" s="29" t="n">
        <f aca="false">IF(AND($B286&lt;&gt;"",$B286=Statement!$C$6,$J286=Statement!$C$8,$K286=1),1,0)</f>
        <v>0</v>
      </c>
      <c r="Q286" s="29" t="str">
        <f aca="false">IF($P286=1,SUM($P$5:$P286),"")</f>
        <v/>
      </c>
      <c r="R286" s="29" t="n">
        <f aca="false">IF(AND($B286&lt;&gt;"",$B286=Statement!$C$6,$M286=Statement!$C$8),1,0)</f>
        <v>0</v>
      </c>
      <c r="S286" s="29" t="str">
        <f aca="false">IF($R286=1,SUM($R$5:$R286),"")</f>
        <v/>
      </c>
    </row>
    <row r="287" customFormat="false" ht="15" hidden="false" customHeight="false" outlineLevel="0" collapsed="false">
      <c r="A287" s="28"/>
      <c r="B287" s="10"/>
      <c r="C287" s="10"/>
      <c r="D287" s="10"/>
      <c r="E287" s="23"/>
      <c r="F287" s="23"/>
      <c r="G287" s="10"/>
      <c r="H287" s="10"/>
      <c r="I287" s="28"/>
      <c r="J287" s="29" t="str">
        <f aca="false">IF(OR($A287="",$B287=""),"",IF(YEAR($A287)=Settings!$C$4,MONTH($A287),""))</f>
        <v/>
      </c>
      <c r="K287" s="29" t="str">
        <f aca="false">IF($A287="","",IF(OR($J287="",$B287=""),0,IF(OR($G287="Won",$H287="Yes"),1,0)))</f>
        <v/>
      </c>
      <c r="L287" s="30" t="str">
        <f aca="false">IF($B287="","",IFERROR(IF(INDEX(Settings!$E$12:$E$21,MATCH($B287,Settings!$B$12:$B$21,0))="Gross margin",N($F287),N($E287)),""))</f>
        <v/>
      </c>
      <c r="M287" s="29" t="str">
        <f aca="false">IF(AND($G287="Cancelled",$H287="Yes",$I287&lt;&gt;""),IF(YEAR($I287)=Settings!$C$4,MONTH($I287),""),"")</f>
        <v/>
      </c>
      <c r="N287" s="31" t="str">
        <f aca="false">IF($M287="","",IFERROR(IF($J287="",IF(INDEX(Settings!$D$12:$D$21,MATCH($B287,Settings!$B$12:$B$21,0))="Tiered",INDEX(Settings!$I$12:$I$21,MATCH($B287,Settings!$B$12:$B$21,0)),INDEX(Settings!$G$12:$G$21,MATCH($B287,Settings!$B$12:$B$21,0))),INDEX(Calculation!$U$6:$U$125,(MATCH($B287,Settings!$B$12:$B$21,0)-1)*12+$J287)),0))</f>
        <v/>
      </c>
      <c r="O287" s="30" t="n">
        <f aca="false">IF($M287="",0,N($L287)*N($N287))</f>
        <v>0</v>
      </c>
      <c r="P287" s="29" t="n">
        <f aca="false">IF(AND($B287&lt;&gt;"",$B287=Statement!$C$6,$J287=Statement!$C$8,$K287=1),1,0)</f>
        <v>0</v>
      </c>
      <c r="Q287" s="29" t="str">
        <f aca="false">IF($P287=1,SUM($P$5:$P287),"")</f>
        <v/>
      </c>
      <c r="R287" s="29" t="n">
        <f aca="false">IF(AND($B287&lt;&gt;"",$B287=Statement!$C$6,$M287=Statement!$C$8),1,0)</f>
        <v>0</v>
      </c>
      <c r="S287" s="29" t="str">
        <f aca="false">IF($R287=1,SUM($R$5:$R287),"")</f>
        <v/>
      </c>
    </row>
    <row r="288" customFormat="false" ht="15" hidden="false" customHeight="false" outlineLevel="0" collapsed="false">
      <c r="A288" s="28"/>
      <c r="B288" s="10"/>
      <c r="C288" s="10"/>
      <c r="D288" s="10"/>
      <c r="E288" s="23"/>
      <c r="F288" s="23"/>
      <c r="G288" s="10"/>
      <c r="H288" s="10"/>
      <c r="I288" s="28"/>
      <c r="J288" s="29" t="str">
        <f aca="false">IF(OR($A288="",$B288=""),"",IF(YEAR($A288)=Settings!$C$4,MONTH($A288),""))</f>
        <v/>
      </c>
      <c r="K288" s="29" t="str">
        <f aca="false">IF($A288="","",IF(OR($J288="",$B288=""),0,IF(OR($G288="Won",$H288="Yes"),1,0)))</f>
        <v/>
      </c>
      <c r="L288" s="30" t="str">
        <f aca="false">IF($B288="","",IFERROR(IF(INDEX(Settings!$E$12:$E$21,MATCH($B288,Settings!$B$12:$B$21,0))="Gross margin",N($F288),N($E288)),""))</f>
        <v/>
      </c>
      <c r="M288" s="29" t="str">
        <f aca="false">IF(AND($G288="Cancelled",$H288="Yes",$I288&lt;&gt;""),IF(YEAR($I288)=Settings!$C$4,MONTH($I288),""),"")</f>
        <v/>
      </c>
      <c r="N288" s="31" t="str">
        <f aca="false">IF($M288="","",IFERROR(IF($J288="",IF(INDEX(Settings!$D$12:$D$21,MATCH($B288,Settings!$B$12:$B$21,0))="Tiered",INDEX(Settings!$I$12:$I$21,MATCH($B288,Settings!$B$12:$B$21,0)),INDEX(Settings!$G$12:$G$21,MATCH($B288,Settings!$B$12:$B$21,0))),INDEX(Calculation!$U$6:$U$125,(MATCH($B288,Settings!$B$12:$B$21,0)-1)*12+$J288)),0))</f>
        <v/>
      </c>
      <c r="O288" s="30" t="n">
        <f aca="false">IF($M288="",0,N($L288)*N($N288))</f>
        <v>0</v>
      </c>
      <c r="P288" s="29" t="n">
        <f aca="false">IF(AND($B288&lt;&gt;"",$B288=Statement!$C$6,$J288=Statement!$C$8,$K288=1),1,0)</f>
        <v>0</v>
      </c>
      <c r="Q288" s="29" t="str">
        <f aca="false">IF($P288=1,SUM($P$5:$P288),"")</f>
        <v/>
      </c>
      <c r="R288" s="29" t="n">
        <f aca="false">IF(AND($B288&lt;&gt;"",$B288=Statement!$C$6,$M288=Statement!$C$8),1,0)</f>
        <v>0</v>
      </c>
      <c r="S288" s="29" t="str">
        <f aca="false">IF($R288=1,SUM($R$5:$R288),"")</f>
        <v/>
      </c>
    </row>
    <row r="289" customFormat="false" ht="15" hidden="false" customHeight="false" outlineLevel="0" collapsed="false">
      <c r="A289" s="28"/>
      <c r="B289" s="10"/>
      <c r="C289" s="10"/>
      <c r="D289" s="10"/>
      <c r="E289" s="23"/>
      <c r="F289" s="23"/>
      <c r="G289" s="10"/>
      <c r="H289" s="10"/>
      <c r="I289" s="28"/>
      <c r="J289" s="29" t="str">
        <f aca="false">IF(OR($A289="",$B289=""),"",IF(YEAR($A289)=Settings!$C$4,MONTH($A289),""))</f>
        <v/>
      </c>
      <c r="K289" s="29" t="str">
        <f aca="false">IF($A289="","",IF(OR($J289="",$B289=""),0,IF(OR($G289="Won",$H289="Yes"),1,0)))</f>
        <v/>
      </c>
      <c r="L289" s="30" t="str">
        <f aca="false">IF($B289="","",IFERROR(IF(INDEX(Settings!$E$12:$E$21,MATCH($B289,Settings!$B$12:$B$21,0))="Gross margin",N($F289),N($E289)),""))</f>
        <v/>
      </c>
      <c r="M289" s="29" t="str">
        <f aca="false">IF(AND($G289="Cancelled",$H289="Yes",$I289&lt;&gt;""),IF(YEAR($I289)=Settings!$C$4,MONTH($I289),""),"")</f>
        <v/>
      </c>
      <c r="N289" s="31" t="str">
        <f aca="false">IF($M289="","",IFERROR(IF($J289="",IF(INDEX(Settings!$D$12:$D$21,MATCH($B289,Settings!$B$12:$B$21,0))="Tiered",INDEX(Settings!$I$12:$I$21,MATCH($B289,Settings!$B$12:$B$21,0)),INDEX(Settings!$G$12:$G$21,MATCH($B289,Settings!$B$12:$B$21,0))),INDEX(Calculation!$U$6:$U$125,(MATCH($B289,Settings!$B$12:$B$21,0)-1)*12+$J289)),0))</f>
        <v/>
      </c>
      <c r="O289" s="30" t="n">
        <f aca="false">IF($M289="",0,N($L289)*N($N289))</f>
        <v>0</v>
      </c>
      <c r="P289" s="29" t="n">
        <f aca="false">IF(AND($B289&lt;&gt;"",$B289=Statement!$C$6,$J289=Statement!$C$8,$K289=1),1,0)</f>
        <v>0</v>
      </c>
      <c r="Q289" s="29" t="str">
        <f aca="false">IF($P289=1,SUM($P$5:$P289),"")</f>
        <v/>
      </c>
      <c r="R289" s="29" t="n">
        <f aca="false">IF(AND($B289&lt;&gt;"",$B289=Statement!$C$6,$M289=Statement!$C$8),1,0)</f>
        <v>0</v>
      </c>
      <c r="S289" s="29" t="str">
        <f aca="false">IF($R289=1,SUM($R$5:$R289),"")</f>
        <v/>
      </c>
    </row>
    <row r="290" customFormat="false" ht="15" hidden="false" customHeight="false" outlineLevel="0" collapsed="false">
      <c r="A290" s="28"/>
      <c r="B290" s="10"/>
      <c r="C290" s="10"/>
      <c r="D290" s="10"/>
      <c r="E290" s="23"/>
      <c r="F290" s="23"/>
      <c r="G290" s="10"/>
      <c r="H290" s="10"/>
      <c r="I290" s="28"/>
      <c r="J290" s="29" t="str">
        <f aca="false">IF(OR($A290="",$B290=""),"",IF(YEAR($A290)=Settings!$C$4,MONTH($A290),""))</f>
        <v/>
      </c>
      <c r="K290" s="29" t="str">
        <f aca="false">IF($A290="","",IF(OR($J290="",$B290=""),0,IF(OR($G290="Won",$H290="Yes"),1,0)))</f>
        <v/>
      </c>
      <c r="L290" s="30" t="str">
        <f aca="false">IF($B290="","",IFERROR(IF(INDEX(Settings!$E$12:$E$21,MATCH($B290,Settings!$B$12:$B$21,0))="Gross margin",N($F290),N($E290)),""))</f>
        <v/>
      </c>
      <c r="M290" s="29" t="str">
        <f aca="false">IF(AND($G290="Cancelled",$H290="Yes",$I290&lt;&gt;""),IF(YEAR($I290)=Settings!$C$4,MONTH($I290),""),"")</f>
        <v/>
      </c>
      <c r="N290" s="31" t="str">
        <f aca="false">IF($M290="","",IFERROR(IF($J290="",IF(INDEX(Settings!$D$12:$D$21,MATCH($B290,Settings!$B$12:$B$21,0))="Tiered",INDEX(Settings!$I$12:$I$21,MATCH($B290,Settings!$B$12:$B$21,0)),INDEX(Settings!$G$12:$G$21,MATCH($B290,Settings!$B$12:$B$21,0))),INDEX(Calculation!$U$6:$U$125,(MATCH($B290,Settings!$B$12:$B$21,0)-1)*12+$J290)),0))</f>
        <v/>
      </c>
      <c r="O290" s="30" t="n">
        <f aca="false">IF($M290="",0,N($L290)*N($N290))</f>
        <v>0</v>
      </c>
      <c r="P290" s="29" t="n">
        <f aca="false">IF(AND($B290&lt;&gt;"",$B290=Statement!$C$6,$J290=Statement!$C$8,$K290=1),1,0)</f>
        <v>0</v>
      </c>
      <c r="Q290" s="29" t="str">
        <f aca="false">IF($P290=1,SUM($P$5:$P290),"")</f>
        <v/>
      </c>
      <c r="R290" s="29" t="n">
        <f aca="false">IF(AND($B290&lt;&gt;"",$B290=Statement!$C$6,$M290=Statement!$C$8),1,0)</f>
        <v>0</v>
      </c>
      <c r="S290" s="29" t="str">
        <f aca="false">IF($R290=1,SUM($R$5:$R290),"")</f>
        <v/>
      </c>
    </row>
    <row r="291" customFormat="false" ht="15" hidden="false" customHeight="false" outlineLevel="0" collapsed="false">
      <c r="A291" s="28"/>
      <c r="B291" s="10"/>
      <c r="C291" s="10"/>
      <c r="D291" s="10"/>
      <c r="E291" s="23"/>
      <c r="F291" s="23"/>
      <c r="G291" s="10"/>
      <c r="H291" s="10"/>
      <c r="I291" s="28"/>
      <c r="J291" s="29" t="str">
        <f aca="false">IF(OR($A291="",$B291=""),"",IF(YEAR($A291)=Settings!$C$4,MONTH($A291),""))</f>
        <v/>
      </c>
      <c r="K291" s="29" t="str">
        <f aca="false">IF($A291="","",IF(OR($J291="",$B291=""),0,IF(OR($G291="Won",$H291="Yes"),1,0)))</f>
        <v/>
      </c>
      <c r="L291" s="30" t="str">
        <f aca="false">IF($B291="","",IFERROR(IF(INDEX(Settings!$E$12:$E$21,MATCH($B291,Settings!$B$12:$B$21,0))="Gross margin",N($F291),N($E291)),""))</f>
        <v/>
      </c>
      <c r="M291" s="29" t="str">
        <f aca="false">IF(AND($G291="Cancelled",$H291="Yes",$I291&lt;&gt;""),IF(YEAR($I291)=Settings!$C$4,MONTH($I291),""),"")</f>
        <v/>
      </c>
      <c r="N291" s="31" t="str">
        <f aca="false">IF($M291="","",IFERROR(IF($J291="",IF(INDEX(Settings!$D$12:$D$21,MATCH($B291,Settings!$B$12:$B$21,0))="Tiered",INDEX(Settings!$I$12:$I$21,MATCH($B291,Settings!$B$12:$B$21,0)),INDEX(Settings!$G$12:$G$21,MATCH($B291,Settings!$B$12:$B$21,0))),INDEX(Calculation!$U$6:$U$125,(MATCH($B291,Settings!$B$12:$B$21,0)-1)*12+$J291)),0))</f>
        <v/>
      </c>
      <c r="O291" s="30" t="n">
        <f aca="false">IF($M291="",0,N($L291)*N($N291))</f>
        <v>0</v>
      </c>
      <c r="P291" s="29" t="n">
        <f aca="false">IF(AND($B291&lt;&gt;"",$B291=Statement!$C$6,$J291=Statement!$C$8,$K291=1),1,0)</f>
        <v>0</v>
      </c>
      <c r="Q291" s="29" t="str">
        <f aca="false">IF($P291=1,SUM($P$5:$P291),"")</f>
        <v/>
      </c>
      <c r="R291" s="29" t="n">
        <f aca="false">IF(AND($B291&lt;&gt;"",$B291=Statement!$C$6,$M291=Statement!$C$8),1,0)</f>
        <v>0</v>
      </c>
      <c r="S291" s="29" t="str">
        <f aca="false">IF($R291=1,SUM($R$5:$R291),"")</f>
        <v/>
      </c>
    </row>
    <row r="292" customFormat="false" ht="15" hidden="false" customHeight="false" outlineLevel="0" collapsed="false">
      <c r="A292" s="28"/>
      <c r="B292" s="10"/>
      <c r="C292" s="10"/>
      <c r="D292" s="10"/>
      <c r="E292" s="23"/>
      <c r="F292" s="23"/>
      <c r="G292" s="10"/>
      <c r="H292" s="10"/>
      <c r="I292" s="28"/>
      <c r="J292" s="29" t="str">
        <f aca="false">IF(OR($A292="",$B292=""),"",IF(YEAR($A292)=Settings!$C$4,MONTH($A292),""))</f>
        <v/>
      </c>
      <c r="K292" s="29" t="str">
        <f aca="false">IF($A292="","",IF(OR($J292="",$B292=""),0,IF(OR($G292="Won",$H292="Yes"),1,0)))</f>
        <v/>
      </c>
      <c r="L292" s="30" t="str">
        <f aca="false">IF($B292="","",IFERROR(IF(INDEX(Settings!$E$12:$E$21,MATCH($B292,Settings!$B$12:$B$21,0))="Gross margin",N($F292),N($E292)),""))</f>
        <v/>
      </c>
      <c r="M292" s="29" t="str">
        <f aca="false">IF(AND($G292="Cancelled",$H292="Yes",$I292&lt;&gt;""),IF(YEAR($I292)=Settings!$C$4,MONTH($I292),""),"")</f>
        <v/>
      </c>
      <c r="N292" s="31" t="str">
        <f aca="false">IF($M292="","",IFERROR(IF($J292="",IF(INDEX(Settings!$D$12:$D$21,MATCH($B292,Settings!$B$12:$B$21,0))="Tiered",INDEX(Settings!$I$12:$I$21,MATCH($B292,Settings!$B$12:$B$21,0)),INDEX(Settings!$G$12:$G$21,MATCH($B292,Settings!$B$12:$B$21,0))),INDEX(Calculation!$U$6:$U$125,(MATCH($B292,Settings!$B$12:$B$21,0)-1)*12+$J292)),0))</f>
        <v/>
      </c>
      <c r="O292" s="30" t="n">
        <f aca="false">IF($M292="",0,N($L292)*N($N292))</f>
        <v>0</v>
      </c>
      <c r="P292" s="29" t="n">
        <f aca="false">IF(AND($B292&lt;&gt;"",$B292=Statement!$C$6,$J292=Statement!$C$8,$K292=1),1,0)</f>
        <v>0</v>
      </c>
      <c r="Q292" s="29" t="str">
        <f aca="false">IF($P292=1,SUM($P$5:$P292),"")</f>
        <v/>
      </c>
      <c r="R292" s="29" t="n">
        <f aca="false">IF(AND($B292&lt;&gt;"",$B292=Statement!$C$6,$M292=Statement!$C$8),1,0)</f>
        <v>0</v>
      </c>
      <c r="S292" s="29" t="str">
        <f aca="false">IF($R292=1,SUM($R$5:$R292),"")</f>
        <v/>
      </c>
    </row>
    <row r="293" customFormat="false" ht="15" hidden="false" customHeight="false" outlineLevel="0" collapsed="false">
      <c r="A293" s="28"/>
      <c r="B293" s="10"/>
      <c r="C293" s="10"/>
      <c r="D293" s="10"/>
      <c r="E293" s="23"/>
      <c r="F293" s="23"/>
      <c r="G293" s="10"/>
      <c r="H293" s="10"/>
      <c r="I293" s="28"/>
      <c r="J293" s="29" t="str">
        <f aca="false">IF(OR($A293="",$B293=""),"",IF(YEAR($A293)=Settings!$C$4,MONTH($A293),""))</f>
        <v/>
      </c>
      <c r="K293" s="29" t="str">
        <f aca="false">IF($A293="","",IF(OR($J293="",$B293=""),0,IF(OR($G293="Won",$H293="Yes"),1,0)))</f>
        <v/>
      </c>
      <c r="L293" s="30" t="str">
        <f aca="false">IF($B293="","",IFERROR(IF(INDEX(Settings!$E$12:$E$21,MATCH($B293,Settings!$B$12:$B$21,0))="Gross margin",N($F293),N($E293)),""))</f>
        <v/>
      </c>
      <c r="M293" s="29" t="str">
        <f aca="false">IF(AND($G293="Cancelled",$H293="Yes",$I293&lt;&gt;""),IF(YEAR($I293)=Settings!$C$4,MONTH($I293),""),"")</f>
        <v/>
      </c>
      <c r="N293" s="31" t="str">
        <f aca="false">IF($M293="","",IFERROR(IF($J293="",IF(INDEX(Settings!$D$12:$D$21,MATCH($B293,Settings!$B$12:$B$21,0))="Tiered",INDEX(Settings!$I$12:$I$21,MATCH($B293,Settings!$B$12:$B$21,0)),INDEX(Settings!$G$12:$G$21,MATCH($B293,Settings!$B$12:$B$21,0))),INDEX(Calculation!$U$6:$U$125,(MATCH($B293,Settings!$B$12:$B$21,0)-1)*12+$J293)),0))</f>
        <v/>
      </c>
      <c r="O293" s="30" t="n">
        <f aca="false">IF($M293="",0,N($L293)*N($N293))</f>
        <v>0</v>
      </c>
      <c r="P293" s="29" t="n">
        <f aca="false">IF(AND($B293&lt;&gt;"",$B293=Statement!$C$6,$J293=Statement!$C$8,$K293=1),1,0)</f>
        <v>0</v>
      </c>
      <c r="Q293" s="29" t="str">
        <f aca="false">IF($P293=1,SUM($P$5:$P293),"")</f>
        <v/>
      </c>
      <c r="R293" s="29" t="n">
        <f aca="false">IF(AND($B293&lt;&gt;"",$B293=Statement!$C$6,$M293=Statement!$C$8),1,0)</f>
        <v>0</v>
      </c>
      <c r="S293" s="29" t="str">
        <f aca="false">IF($R293=1,SUM($R$5:$R293),"")</f>
        <v/>
      </c>
    </row>
    <row r="294" customFormat="false" ht="15" hidden="false" customHeight="false" outlineLevel="0" collapsed="false">
      <c r="A294" s="28"/>
      <c r="B294" s="10"/>
      <c r="C294" s="10"/>
      <c r="D294" s="10"/>
      <c r="E294" s="23"/>
      <c r="F294" s="23"/>
      <c r="G294" s="10"/>
      <c r="H294" s="10"/>
      <c r="I294" s="28"/>
      <c r="J294" s="29" t="str">
        <f aca="false">IF(OR($A294="",$B294=""),"",IF(YEAR($A294)=Settings!$C$4,MONTH($A294),""))</f>
        <v/>
      </c>
      <c r="K294" s="29" t="str">
        <f aca="false">IF($A294="","",IF(OR($J294="",$B294=""),0,IF(OR($G294="Won",$H294="Yes"),1,0)))</f>
        <v/>
      </c>
      <c r="L294" s="30" t="str">
        <f aca="false">IF($B294="","",IFERROR(IF(INDEX(Settings!$E$12:$E$21,MATCH($B294,Settings!$B$12:$B$21,0))="Gross margin",N($F294),N($E294)),""))</f>
        <v/>
      </c>
      <c r="M294" s="29" t="str">
        <f aca="false">IF(AND($G294="Cancelled",$H294="Yes",$I294&lt;&gt;""),IF(YEAR($I294)=Settings!$C$4,MONTH($I294),""),"")</f>
        <v/>
      </c>
      <c r="N294" s="31" t="str">
        <f aca="false">IF($M294="","",IFERROR(IF($J294="",IF(INDEX(Settings!$D$12:$D$21,MATCH($B294,Settings!$B$12:$B$21,0))="Tiered",INDEX(Settings!$I$12:$I$21,MATCH($B294,Settings!$B$12:$B$21,0)),INDEX(Settings!$G$12:$G$21,MATCH($B294,Settings!$B$12:$B$21,0))),INDEX(Calculation!$U$6:$U$125,(MATCH($B294,Settings!$B$12:$B$21,0)-1)*12+$J294)),0))</f>
        <v/>
      </c>
      <c r="O294" s="30" t="n">
        <f aca="false">IF($M294="",0,N($L294)*N($N294))</f>
        <v>0</v>
      </c>
      <c r="P294" s="29" t="n">
        <f aca="false">IF(AND($B294&lt;&gt;"",$B294=Statement!$C$6,$J294=Statement!$C$8,$K294=1),1,0)</f>
        <v>0</v>
      </c>
      <c r="Q294" s="29" t="str">
        <f aca="false">IF($P294=1,SUM($P$5:$P294),"")</f>
        <v/>
      </c>
      <c r="R294" s="29" t="n">
        <f aca="false">IF(AND($B294&lt;&gt;"",$B294=Statement!$C$6,$M294=Statement!$C$8),1,0)</f>
        <v>0</v>
      </c>
      <c r="S294" s="29" t="str">
        <f aca="false">IF($R294=1,SUM($R$5:$R294),"")</f>
        <v/>
      </c>
    </row>
    <row r="295" customFormat="false" ht="15" hidden="false" customHeight="false" outlineLevel="0" collapsed="false">
      <c r="A295" s="28"/>
      <c r="B295" s="10"/>
      <c r="C295" s="10"/>
      <c r="D295" s="10"/>
      <c r="E295" s="23"/>
      <c r="F295" s="23"/>
      <c r="G295" s="10"/>
      <c r="H295" s="10"/>
      <c r="I295" s="28"/>
      <c r="J295" s="29" t="str">
        <f aca="false">IF(OR($A295="",$B295=""),"",IF(YEAR($A295)=Settings!$C$4,MONTH($A295),""))</f>
        <v/>
      </c>
      <c r="K295" s="29" t="str">
        <f aca="false">IF($A295="","",IF(OR($J295="",$B295=""),0,IF(OR($G295="Won",$H295="Yes"),1,0)))</f>
        <v/>
      </c>
      <c r="L295" s="30" t="str">
        <f aca="false">IF($B295="","",IFERROR(IF(INDEX(Settings!$E$12:$E$21,MATCH($B295,Settings!$B$12:$B$21,0))="Gross margin",N($F295),N($E295)),""))</f>
        <v/>
      </c>
      <c r="M295" s="29" t="str">
        <f aca="false">IF(AND($G295="Cancelled",$H295="Yes",$I295&lt;&gt;""),IF(YEAR($I295)=Settings!$C$4,MONTH($I295),""),"")</f>
        <v/>
      </c>
      <c r="N295" s="31" t="str">
        <f aca="false">IF($M295="","",IFERROR(IF($J295="",IF(INDEX(Settings!$D$12:$D$21,MATCH($B295,Settings!$B$12:$B$21,0))="Tiered",INDEX(Settings!$I$12:$I$21,MATCH($B295,Settings!$B$12:$B$21,0)),INDEX(Settings!$G$12:$G$21,MATCH($B295,Settings!$B$12:$B$21,0))),INDEX(Calculation!$U$6:$U$125,(MATCH($B295,Settings!$B$12:$B$21,0)-1)*12+$J295)),0))</f>
        <v/>
      </c>
      <c r="O295" s="30" t="n">
        <f aca="false">IF($M295="",0,N($L295)*N($N295))</f>
        <v>0</v>
      </c>
      <c r="P295" s="29" t="n">
        <f aca="false">IF(AND($B295&lt;&gt;"",$B295=Statement!$C$6,$J295=Statement!$C$8,$K295=1),1,0)</f>
        <v>0</v>
      </c>
      <c r="Q295" s="29" t="str">
        <f aca="false">IF($P295=1,SUM($P$5:$P295),"")</f>
        <v/>
      </c>
      <c r="R295" s="29" t="n">
        <f aca="false">IF(AND($B295&lt;&gt;"",$B295=Statement!$C$6,$M295=Statement!$C$8),1,0)</f>
        <v>0</v>
      </c>
      <c r="S295" s="29" t="str">
        <f aca="false">IF($R295=1,SUM($R$5:$R295),"")</f>
        <v/>
      </c>
    </row>
    <row r="296" customFormat="false" ht="15" hidden="false" customHeight="false" outlineLevel="0" collapsed="false">
      <c r="A296" s="28"/>
      <c r="B296" s="10"/>
      <c r="C296" s="10"/>
      <c r="D296" s="10"/>
      <c r="E296" s="23"/>
      <c r="F296" s="23"/>
      <c r="G296" s="10"/>
      <c r="H296" s="10"/>
      <c r="I296" s="28"/>
      <c r="J296" s="29" t="str">
        <f aca="false">IF(OR($A296="",$B296=""),"",IF(YEAR($A296)=Settings!$C$4,MONTH($A296),""))</f>
        <v/>
      </c>
      <c r="K296" s="29" t="str">
        <f aca="false">IF($A296="","",IF(OR($J296="",$B296=""),0,IF(OR($G296="Won",$H296="Yes"),1,0)))</f>
        <v/>
      </c>
      <c r="L296" s="30" t="str">
        <f aca="false">IF($B296="","",IFERROR(IF(INDEX(Settings!$E$12:$E$21,MATCH($B296,Settings!$B$12:$B$21,0))="Gross margin",N($F296),N($E296)),""))</f>
        <v/>
      </c>
      <c r="M296" s="29" t="str">
        <f aca="false">IF(AND($G296="Cancelled",$H296="Yes",$I296&lt;&gt;""),IF(YEAR($I296)=Settings!$C$4,MONTH($I296),""),"")</f>
        <v/>
      </c>
      <c r="N296" s="31" t="str">
        <f aca="false">IF($M296="","",IFERROR(IF($J296="",IF(INDEX(Settings!$D$12:$D$21,MATCH($B296,Settings!$B$12:$B$21,0))="Tiered",INDEX(Settings!$I$12:$I$21,MATCH($B296,Settings!$B$12:$B$21,0)),INDEX(Settings!$G$12:$G$21,MATCH($B296,Settings!$B$12:$B$21,0))),INDEX(Calculation!$U$6:$U$125,(MATCH($B296,Settings!$B$12:$B$21,0)-1)*12+$J296)),0))</f>
        <v/>
      </c>
      <c r="O296" s="30" t="n">
        <f aca="false">IF($M296="",0,N($L296)*N($N296))</f>
        <v>0</v>
      </c>
      <c r="P296" s="29" t="n">
        <f aca="false">IF(AND($B296&lt;&gt;"",$B296=Statement!$C$6,$J296=Statement!$C$8,$K296=1),1,0)</f>
        <v>0</v>
      </c>
      <c r="Q296" s="29" t="str">
        <f aca="false">IF($P296=1,SUM($P$5:$P296),"")</f>
        <v/>
      </c>
      <c r="R296" s="29" t="n">
        <f aca="false">IF(AND($B296&lt;&gt;"",$B296=Statement!$C$6,$M296=Statement!$C$8),1,0)</f>
        <v>0</v>
      </c>
      <c r="S296" s="29" t="str">
        <f aca="false">IF($R296=1,SUM($R$5:$R296),"")</f>
        <v/>
      </c>
    </row>
    <row r="297" customFormat="false" ht="15" hidden="false" customHeight="false" outlineLevel="0" collapsed="false">
      <c r="A297" s="28"/>
      <c r="B297" s="10"/>
      <c r="C297" s="10"/>
      <c r="D297" s="10"/>
      <c r="E297" s="23"/>
      <c r="F297" s="23"/>
      <c r="G297" s="10"/>
      <c r="H297" s="10"/>
      <c r="I297" s="28"/>
      <c r="J297" s="29" t="str">
        <f aca="false">IF(OR($A297="",$B297=""),"",IF(YEAR($A297)=Settings!$C$4,MONTH($A297),""))</f>
        <v/>
      </c>
      <c r="K297" s="29" t="str">
        <f aca="false">IF($A297="","",IF(OR($J297="",$B297=""),0,IF(OR($G297="Won",$H297="Yes"),1,0)))</f>
        <v/>
      </c>
      <c r="L297" s="30" t="str">
        <f aca="false">IF($B297="","",IFERROR(IF(INDEX(Settings!$E$12:$E$21,MATCH($B297,Settings!$B$12:$B$21,0))="Gross margin",N($F297),N($E297)),""))</f>
        <v/>
      </c>
      <c r="M297" s="29" t="str">
        <f aca="false">IF(AND($G297="Cancelled",$H297="Yes",$I297&lt;&gt;""),IF(YEAR($I297)=Settings!$C$4,MONTH($I297),""),"")</f>
        <v/>
      </c>
      <c r="N297" s="31" t="str">
        <f aca="false">IF($M297="","",IFERROR(IF($J297="",IF(INDEX(Settings!$D$12:$D$21,MATCH($B297,Settings!$B$12:$B$21,0))="Tiered",INDEX(Settings!$I$12:$I$21,MATCH($B297,Settings!$B$12:$B$21,0)),INDEX(Settings!$G$12:$G$21,MATCH($B297,Settings!$B$12:$B$21,0))),INDEX(Calculation!$U$6:$U$125,(MATCH($B297,Settings!$B$12:$B$21,0)-1)*12+$J297)),0))</f>
        <v/>
      </c>
      <c r="O297" s="30" t="n">
        <f aca="false">IF($M297="",0,N($L297)*N($N297))</f>
        <v>0</v>
      </c>
      <c r="P297" s="29" t="n">
        <f aca="false">IF(AND($B297&lt;&gt;"",$B297=Statement!$C$6,$J297=Statement!$C$8,$K297=1),1,0)</f>
        <v>0</v>
      </c>
      <c r="Q297" s="29" t="str">
        <f aca="false">IF($P297=1,SUM($P$5:$P297),"")</f>
        <v/>
      </c>
      <c r="R297" s="29" t="n">
        <f aca="false">IF(AND($B297&lt;&gt;"",$B297=Statement!$C$6,$M297=Statement!$C$8),1,0)</f>
        <v>0</v>
      </c>
      <c r="S297" s="29" t="str">
        <f aca="false">IF($R297=1,SUM($R$5:$R297),"")</f>
        <v/>
      </c>
    </row>
    <row r="298" customFormat="false" ht="15" hidden="false" customHeight="false" outlineLevel="0" collapsed="false">
      <c r="A298" s="28"/>
      <c r="B298" s="10"/>
      <c r="C298" s="10"/>
      <c r="D298" s="10"/>
      <c r="E298" s="23"/>
      <c r="F298" s="23"/>
      <c r="G298" s="10"/>
      <c r="H298" s="10"/>
      <c r="I298" s="28"/>
      <c r="J298" s="29" t="str">
        <f aca="false">IF(OR($A298="",$B298=""),"",IF(YEAR($A298)=Settings!$C$4,MONTH($A298),""))</f>
        <v/>
      </c>
      <c r="K298" s="29" t="str">
        <f aca="false">IF($A298="","",IF(OR($J298="",$B298=""),0,IF(OR($G298="Won",$H298="Yes"),1,0)))</f>
        <v/>
      </c>
      <c r="L298" s="30" t="str">
        <f aca="false">IF($B298="","",IFERROR(IF(INDEX(Settings!$E$12:$E$21,MATCH($B298,Settings!$B$12:$B$21,0))="Gross margin",N($F298),N($E298)),""))</f>
        <v/>
      </c>
      <c r="M298" s="29" t="str">
        <f aca="false">IF(AND($G298="Cancelled",$H298="Yes",$I298&lt;&gt;""),IF(YEAR($I298)=Settings!$C$4,MONTH($I298),""),"")</f>
        <v/>
      </c>
      <c r="N298" s="31" t="str">
        <f aca="false">IF($M298="","",IFERROR(IF($J298="",IF(INDEX(Settings!$D$12:$D$21,MATCH($B298,Settings!$B$12:$B$21,0))="Tiered",INDEX(Settings!$I$12:$I$21,MATCH($B298,Settings!$B$12:$B$21,0)),INDEX(Settings!$G$12:$G$21,MATCH($B298,Settings!$B$12:$B$21,0))),INDEX(Calculation!$U$6:$U$125,(MATCH($B298,Settings!$B$12:$B$21,0)-1)*12+$J298)),0))</f>
        <v/>
      </c>
      <c r="O298" s="30" t="n">
        <f aca="false">IF($M298="",0,N($L298)*N($N298))</f>
        <v>0</v>
      </c>
      <c r="P298" s="29" t="n">
        <f aca="false">IF(AND($B298&lt;&gt;"",$B298=Statement!$C$6,$J298=Statement!$C$8,$K298=1),1,0)</f>
        <v>0</v>
      </c>
      <c r="Q298" s="29" t="str">
        <f aca="false">IF($P298=1,SUM($P$5:$P298),"")</f>
        <v/>
      </c>
      <c r="R298" s="29" t="n">
        <f aca="false">IF(AND($B298&lt;&gt;"",$B298=Statement!$C$6,$M298=Statement!$C$8),1,0)</f>
        <v>0</v>
      </c>
      <c r="S298" s="29" t="str">
        <f aca="false">IF($R298=1,SUM($R$5:$R298),"")</f>
        <v/>
      </c>
    </row>
    <row r="299" customFormat="false" ht="15" hidden="false" customHeight="false" outlineLevel="0" collapsed="false">
      <c r="A299" s="28"/>
      <c r="B299" s="10"/>
      <c r="C299" s="10"/>
      <c r="D299" s="10"/>
      <c r="E299" s="23"/>
      <c r="F299" s="23"/>
      <c r="G299" s="10"/>
      <c r="H299" s="10"/>
      <c r="I299" s="28"/>
      <c r="J299" s="29" t="str">
        <f aca="false">IF(OR($A299="",$B299=""),"",IF(YEAR($A299)=Settings!$C$4,MONTH($A299),""))</f>
        <v/>
      </c>
      <c r="K299" s="29" t="str">
        <f aca="false">IF($A299="","",IF(OR($J299="",$B299=""),0,IF(OR($G299="Won",$H299="Yes"),1,0)))</f>
        <v/>
      </c>
      <c r="L299" s="30" t="str">
        <f aca="false">IF($B299="","",IFERROR(IF(INDEX(Settings!$E$12:$E$21,MATCH($B299,Settings!$B$12:$B$21,0))="Gross margin",N($F299),N($E299)),""))</f>
        <v/>
      </c>
      <c r="M299" s="29" t="str">
        <f aca="false">IF(AND($G299="Cancelled",$H299="Yes",$I299&lt;&gt;""),IF(YEAR($I299)=Settings!$C$4,MONTH($I299),""),"")</f>
        <v/>
      </c>
      <c r="N299" s="31" t="str">
        <f aca="false">IF($M299="","",IFERROR(IF($J299="",IF(INDEX(Settings!$D$12:$D$21,MATCH($B299,Settings!$B$12:$B$21,0))="Tiered",INDEX(Settings!$I$12:$I$21,MATCH($B299,Settings!$B$12:$B$21,0)),INDEX(Settings!$G$12:$G$21,MATCH($B299,Settings!$B$12:$B$21,0))),INDEX(Calculation!$U$6:$U$125,(MATCH($B299,Settings!$B$12:$B$21,0)-1)*12+$J299)),0))</f>
        <v/>
      </c>
      <c r="O299" s="30" t="n">
        <f aca="false">IF($M299="",0,N($L299)*N($N299))</f>
        <v>0</v>
      </c>
      <c r="P299" s="29" t="n">
        <f aca="false">IF(AND($B299&lt;&gt;"",$B299=Statement!$C$6,$J299=Statement!$C$8,$K299=1),1,0)</f>
        <v>0</v>
      </c>
      <c r="Q299" s="29" t="str">
        <f aca="false">IF($P299=1,SUM($P$5:$P299),"")</f>
        <v/>
      </c>
      <c r="R299" s="29" t="n">
        <f aca="false">IF(AND($B299&lt;&gt;"",$B299=Statement!$C$6,$M299=Statement!$C$8),1,0)</f>
        <v>0</v>
      </c>
      <c r="S299" s="29" t="str">
        <f aca="false">IF($R299=1,SUM($R$5:$R299),"")</f>
        <v/>
      </c>
    </row>
    <row r="300" customFormat="false" ht="15" hidden="false" customHeight="false" outlineLevel="0" collapsed="false">
      <c r="A300" s="28"/>
      <c r="B300" s="10"/>
      <c r="C300" s="10"/>
      <c r="D300" s="10"/>
      <c r="E300" s="23"/>
      <c r="F300" s="23"/>
      <c r="G300" s="10"/>
      <c r="H300" s="10"/>
      <c r="I300" s="28"/>
      <c r="J300" s="29" t="str">
        <f aca="false">IF(OR($A300="",$B300=""),"",IF(YEAR($A300)=Settings!$C$4,MONTH($A300),""))</f>
        <v/>
      </c>
      <c r="K300" s="29" t="str">
        <f aca="false">IF($A300="","",IF(OR($J300="",$B300=""),0,IF(OR($G300="Won",$H300="Yes"),1,0)))</f>
        <v/>
      </c>
      <c r="L300" s="30" t="str">
        <f aca="false">IF($B300="","",IFERROR(IF(INDEX(Settings!$E$12:$E$21,MATCH($B300,Settings!$B$12:$B$21,0))="Gross margin",N($F300),N($E300)),""))</f>
        <v/>
      </c>
      <c r="M300" s="29" t="str">
        <f aca="false">IF(AND($G300="Cancelled",$H300="Yes",$I300&lt;&gt;""),IF(YEAR($I300)=Settings!$C$4,MONTH($I300),""),"")</f>
        <v/>
      </c>
      <c r="N300" s="31" t="str">
        <f aca="false">IF($M300="","",IFERROR(IF($J300="",IF(INDEX(Settings!$D$12:$D$21,MATCH($B300,Settings!$B$12:$B$21,0))="Tiered",INDEX(Settings!$I$12:$I$21,MATCH($B300,Settings!$B$12:$B$21,0)),INDEX(Settings!$G$12:$G$21,MATCH($B300,Settings!$B$12:$B$21,0))),INDEX(Calculation!$U$6:$U$125,(MATCH($B300,Settings!$B$12:$B$21,0)-1)*12+$J300)),0))</f>
        <v/>
      </c>
      <c r="O300" s="30" t="n">
        <f aca="false">IF($M300="",0,N($L300)*N($N300))</f>
        <v>0</v>
      </c>
      <c r="P300" s="29" t="n">
        <f aca="false">IF(AND($B300&lt;&gt;"",$B300=Statement!$C$6,$J300=Statement!$C$8,$K300=1),1,0)</f>
        <v>0</v>
      </c>
      <c r="Q300" s="29" t="str">
        <f aca="false">IF($P300=1,SUM($P$5:$P300),"")</f>
        <v/>
      </c>
      <c r="R300" s="29" t="n">
        <f aca="false">IF(AND($B300&lt;&gt;"",$B300=Statement!$C$6,$M300=Statement!$C$8),1,0)</f>
        <v>0</v>
      </c>
      <c r="S300" s="29" t="str">
        <f aca="false">IF($R300=1,SUM($R$5:$R300),"")</f>
        <v/>
      </c>
    </row>
    <row r="301" customFormat="false" ht="15" hidden="false" customHeight="false" outlineLevel="0" collapsed="false">
      <c r="A301" s="28"/>
      <c r="B301" s="10"/>
      <c r="C301" s="10"/>
      <c r="D301" s="10"/>
      <c r="E301" s="23"/>
      <c r="F301" s="23"/>
      <c r="G301" s="10"/>
      <c r="H301" s="10"/>
      <c r="I301" s="28"/>
      <c r="J301" s="29" t="str">
        <f aca="false">IF(OR($A301="",$B301=""),"",IF(YEAR($A301)=Settings!$C$4,MONTH($A301),""))</f>
        <v/>
      </c>
      <c r="K301" s="29" t="str">
        <f aca="false">IF($A301="","",IF(OR($J301="",$B301=""),0,IF(OR($G301="Won",$H301="Yes"),1,0)))</f>
        <v/>
      </c>
      <c r="L301" s="30" t="str">
        <f aca="false">IF($B301="","",IFERROR(IF(INDEX(Settings!$E$12:$E$21,MATCH($B301,Settings!$B$12:$B$21,0))="Gross margin",N($F301),N($E301)),""))</f>
        <v/>
      </c>
      <c r="M301" s="29" t="str">
        <f aca="false">IF(AND($G301="Cancelled",$H301="Yes",$I301&lt;&gt;""),IF(YEAR($I301)=Settings!$C$4,MONTH($I301),""),"")</f>
        <v/>
      </c>
      <c r="N301" s="31" t="str">
        <f aca="false">IF($M301="","",IFERROR(IF($J301="",IF(INDEX(Settings!$D$12:$D$21,MATCH($B301,Settings!$B$12:$B$21,0))="Tiered",INDEX(Settings!$I$12:$I$21,MATCH($B301,Settings!$B$12:$B$21,0)),INDEX(Settings!$G$12:$G$21,MATCH($B301,Settings!$B$12:$B$21,0))),INDEX(Calculation!$U$6:$U$125,(MATCH($B301,Settings!$B$12:$B$21,0)-1)*12+$J301)),0))</f>
        <v/>
      </c>
      <c r="O301" s="30" t="n">
        <f aca="false">IF($M301="",0,N($L301)*N($N301))</f>
        <v>0</v>
      </c>
      <c r="P301" s="29" t="n">
        <f aca="false">IF(AND($B301&lt;&gt;"",$B301=Statement!$C$6,$J301=Statement!$C$8,$K301=1),1,0)</f>
        <v>0</v>
      </c>
      <c r="Q301" s="29" t="str">
        <f aca="false">IF($P301=1,SUM($P$5:$P301),"")</f>
        <v/>
      </c>
      <c r="R301" s="29" t="n">
        <f aca="false">IF(AND($B301&lt;&gt;"",$B301=Statement!$C$6,$M301=Statement!$C$8),1,0)</f>
        <v>0</v>
      </c>
      <c r="S301" s="29" t="str">
        <f aca="false">IF($R301=1,SUM($R$5:$R301),"")</f>
        <v/>
      </c>
    </row>
    <row r="302" customFormat="false" ht="15" hidden="false" customHeight="false" outlineLevel="0" collapsed="false">
      <c r="A302" s="28"/>
      <c r="B302" s="10"/>
      <c r="C302" s="10"/>
      <c r="D302" s="10"/>
      <c r="E302" s="23"/>
      <c r="F302" s="23"/>
      <c r="G302" s="10"/>
      <c r="H302" s="10"/>
      <c r="I302" s="28"/>
      <c r="J302" s="29" t="str">
        <f aca="false">IF(OR($A302="",$B302=""),"",IF(YEAR($A302)=Settings!$C$4,MONTH($A302),""))</f>
        <v/>
      </c>
      <c r="K302" s="29" t="str">
        <f aca="false">IF($A302="","",IF(OR($J302="",$B302=""),0,IF(OR($G302="Won",$H302="Yes"),1,0)))</f>
        <v/>
      </c>
      <c r="L302" s="30" t="str">
        <f aca="false">IF($B302="","",IFERROR(IF(INDEX(Settings!$E$12:$E$21,MATCH($B302,Settings!$B$12:$B$21,0))="Gross margin",N($F302),N($E302)),""))</f>
        <v/>
      </c>
      <c r="M302" s="29" t="str">
        <f aca="false">IF(AND($G302="Cancelled",$H302="Yes",$I302&lt;&gt;""),IF(YEAR($I302)=Settings!$C$4,MONTH($I302),""),"")</f>
        <v/>
      </c>
      <c r="N302" s="31" t="str">
        <f aca="false">IF($M302="","",IFERROR(IF($J302="",IF(INDEX(Settings!$D$12:$D$21,MATCH($B302,Settings!$B$12:$B$21,0))="Tiered",INDEX(Settings!$I$12:$I$21,MATCH($B302,Settings!$B$12:$B$21,0)),INDEX(Settings!$G$12:$G$21,MATCH($B302,Settings!$B$12:$B$21,0))),INDEX(Calculation!$U$6:$U$125,(MATCH($B302,Settings!$B$12:$B$21,0)-1)*12+$J302)),0))</f>
        <v/>
      </c>
      <c r="O302" s="30" t="n">
        <f aca="false">IF($M302="",0,N($L302)*N($N302))</f>
        <v>0</v>
      </c>
      <c r="P302" s="29" t="n">
        <f aca="false">IF(AND($B302&lt;&gt;"",$B302=Statement!$C$6,$J302=Statement!$C$8,$K302=1),1,0)</f>
        <v>0</v>
      </c>
      <c r="Q302" s="29" t="str">
        <f aca="false">IF($P302=1,SUM($P$5:$P302),"")</f>
        <v/>
      </c>
      <c r="R302" s="29" t="n">
        <f aca="false">IF(AND($B302&lt;&gt;"",$B302=Statement!$C$6,$M302=Statement!$C$8),1,0)</f>
        <v>0</v>
      </c>
      <c r="S302" s="29" t="str">
        <f aca="false">IF($R302=1,SUM($R$5:$R302),"")</f>
        <v/>
      </c>
    </row>
    <row r="303" customFormat="false" ht="15" hidden="false" customHeight="false" outlineLevel="0" collapsed="false">
      <c r="A303" s="28"/>
      <c r="B303" s="10"/>
      <c r="C303" s="10"/>
      <c r="D303" s="10"/>
      <c r="E303" s="23"/>
      <c r="F303" s="23"/>
      <c r="G303" s="10"/>
      <c r="H303" s="10"/>
      <c r="I303" s="28"/>
      <c r="J303" s="29" t="str">
        <f aca="false">IF(OR($A303="",$B303=""),"",IF(YEAR($A303)=Settings!$C$4,MONTH($A303),""))</f>
        <v/>
      </c>
      <c r="K303" s="29" t="str">
        <f aca="false">IF($A303="","",IF(OR($J303="",$B303=""),0,IF(OR($G303="Won",$H303="Yes"),1,0)))</f>
        <v/>
      </c>
      <c r="L303" s="30" t="str">
        <f aca="false">IF($B303="","",IFERROR(IF(INDEX(Settings!$E$12:$E$21,MATCH($B303,Settings!$B$12:$B$21,0))="Gross margin",N($F303),N($E303)),""))</f>
        <v/>
      </c>
      <c r="M303" s="29" t="str">
        <f aca="false">IF(AND($G303="Cancelled",$H303="Yes",$I303&lt;&gt;""),IF(YEAR($I303)=Settings!$C$4,MONTH($I303),""),"")</f>
        <v/>
      </c>
      <c r="N303" s="31" t="str">
        <f aca="false">IF($M303="","",IFERROR(IF($J303="",IF(INDEX(Settings!$D$12:$D$21,MATCH($B303,Settings!$B$12:$B$21,0))="Tiered",INDEX(Settings!$I$12:$I$21,MATCH($B303,Settings!$B$12:$B$21,0)),INDEX(Settings!$G$12:$G$21,MATCH($B303,Settings!$B$12:$B$21,0))),INDEX(Calculation!$U$6:$U$125,(MATCH($B303,Settings!$B$12:$B$21,0)-1)*12+$J303)),0))</f>
        <v/>
      </c>
      <c r="O303" s="30" t="n">
        <f aca="false">IF($M303="",0,N($L303)*N($N303))</f>
        <v>0</v>
      </c>
      <c r="P303" s="29" t="n">
        <f aca="false">IF(AND($B303&lt;&gt;"",$B303=Statement!$C$6,$J303=Statement!$C$8,$K303=1),1,0)</f>
        <v>0</v>
      </c>
      <c r="Q303" s="29" t="str">
        <f aca="false">IF($P303=1,SUM($P$5:$P303),"")</f>
        <v/>
      </c>
      <c r="R303" s="29" t="n">
        <f aca="false">IF(AND($B303&lt;&gt;"",$B303=Statement!$C$6,$M303=Statement!$C$8),1,0)</f>
        <v>0</v>
      </c>
      <c r="S303" s="29" t="str">
        <f aca="false">IF($R303=1,SUM($R$5:$R303),"")</f>
        <v/>
      </c>
    </row>
    <row r="304" customFormat="false" ht="15" hidden="false" customHeight="false" outlineLevel="0" collapsed="false">
      <c r="A304" s="28"/>
      <c r="B304" s="10"/>
      <c r="C304" s="10"/>
      <c r="D304" s="10"/>
      <c r="E304" s="23"/>
      <c r="F304" s="23"/>
      <c r="G304" s="10"/>
      <c r="H304" s="10"/>
      <c r="I304" s="28"/>
      <c r="J304" s="29" t="str">
        <f aca="false">IF(OR($A304="",$B304=""),"",IF(YEAR($A304)=Settings!$C$4,MONTH($A304),""))</f>
        <v/>
      </c>
      <c r="K304" s="29" t="str">
        <f aca="false">IF($A304="","",IF(OR($J304="",$B304=""),0,IF(OR($G304="Won",$H304="Yes"),1,0)))</f>
        <v/>
      </c>
      <c r="L304" s="30" t="str">
        <f aca="false">IF($B304="","",IFERROR(IF(INDEX(Settings!$E$12:$E$21,MATCH($B304,Settings!$B$12:$B$21,0))="Gross margin",N($F304),N($E304)),""))</f>
        <v/>
      </c>
      <c r="M304" s="29" t="str">
        <f aca="false">IF(AND($G304="Cancelled",$H304="Yes",$I304&lt;&gt;""),IF(YEAR($I304)=Settings!$C$4,MONTH($I304),""),"")</f>
        <v/>
      </c>
      <c r="N304" s="31" t="str">
        <f aca="false">IF($M304="","",IFERROR(IF($J304="",IF(INDEX(Settings!$D$12:$D$21,MATCH($B304,Settings!$B$12:$B$21,0))="Tiered",INDEX(Settings!$I$12:$I$21,MATCH($B304,Settings!$B$12:$B$21,0)),INDEX(Settings!$G$12:$G$21,MATCH($B304,Settings!$B$12:$B$21,0))),INDEX(Calculation!$U$6:$U$125,(MATCH($B304,Settings!$B$12:$B$21,0)-1)*12+$J304)),0))</f>
        <v/>
      </c>
      <c r="O304" s="30" t="n">
        <f aca="false">IF($M304="",0,N($L304)*N($N304))</f>
        <v>0</v>
      </c>
      <c r="P304" s="29" t="n">
        <f aca="false">IF(AND($B304&lt;&gt;"",$B304=Statement!$C$6,$J304=Statement!$C$8,$K304=1),1,0)</f>
        <v>0</v>
      </c>
      <c r="Q304" s="29" t="str">
        <f aca="false">IF($P304=1,SUM($P$5:$P304),"")</f>
        <v/>
      </c>
      <c r="R304" s="29" t="n">
        <f aca="false">IF(AND($B304&lt;&gt;"",$B304=Statement!$C$6,$M304=Statement!$C$8),1,0)</f>
        <v>0</v>
      </c>
      <c r="S304" s="29" t="str">
        <f aca="false">IF($R304=1,SUM($R$5:$R304),"")</f>
        <v/>
      </c>
    </row>
  </sheetData>
  <autoFilter ref="A4:O304"/>
  <dataValidations count="4">
    <dataValidation allowBlank="true" errorStyle="stop" operator="between" showDropDown="false" showErrorMessage="false" showInputMessage="false" sqref="B5:B304" type="list">
      <formula1>Settings!$B$12:$B$21</formula1>
      <formula2>0</formula2>
    </dataValidation>
    <dataValidation allowBlank="true" errorStyle="stop" operator="between" showDropDown="false" showErrorMessage="false" showInputMessage="false" sqref="G5:G304" type="list">
      <formula1>"Won,Cancelled"</formula1>
      <formula2>0</formula2>
    </dataValidation>
    <dataValidation allowBlank="true" errorStyle="stop" operator="between" showDropDown="false" showErrorMessage="false" showInputMessage="false" sqref="H5:H304" type="list">
      <formula1>"Yes,No"</formula1>
      <formula2>0</formula2>
    </dataValidation>
    <dataValidation allowBlank="true" errorStyle="stop" operator="greaterThan" showDropDown="false" showErrorMessage="false" showInputMessage="false" sqref="A5:A304 I5:I304" type="date">
      <formula1>1</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1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5" topLeftCell="E6" activePane="bottomRight" state="frozen"/>
      <selection pane="topLeft" activeCell="A1" activeCellId="0" sqref="A1"/>
      <selection pane="topRight" activeCell="E1" activeCellId="0" sqref="E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7"/>
    <col collapsed="false" customWidth="true" hidden="false" outlineLevel="0" max="3" min="3" style="0" width="11"/>
    <col collapsed="false" customWidth="true" hidden="false" outlineLevel="0" max="4" min="4" style="0" width="12"/>
    <col collapsed="false" customWidth="true" hidden="false" outlineLevel="0" max="5" min="5" style="0" width="14"/>
    <col collapsed="false" customWidth="true" hidden="false" outlineLevel="0" max="6" min="6" style="0" width="13"/>
    <col collapsed="false" customWidth="true" hidden="false" outlineLevel="0" max="7" min="7" style="0" width="12"/>
    <col collapsed="false" customWidth="true" hidden="false" outlineLevel="0" max="8" min="8" style="0" width="11"/>
    <col collapsed="false" customWidth="true" hidden="false" outlineLevel="0" max="13" min="9" style="0" width="12"/>
    <col collapsed="false" customWidth="true" hidden="false" outlineLevel="0" max="14" min="14" style="0" width="11"/>
    <col collapsed="false" customWidth="true" hidden="false" outlineLevel="0" max="15" min="15" style="0" width="12"/>
    <col collapsed="false" customWidth="true" hidden="false" outlineLevel="0" max="19" min="16" style="0" width="11"/>
    <col collapsed="false" customWidth="true" hidden="false" outlineLevel="0" max="20" min="20" style="0" width="13"/>
    <col collapsed="false" customWidth="true" hidden="false" outlineLevel="0" max="21" min="21" style="0" width="9"/>
  </cols>
  <sheetData>
    <row r="1" customFormat="false" ht="30" hidden="false" customHeight="true" outlineLevel="0" collapsed="false">
      <c r="A1" s="17" t="s">
        <v>164</v>
      </c>
    </row>
    <row r="2" customFormat="false" ht="15" hidden="false" customHeight="false" outlineLevel="0" collapsed="false">
      <c r="A2" s="20" t="s">
        <v>165</v>
      </c>
    </row>
    <row r="3" customFormat="false" ht="15" hidden="false" customHeight="false" outlineLevel="0" collapsed="false">
      <c r="A3" s="20" t="s">
        <v>166</v>
      </c>
    </row>
    <row r="5" customFormat="false" ht="43.5" hidden="false" customHeight="true" outlineLevel="0" collapsed="false">
      <c r="A5" s="22" t="s">
        <v>67</v>
      </c>
      <c r="B5" s="22" t="s">
        <v>167</v>
      </c>
      <c r="C5" s="22" t="s">
        <v>117</v>
      </c>
      <c r="D5" s="22" t="s">
        <v>69</v>
      </c>
      <c r="E5" s="22" t="s">
        <v>168</v>
      </c>
      <c r="F5" s="22" t="s">
        <v>31</v>
      </c>
      <c r="G5" s="22" t="s">
        <v>169</v>
      </c>
      <c r="H5" s="22" t="s">
        <v>33</v>
      </c>
      <c r="I5" s="22" t="s">
        <v>170</v>
      </c>
      <c r="J5" s="22" t="s">
        <v>171</v>
      </c>
      <c r="K5" s="22" t="s">
        <v>172</v>
      </c>
      <c r="L5" s="22" t="s">
        <v>173</v>
      </c>
      <c r="M5" s="22" t="s">
        <v>174</v>
      </c>
      <c r="N5" s="22" t="s">
        <v>35</v>
      </c>
      <c r="O5" s="22" t="s">
        <v>175</v>
      </c>
      <c r="P5" s="22" t="s">
        <v>176</v>
      </c>
      <c r="Q5" s="22" t="s">
        <v>177</v>
      </c>
      <c r="R5" s="22" t="s">
        <v>178</v>
      </c>
      <c r="S5" s="22" t="s">
        <v>179</v>
      </c>
      <c r="T5" s="22" t="s">
        <v>180</v>
      </c>
      <c r="U5" s="22" t="s">
        <v>43</v>
      </c>
    </row>
    <row r="6" customFormat="false" ht="15" hidden="false" customHeight="false" outlineLevel="0" collapsed="false">
      <c r="A6" s="32" t="str">
        <f aca="false">IF(Settings!$B$12="","",Settings!$B$12)</f>
        <v>Anna Holm</v>
      </c>
      <c r="B6" s="33" t="n">
        <f aca="false">IF($A6="","",1)</f>
        <v>1</v>
      </c>
      <c r="C6" s="32" t="str">
        <f aca="false">IF($A6="","",INDEX(Settings!$Q$12:$Q$23,$B6))</f>
        <v>January</v>
      </c>
      <c r="D6" s="32" t="str">
        <f aca="false">IF($A6="","",Settings!$D$12)</f>
        <v>Flat rate</v>
      </c>
      <c r="E6" s="34" t="n">
        <f aca="false">IF($A6="","",SUMIFS(Sales!$E$5:$E$304,Sales!$B$5:$B$304,$A6,Sales!$J$5:$J$304,$B6,Sales!$K$5:$K$304,1))</f>
        <v>145000</v>
      </c>
      <c r="F6" s="34" t="n">
        <f aca="false">IF($A6="","",SUMIFS(Sales!$L$5:$L$304,Sales!$B$5:$B$304,$A6,Sales!$J$5:$J$304,$B6,Sales!$K$5:$K$304,1))</f>
        <v>145000</v>
      </c>
      <c r="G6" s="34" t="n">
        <f aca="false">IF($A6="","",N(Settings!$F$12))</f>
        <v>250000</v>
      </c>
      <c r="H6" s="35" t="n">
        <f aca="false">IF(OR($A6="",N(G6)=0),"",F6/G6)</f>
        <v>0.58</v>
      </c>
      <c r="I6" s="34" t="n">
        <f aca="false">IF($A6="","",IF($D6="Flat rate",F6*N(Settings!$G$12),0))</f>
        <v>8700</v>
      </c>
      <c r="J6" s="34" t="n">
        <f aca="false">IF($A6="","",IF($D6="Tiered",MIN(F6,N(Settings!$H$12))*N(Settings!$I$12)+MAX(0,MIN(F6,N(Settings!$J$12))-N(Settings!$H$12))*N(Settings!$K$12)+MAX(0,F6-N(Settings!$J$12))*N(Settings!$L$12),0))</f>
        <v>0</v>
      </c>
      <c r="K6" s="34" t="n">
        <f aca="false">IF($A6="","",IF($D6="Accelerator",MIN(F6,G6)*N(Settings!$G$12),0))</f>
        <v>0</v>
      </c>
      <c r="L6" s="34" t="n">
        <f aca="false">IF($A6="","",IF($D6="Accelerator",MAX(0,F6-G6)*N(Settings!$M$12),0))</f>
        <v>0</v>
      </c>
      <c r="M6" s="34" t="n">
        <f aca="false">IF($A6="","",I6+J6+K6+L6)</f>
        <v>8700</v>
      </c>
      <c r="N6" s="34" t="str">
        <f aca="false">IF(OR($A6="",Settings!$N$12=""),"",Settings!$N$12)</f>
        <v/>
      </c>
      <c r="O6" s="34" t="n">
        <f aca="false">IF($A6="","",IF(N6="",M6,MIN(M6,N6)))</f>
        <v>8700</v>
      </c>
      <c r="P6" s="34" t="n">
        <f aca="false">IF($A6="","",SUMIFS(Sales!$O$5:$O$304,Sales!$B$5:$B$304,$A6,Sales!$M$5:$M$304,$B6))</f>
        <v>0</v>
      </c>
      <c r="Q6" s="34" t="n">
        <f aca="false">IF($A6="","",0)</f>
        <v>0</v>
      </c>
      <c r="R6" s="34" t="n">
        <f aca="false">IF($A6="","",MIN(O6,P6+Q6))</f>
        <v>0</v>
      </c>
      <c r="S6" s="34" t="n">
        <f aca="false">IF($A6="","",P6+Q6-R6)</f>
        <v>0</v>
      </c>
      <c r="T6" s="36" t="n">
        <f aca="false">IF($A6="","",O6-R6)</f>
        <v>8700</v>
      </c>
      <c r="U6" s="35" t="n">
        <f aca="false">IF($A6="","",IF(N(F6)=0,0,O6/F6))</f>
        <v>0.06</v>
      </c>
    </row>
    <row r="7" customFormat="false" ht="15" hidden="false" customHeight="false" outlineLevel="0" collapsed="false">
      <c r="A7" s="32" t="str">
        <f aca="false">IF(Settings!$B$12="","",Settings!$B$12)</f>
        <v>Anna Holm</v>
      </c>
      <c r="B7" s="33" t="n">
        <f aca="false">IF($A7="","",2)</f>
        <v>2</v>
      </c>
      <c r="C7" s="32" t="str">
        <f aca="false">IF($A7="","",INDEX(Settings!$Q$12:$Q$23,$B7))</f>
        <v>February</v>
      </c>
      <c r="D7" s="32" t="str">
        <f aca="false">IF($A7="","",Settings!$D$12)</f>
        <v>Flat rate</v>
      </c>
      <c r="E7" s="34" t="n">
        <f aca="false">IF($A7="","",SUMIFS(Sales!$E$5:$E$304,Sales!$B$5:$B$304,$A7,Sales!$J$5:$J$304,$B7,Sales!$K$5:$K$304,1))</f>
        <v>155000</v>
      </c>
      <c r="F7" s="34" t="n">
        <f aca="false">IF($A7="","",SUMIFS(Sales!$L$5:$L$304,Sales!$B$5:$B$304,$A7,Sales!$J$5:$J$304,$B7,Sales!$K$5:$K$304,1))</f>
        <v>155000</v>
      </c>
      <c r="G7" s="34" t="n">
        <f aca="false">IF($A7="","",N(Settings!$F$12))</f>
        <v>250000</v>
      </c>
      <c r="H7" s="35" t="n">
        <f aca="false">IF(OR($A7="",N(G7)=0),"",F7/G7)</f>
        <v>0.62</v>
      </c>
      <c r="I7" s="34" t="n">
        <f aca="false">IF($A7="","",IF($D7="Flat rate",F7*N(Settings!$G$12),0))</f>
        <v>9300</v>
      </c>
      <c r="J7" s="34" t="n">
        <f aca="false">IF($A7="","",IF($D7="Tiered",MIN(F7,N(Settings!$H$12))*N(Settings!$I$12)+MAX(0,MIN(F7,N(Settings!$J$12))-N(Settings!$H$12))*N(Settings!$K$12)+MAX(0,F7-N(Settings!$J$12))*N(Settings!$L$12),0))</f>
        <v>0</v>
      </c>
      <c r="K7" s="34" t="n">
        <f aca="false">IF($A7="","",IF($D7="Accelerator",MIN(F7,G7)*N(Settings!$G$12),0))</f>
        <v>0</v>
      </c>
      <c r="L7" s="34" t="n">
        <f aca="false">IF($A7="","",IF($D7="Accelerator",MAX(0,F7-G7)*N(Settings!$M$12),0))</f>
        <v>0</v>
      </c>
      <c r="M7" s="34" t="n">
        <f aca="false">IF($A7="","",I7+J7+K7+L7)</f>
        <v>9300</v>
      </c>
      <c r="N7" s="34" t="str">
        <f aca="false">IF(OR($A7="",Settings!$N$12=""),"",Settings!$N$12)</f>
        <v/>
      </c>
      <c r="O7" s="34" t="n">
        <f aca="false">IF($A7="","",IF(N7="",M7,MIN(M7,N7)))</f>
        <v>9300</v>
      </c>
      <c r="P7" s="34" t="n">
        <f aca="false">IF($A7="","",SUMIFS(Sales!$O$5:$O$304,Sales!$B$5:$B$304,$A7,Sales!$M$5:$M$304,$B7))</f>
        <v>0</v>
      </c>
      <c r="Q7" s="34" t="n">
        <f aca="false">IF($A7="","",S6)</f>
        <v>0</v>
      </c>
      <c r="R7" s="34" t="n">
        <f aca="false">IF($A7="","",MIN(O7,P7+Q7))</f>
        <v>0</v>
      </c>
      <c r="S7" s="34" t="n">
        <f aca="false">IF($A7="","",P7+Q7-R7)</f>
        <v>0</v>
      </c>
      <c r="T7" s="36" t="n">
        <f aca="false">IF($A7="","",O7-R7)</f>
        <v>9300</v>
      </c>
      <c r="U7" s="35" t="n">
        <f aca="false">IF($A7="","",IF(N(F7)=0,0,O7/F7))</f>
        <v>0.06</v>
      </c>
    </row>
    <row r="8" customFormat="false" ht="15" hidden="false" customHeight="false" outlineLevel="0" collapsed="false">
      <c r="A8" s="32" t="str">
        <f aca="false">IF(Settings!$B$12="","",Settings!$B$12)</f>
        <v>Anna Holm</v>
      </c>
      <c r="B8" s="33" t="n">
        <f aca="false">IF($A8="","",3)</f>
        <v>3</v>
      </c>
      <c r="C8" s="32" t="str">
        <f aca="false">IF($A8="","",INDEX(Settings!$Q$12:$Q$23,$B8))</f>
        <v>March</v>
      </c>
      <c r="D8" s="32" t="str">
        <f aca="false">IF($A8="","",Settings!$D$12)</f>
        <v>Flat rate</v>
      </c>
      <c r="E8" s="34" t="n">
        <f aca="false">IF($A8="","",SUMIFS(Sales!$E$5:$E$304,Sales!$B$5:$B$304,$A8,Sales!$J$5:$J$304,$B8,Sales!$K$5:$K$304,1))</f>
        <v>225000</v>
      </c>
      <c r="F8" s="34" t="n">
        <f aca="false">IF($A8="","",SUMIFS(Sales!$L$5:$L$304,Sales!$B$5:$B$304,$A8,Sales!$J$5:$J$304,$B8,Sales!$K$5:$K$304,1))</f>
        <v>225000</v>
      </c>
      <c r="G8" s="34" t="n">
        <f aca="false">IF($A8="","",N(Settings!$F$12))</f>
        <v>250000</v>
      </c>
      <c r="H8" s="35" t="n">
        <f aca="false">IF(OR($A8="",N(G8)=0),"",F8/G8)</f>
        <v>0.9</v>
      </c>
      <c r="I8" s="34" t="n">
        <f aca="false">IF($A8="","",IF($D8="Flat rate",F8*N(Settings!$G$12),0))</f>
        <v>13500</v>
      </c>
      <c r="J8" s="34" t="n">
        <f aca="false">IF($A8="","",IF($D8="Tiered",MIN(F8,N(Settings!$H$12))*N(Settings!$I$12)+MAX(0,MIN(F8,N(Settings!$J$12))-N(Settings!$H$12))*N(Settings!$K$12)+MAX(0,F8-N(Settings!$J$12))*N(Settings!$L$12),0))</f>
        <v>0</v>
      </c>
      <c r="K8" s="34" t="n">
        <f aca="false">IF($A8="","",IF($D8="Accelerator",MIN(F8,G8)*N(Settings!$G$12),0))</f>
        <v>0</v>
      </c>
      <c r="L8" s="34" t="n">
        <f aca="false">IF($A8="","",IF($D8="Accelerator",MAX(0,F8-G8)*N(Settings!$M$12),0))</f>
        <v>0</v>
      </c>
      <c r="M8" s="34" t="n">
        <f aca="false">IF($A8="","",I8+J8+K8+L8)</f>
        <v>13500</v>
      </c>
      <c r="N8" s="34" t="str">
        <f aca="false">IF(OR($A8="",Settings!$N$12=""),"",Settings!$N$12)</f>
        <v/>
      </c>
      <c r="O8" s="34" t="n">
        <f aca="false">IF($A8="","",IF(N8="",M8,MIN(M8,N8)))</f>
        <v>13500</v>
      </c>
      <c r="P8" s="34" t="n">
        <f aca="false">IF($A8="","",SUMIFS(Sales!$O$5:$O$304,Sales!$B$5:$B$304,$A8,Sales!$M$5:$M$304,$B8))</f>
        <v>3600</v>
      </c>
      <c r="Q8" s="34" t="n">
        <f aca="false">IF($A8="","",S7)</f>
        <v>0</v>
      </c>
      <c r="R8" s="34" t="n">
        <f aca="false">IF($A8="","",MIN(O8,P8+Q8))</f>
        <v>3600</v>
      </c>
      <c r="S8" s="34" t="n">
        <f aca="false">IF($A8="","",P8+Q8-R8)</f>
        <v>0</v>
      </c>
      <c r="T8" s="36" t="n">
        <f aca="false">IF($A8="","",O8-R8)</f>
        <v>9900</v>
      </c>
      <c r="U8" s="35" t="n">
        <f aca="false">IF($A8="","",IF(N(F8)=0,0,O8/F8))</f>
        <v>0.06</v>
      </c>
    </row>
    <row r="9" customFormat="false" ht="15" hidden="false" customHeight="false" outlineLevel="0" collapsed="false">
      <c r="A9" s="32" t="str">
        <f aca="false">IF(Settings!$B$12="","",Settings!$B$12)</f>
        <v>Anna Holm</v>
      </c>
      <c r="B9" s="33" t="n">
        <f aca="false">IF($A9="","",4)</f>
        <v>4</v>
      </c>
      <c r="C9" s="32" t="str">
        <f aca="false">IF($A9="","",INDEX(Settings!$Q$12:$Q$23,$B9))</f>
        <v>April</v>
      </c>
      <c r="D9" s="32" t="str">
        <f aca="false">IF($A9="","",Settings!$D$12)</f>
        <v>Flat rate</v>
      </c>
      <c r="E9" s="34" t="n">
        <f aca="false">IF($A9="","",SUMIFS(Sales!$E$5:$E$304,Sales!$B$5:$B$304,$A9,Sales!$J$5:$J$304,$B9,Sales!$K$5:$K$304,1))</f>
        <v>0</v>
      </c>
      <c r="F9" s="34" t="n">
        <f aca="false">IF($A9="","",SUMIFS(Sales!$L$5:$L$304,Sales!$B$5:$B$304,$A9,Sales!$J$5:$J$304,$B9,Sales!$K$5:$K$304,1))</f>
        <v>0</v>
      </c>
      <c r="G9" s="34" t="n">
        <f aca="false">IF($A9="","",N(Settings!$F$12))</f>
        <v>250000</v>
      </c>
      <c r="H9" s="35" t="n">
        <f aca="false">IF(OR($A9="",N(G9)=0),"",F9/G9)</f>
        <v>0</v>
      </c>
      <c r="I9" s="34" t="n">
        <f aca="false">IF($A9="","",IF($D9="Flat rate",F9*N(Settings!$G$12),0))</f>
        <v>0</v>
      </c>
      <c r="J9" s="34" t="n">
        <f aca="false">IF($A9="","",IF($D9="Tiered",MIN(F9,N(Settings!$H$12))*N(Settings!$I$12)+MAX(0,MIN(F9,N(Settings!$J$12))-N(Settings!$H$12))*N(Settings!$K$12)+MAX(0,F9-N(Settings!$J$12))*N(Settings!$L$12),0))</f>
        <v>0</v>
      </c>
      <c r="K9" s="34" t="n">
        <f aca="false">IF($A9="","",IF($D9="Accelerator",MIN(F9,G9)*N(Settings!$G$12),0))</f>
        <v>0</v>
      </c>
      <c r="L9" s="34" t="n">
        <f aca="false">IF($A9="","",IF($D9="Accelerator",MAX(0,F9-G9)*N(Settings!$M$12),0))</f>
        <v>0</v>
      </c>
      <c r="M9" s="34" t="n">
        <f aca="false">IF($A9="","",I9+J9+K9+L9)</f>
        <v>0</v>
      </c>
      <c r="N9" s="34" t="str">
        <f aca="false">IF(OR($A9="",Settings!$N$12=""),"",Settings!$N$12)</f>
        <v/>
      </c>
      <c r="O9" s="34" t="n">
        <f aca="false">IF($A9="","",IF(N9="",M9,MIN(M9,N9)))</f>
        <v>0</v>
      </c>
      <c r="P9" s="34" t="n">
        <f aca="false">IF($A9="","",SUMIFS(Sales!$O$5:$O$304,Sales!$B$5:$B$304,$A9,Sales!$M$5:$M$304,$B9))</f>
        <v>0</v>
      </c>
      <c r="Q9" s="34" t="n">
        <f aca="false">IF($A9="","",S8)</f>
        <v>0</v>
      </c>
      <c r="R9" s="34" t="n">
        <f aca="false">IF($A9="","",MIN(O9,P9+Q9))</f>
        <v>0</v>
      </c>
      <c r="S9" s="34" t="n">
        <f aca="false">IF($A9="","",P9+Q9-R9)</f>
        <v>0</v>
      </c>
      <c r="T9" s="36" t="n">
        <f aca="false">IF($A9="","",O9-R9)</f>
        <v>0</v>
      </c>
      <c r="U9" s="35" t="n">
        <f aca="false">IF($A9="","",IF(N(F9)=0,0,O9/F9))</f>
        <v>0</v>
      </c>
    </row>
    <row r="10" customFormat="false" ht="15" hidden="false" customHeight="false" outlineLevel="0" collapsed="false">
      <c r="A10" s="32" t="str">
        <f aca="false">IF(Settings!$B$12="","",Settings!$B$12)</f>
        <v>Anna Holm</v>
      </c>
      <c r="B10" s="33" t="n">
        <f aca="false">IF($A10="","",5)</f>
        <v>5</v>
      </c>
      <c r="C10" s="32" t="str">
        <f aca="false">IF($A10="","",INDEX(Settings!$Q$12:$Q$23,$B10))</f>
        <v>May</v>
      </c>
      <c r="D10" s="32" t="str">
        <f aca="false">IF($A10="","",Settings!$D$12)</f>
        <v>Flat rate</v>
      </c>
      <c r="E10" s="34" t="n">
        <f aca="false">IF($A10="","",SUMIFS(Sales!$E$5:$E$304,Sales!$B$5:$B$304,$A10,Sales!$J$5:$J$304,$B10,Sales!$K$5:$K$304,1))</f>
        <v>0</v>
      </c>
      <c r="F10" s="34" t="n">
        <f aca="false">IF($A10="","",SUMIFS(Sales!$L$5:$L$304,Sales!$B$5:$B$304,$A10,Sales!$J$5:$J$304,$B10,Sales!$K$5:$K$304,1))</f>
        <v>0</v>
      </c>
      <c r="G10" s="34" t="n">
        <f aca="false">IF($A10="","",N(Settings!$F$12))</f>
        <v>250000</v>
      </c>
      <c r="H10" s="35" t="n">
        <f aca="false">IF(OR($A10="",N(G10)=0),"",F10/G10)</f>
        <v>0</v>
      </c>
      <c r="I10" s="34" t="n">
        <f aca="false">IF($A10="","",IF($D10="Flat rate",F10*N(Settings!$G$12),0))</f>
        <v>0</v>
      </c>
      <c r="J10" s="34" t="n">
        <f aca="false">IF($A10="","",IF($D10="Tiered",MIN(F10,N(Settings!$H$12))*N(Settings!$I$12)+MAX(0,MIN(F10,N(Settings!$J$12))-N(Settings!$H$12))*N(Settings!$K$12)+MAX(0,F10-N(Settings!$J$12))*N(Settings!$L$12),0))</f>
        <v>0</v>
      </c>
      <c r="K10" s="34" t="n">
        <f aca="false">IF($A10="","",IF($D10="Accelerator",MIN(F10,G10)*N(Settings!$G$12),0))</f>
        <v>0</v>
      </c>
      <c r="L10" s="34" t="n">
        <f aca="false">IF($A10="","",IF($D10="Accelerator",MAX(0,F10-G10)*N(Settings!$M$12),0))</f>
        <v>0</v>
      </c>
      <c r="M10" s="34" t="n">
        <f aca="false">IF($A10="","",I10+J10+K10+L10)</f>
        <v>0</v>
      </c>
      <c r="N10" s="34" t="str">
        <f aca="false">IF(OR($A10="",Settings!$N$12=""),"",Settings!$N$12)</f>
        <v/>
      </c>
      <c r="O10" s="34" t="n">
        <f aca="false">IF($A10="","",IF(N10="",M10,MIN(M10,N10)))</f>
        <v>0</v>
      </c>
      <c r="P10" s="34" t="n">
        <f aca="false">IF($A10="","",SUMIFS(Sales!$O$5:$O$304,Sales!$B$5:$B$304,$A10,Sales!$M$5:$M$304,$B10))</f>
        <v>0</v>
      </c>
      <c r="Q10" s="34" t="n">
        <f aca="false">IF($A10="","",S9)</f>
        <v>0</v>
      </c>
      <c r="R10" s="34" t="n">
        <f aca="false">IF($A10="","",MIN(O10,P10+Q10))</f>
        <v>0</v>
      </c>
      <c r="S10" s="34" t="n">
        <f aca="false">IF($A10="","",P10+Q10-R10)</f>
        <v>0</v>
      </c>
      <c r="T10" s="36" t="n">
        <f aca="false">IF($A10="","",O10-R10)</f>
        <v>0</v>
      </c>
      <c r="U10" s="35" t="n">
        <f aca="false">IF($A10="","",IF(N(F10)=0,0,O10/F10))</f>
        <v>0</v>
      </c>
    </row>
    <row r="11" customFormat="false" ht="15" hidden="false" customHeight="false" outlineLevel="0" collapsed="false">
      <c r="A11" s="32" t="str">
        <f aca="false">IF(Settings!$B$12="","",Settings!$B$12)</f>
        <v>Anna Holm</v>
      </c>
      <c r="B11" s="33" t="n">
        <f aca="false">IF($A11="","",6)</f>
        <v>6</v>
      </c>
      <c r="C11" s="32" t="str">
        <f aca="false">IF($A11="","",INDEX(Settings!$Q$12:$Q$23,$B11))</f>
        <v>June</v>
      </c>
      <c r="D11" s="32" t="str">
        <f aca="false">IF($A11="","",Settings!$D$12)</f>
        <v>Flat rate</v>
      </c>
      <c r="E11" s="34" t="n">
        <f aca="false">IF($A11="","",SUMIFS(Sales!$E$5:$E$304,Sales!$B$5:$B$304,$A11,Sales!$J$5:$J$304,$B11,Sales!$K$5:$K$304,1))</f>
        <v>0</v>
      </c>
      <c r="F11" s="34" t="n">
        <f aca="false">IF($A11="","",SUMIFS(Sales!$L$5:$L$304,Sales!$B$5:$B$304,$A11,Sales!$J$5:$J$304,$B11,Sales!$K$5:$K$304,1))</f>
        <v>0</v>
      </c>
      <c r="G11" s="34" t="n">
        <f aca="false">IF($A11="","",N(Settings!$F$12))</f>
        <v>250000</v>
      </c>
      <c r="H11" s="35" t="n">
        <f aca="false">IF(OR($A11="",N(G11)=0),"",F11/G11)</f>
        <v>0</v>
      </c>
      <c r="I11" s="34" t="n">
        <f aca="false">IF($A11="","",IF($D11="Flat rate",F11*N(Settings!$G$12),0))</f>
        <v>0</v>
      </c>
      <c r="J11" s="34" t="n">
        <f aca="false">IF($A11="","",IF($D11="Tiered",MIN(F11,N(Settings!$H$12))*N(Settings!$I$12)+MAX(0,MIN(F11,N(Settings!$J$12))-N(Settings!$H$12))*N(Settings!$K$12)+MAX(0,F11-N(Settings!$J$12))*N(Settings!$L$12),0))</f>
        <v>0</v>
      </c>
      <c r="K11" s="34" t="n">
        <f aca="false">IF($A11="","",IF($D11="Accelerator",MIN(F11,G11)*N(Settings!$G$12),0))</f>
        <v>0</v>
      </c>
      <c r="L11" s="34" t="n">
        <f aca="false">IF($A11="","",IF($D11="Accelerator",MAX(0,F11-G11)*N(Settings!$M$12),0))</f>
        <v>0</v>
      </c>
      <c r="M11" s="34" t="n">
        <f aca="false">IF($A11="","",I11+J11+K11+L11)</f>
        <v>0</v>
      </c>
      <c r="N11" s="34" t="str">
        <f aca="false">IF(OR($A11="",Settings!$N$12=""),"",Settings!$N$12)</f>
        <v/>
      </c>
      <c r="O11" s="34" t="n">
        <f aca="false">IF($A11="","",IF(N11="",M11,MIN(M11,N11)))</f>
        <v>0</v>
      </c>
      <c r="P11" s="34" t="n">
        <f aca="false">IF($A11="","",SUMIFS(Sales!$O$5:$O$304,Sales!$B$5:$B$304,$A11,Sales!$M$5:$M$304,$B11))</f>
        <v>0</v>
      </c>
      <c r="Q11" s="34" t="n">
        <f aca="false">IF($A11="","",S10)</f>
        <v>0</v>
      </c>
      <c r="R11" s="34" t="n">
        <f aca="false">IF($A11="","",MIN(O11,P11+Q11))</f>
        <v>0</v>
      </c>
      <c r="S11" s="34" t="n">
        <f aca="false">IF($A11="","",P11+Q11-R11)</f>
        <v>0</v>
      </c>
      <c r="T11" s="36" t="n">
        <f aca="false">IF($A11="","",O11-R11)</f>
        <v>0</v>
      </c>
      <c r="U11" s="35" t="n">
        <f aca="false">IF($A11="","",IF(N(F11)=0,0,O11/F11))</f>
        <v>0</v>
      </c>
    </row>
    <row r="12" customFormat="false" ht="15" hidden="false" customHeight="false" outlineLevel="0" collapsed="false">
      <c r="A12" s="32" t="str">
        <f aca="false">IF(Settings!$B$12="","",Settings!$B$12)</f>
        <v>Anna Holm</v>
      </c>
      <c r="B12" s="33" t="n">
        <f aca="false">IF($A12="","",7)</f>
        <v>7</v>
      </c>
      <c r="C12" s="32" t="str">
        <f aca="false">IF($A12="","",INDEX(Settings!$Q$12:$Q$23,$B12))</f>
        <v>July</v>
      </c>
      <c r="D12" s="32" t="str">
        <f aca="false">IF($A12="","",Settings!$D$12)</f>
        <v>Flat rate</v>
      </c>
      <c r="E12" s="34" t="n">
        <f aca="false">IF($A12="","",SUMIFS(Sales!$E$5:$E$304,Sales!$B$5:$B$304,$A12,Sales!$J$5:$J$304,$B12,Sales!$K$5:$K$304,1))</f>
        <v>0</v>
      </c>
      <c r="F12" s="34" t="n">
        <f aca="false">IF($A12="","",SUMIFS(Sales!$L$5:$L$304,Sales!$B$5:$B$304,$A12,Sales!$J$5:$J$304,$B12,Sales!$K$5:$K$304,1))</f>
        <v>0</v>
      </c>
      <c r="G12" s="34" t="n">
        <f aca="false">IF($A12="","",N(Settings!$F$12))</f>
        <v>250000</v>
      </c>
      <c r="H12" s="35" t="n">
        <f aca="false">IF(OR($A12="",N(G12)=0),"",F12/G12)</f>
        <v>0</v>
      </c>
      <c r="I12" s="34" t="n">
        <f aca="false">IF($A12="","",IF($D12="Flat rate",F12*N(Settings!$G$12),0))</f>
        <v>0</v>
      </c>
      <c r="J12" s="34" t="n">
        <f aca="false">IF($A12="","",IF($D12="Tiered",MIN(F12,N(Settings!$H$12))*N(Settings!$I$12)+MAX(0,MIN(F12,N(Settings!$J$12))-N(Settings!$H$12))*N(Settings!$K$12)+MAX(0,F12-N(Settings!$J$12))*N(Settings!$L$12),0))</f>
        <v>0</v>
      </c>
      <c r="K12" s="34" t="n">
        <f aca="false">IF($A12="","",IF($D12="Accelerator",MIN(F12,G12)*N(Settings!$G$12),0))</f>
        <v>0</v>
      </c>
      <c r="L12" s="34" t="n">
        <f aca="false">IF($A12="","",IF($D12="Accelerator",MAX(0,F12-G12)*N(Settings!$M$12),0))</f>
        <v>0</v>
      </c>
      <c r="M12" s="34" t="n">
        <f aca="false">IF($A12="","",I12+J12+K12+L12)</f>
        <v>0</v>
      </c>
      <c r="N12" s="34" t="str">
        <f aca="false">IF(OR($A12="",Settings!$N$12=""),"",Settings!$N$12)</f>
        <v/>
      </c>
      <c r="O12" s="34" t="n">
        <f aca="false">IF($A12="","",IF(N12="",M12,MIN(M12,N12)))</f>
        <v>0</v>
      </c>
      <c r="P12" s="34" t="n">
        <f aca="false">IF($A12="","",SUMIFS(Sales!$O$5:$O$304,Sales!$B$5:$B$304,$A12,Sales!$M$5:$M$304,$B12))</f>
        <v>0</v>
      </c>
      <c r="Q12" s="34" t="n">
        <f aca="false">IF($A12="","",S11)</f>
        <v>0</v>
      </c>
      <c r="R12" s="34" t="n">
        <f aca="false">IF($A12="","",MIN(O12,P12+Q12))</f>
        <v>0</v>
      </c>
      <c r="S12" s="34" t="n">
        <f aca="false">IF($A12="","",P12+Q12-R12)</f>
        <v>0</v>
      </c>
      <c r="T12" s="36" t="n">
        <f aca="false">IF($A12="","",O12-R12)</f>
        <v>0</v>
      </c>
      <c r="U12" s="35" t="n">
        <f aca="false">IF($A12="","",IF(N(F12)=0,0,O12/F12))</f>
        <v>0</v>
      </c>
    </row>
    <row r="13" customFormat="false" ht="15" hidden="false" customHeight="false" outlineLevel="0" collapsed="false">
      <c r="A13" s="32" t="str">
        <f aca="false">IF(Settings!$B$12="","",Settings!$B$12)</f>
        <v>Anna Holm</v>
      </c>
      <c r="B13" s="33" t="n">
        <f aca="false">IF($A13="","",8)</f>
        <v>8</v>
      </c>
      <c r="C13" s="32" t="str">
        <f aca="false">IF($A13="","",INDEX(Settings!$Q$12:$Q$23,$B13))</f>
        <v>August</v>
      </c>
      <c r="D13" s="32" t="str">
        <f aca="false">IF($A13="","",Settings!$D$12)</f>
        <v>Flat rate</v>
      </c>
      <c r="E13" s="34" t="n">
        <f aca="false">IF($A13="","",SUMIFS(Sales!$E$5:$E$304,Sales!$B$5:$B$304,$A13,Sales!$J$5:$J$304,$B13,Sales!$K$5:$K$304,1))</f>
        <v>0</v>
      </c>
      <c r="F13" s="34" t="n">
        <f aca="false">IF($A13="","",SUMIFS(Sales!$L$5:$L$304,Sales!$B$5:$B$304,$A13,Sales!$J$5:$J$304,$B13,Sales!$K$5:$K$304,1))</f>
        <v>0</v>
      </c>
      <c r="G13" s="34" t="n">
        <f aca="false">IF($A13="","",N(Settings!$F$12))</f>
        <v>250000</v>
      </c>
      <c r="H13" s="35" t="n">
        <f aca="false">IF(OR($A13="",N(G13)=0),"",F13/G13)</f>
        <v>0</v>
      </c>
      <c r="I13" s="34" t="n">
        <f aca="false">IF($A13="","",IF($D13="Flat rate",F13*N(Settings!$G$12),0))</f>
        <v>0</v>
      </c>
      <c r="J13" s="34" t="n">
        <f aca="false">IF($A13="","",IF($D13="Tiered",MIN(F13,N(Settings!$H$12))*N(Settings!$I$12)+MAX(0,MIN(F13,N(Settings!$J$12))-N(Settings!$H$12))*N(Settings!$K$12)+MAX(0,F13-N(Settings!$J$12))*N(Settings!$L$12),0))</f>
        <v>0</v>
      </c>
      <c r="K13" s="34" t="n">
        <f aca="false">IF($A13="","",IF($D13="Accelerator",MIN(F13,G13)*N(Settings!$G$12),0))</f>
        <v>0</v>
      </c>
      <c r="L13" s="34" t="n">
        <f aca="false">IF($A13="","",IF($D13="Accelerator",MAX(0,F13-G13)*N(Settings!$M$12),0))</f>
        <v>0</v>
      </c>
      <c r="M13" s="34" t="n">
        <f aca="false">IF($A13="","",I13+J13+K13+L13)</f>
        <v>0</v>
      </c>
      <c r="N13" s="34" t="str">
        <f aca="false">IF(OR($A13="",Settings!$N$12=""),"",Settings!$N$12)</f>
        <v/>
      </c>
      <c r="O13" s="34" t="n">
        <f aca="false">IF($A13="","",IF(N13="",M13,MIN(M13,N13)))</f>
        <v>0</v>
      </c>
      <c r="P13" s="34" t="n">
        <f aca="false">IF($A13="","",SUMIFS(Sales!$O$5:$O$304,Sales!$B$5:$B$304,$A13,Sales!$M$5:$M$304,$B13))</f>
        <v>0</v>
      </c>
      <c r="Q13" s="34" t="n">
        <f aca="false">IF($A13="","",S12)</f>
        <v>0</v>
      </c>
      <c r="R13" s="34" t="n">
        <f aca="false">IF($A13="","",MIN(O13,P13+Q13))</f>
        <v>0</v>
      </c>
      <c r="S13" s="34" t="n">
        <f aca="false">IF($A13="","",P13+Q13-R13)</f>
        <v>0</v>
      </c>
      <c r="T13" s="36" t="n">
        <f aca="false">IF($A13="","",O13-R13)</f>
        <v>0</v>
      </c>
      <c r="U13" s="35" t="n">
        <f aca="false">IF($A13="","",IF(N(F13)=0,0,O13/F13))</f>
        <v>0</v>
      </c>
    </row>
    <row r="14" customFormat="false" ht="15" hidden="false" customHeight="false" outlineLevel="0" collapsed="false">
      <c r="A14" s="32" t="str">
        <f aca="false">IF(Settings!$B$12="","",Settings!$B$12)</f>
        <v>Anna Holm</v>
      </c>
      <c r="B14" s="33" t="n">
        <f aca="false">IF($A14="","",9)</f>
        <v>9</v>
      </c>
      <c r="C14" s="32" t="str">
        <f aca="false">IF($A14="","",INDEX(Settings!$Q$12:$Q$23,$B14))</f>
        <v>September</v>
      </c>
      <c r="D14" s="32" t="str">
        <f aca="false">IF($A14="","",Settings!$D$12)</f>
        <v>Flat rate</v>
      </c>
      <c r="E14" s="34" t="n">
        <f aca="false">IF($A14="","",SUMIFS(Sales!$E$5:$E$304,Sales!$B$5:$B$304,$A14,Sales!$J$5:$J$304,$B14,Sales!$K$5:$K$304,1))</f>
        <v>0</v>
      </c>
      <c r="F14" s="34" t="n">
        <f aca="false">IF($A14="","",SUMIFS(Sales!$L$5:$L$304,Sales!$B$5:$B$304,$A14,Sales!$J$5:$J$304,$B14,Sales!$K$5:$K$304,1))</f>
        <v>0</v>
      </c>
      <c r="G14" s="34" t="n">
        <f aca="false">IF($A14="","",N(Settings!$F$12))</f>
        <v>250000</v>
      </c>
      <c r="H14" s="35" t="n">
        <f aca="false">IF(OR($A14="",N(G14)=0),"",F14/G14)</f>
        <v>0</v>
      </c>
      <c r="I14" s="34" t="n">
        <f aca="false">IF($A14="","",IF($D14="Flat rate",F14*N(Settings!$G$12),0))</f>
        <v>0</v>
      </c>
      <c r="J14" s="34" t="n">
        <f aca="false">IF($A14="","",IF($D14="Tiered",MIN(F14,N(Settings!$H$12))*N(Settings!$I$12)+MAX(0,MIN(F14,N(Settings!$J$12))-N(Settings!$H$12))*N(Settings!$K$12)+MAX(0,F14-N(Settings!$J$12))*N(Settings!$L$12),0))</f>
        <v>0</v>
      </c>
      <c r="K14" s="34" t="n">
        <f aca="false">IF($A14="","",IF($D14="Accelerator",MIN(F14,G14)*N(Settings!$G$12),0))</f>
        <v>0</v>
      </c>
      <c r="L14" s="34" t="n">
        <f aca="false">IF($A14="","",IF($D14="Accelerator",MAX(0,F14-G14)*N(Settings!$M$12),0))</f>
        <v>0</v>
      </c>
      <c r="M14" s="34" t="n">
        <f aca="false">IF($A14="","",I14+J14+K14+L14)</f>
        <v>0</v>
      </c>
      <c r="N14" s="34" t="str">
        <f aca="false">IF(OR($A14="",Settings!$N$12=""),"",Settings!$N$12)</f>
        <v/>
      </c>
      <c r="O14" s="34" t="n">
        <f aca="false">IF($A14="","",IF(N14="",M14,MIN(M14,N14)))</f>
        <v>0</v>
      </c>
      <c r="P14" s="34" t="n">
        <f aca="false">IF($A14="","",SUMIFS(Sales!$O$5:$O$304,Sales!$B$5:$B$304,$A14,Sales!$M$5:$M$304,$B14))</f>
        <v>0</v>
      </c>
      <c r="Q14" s="34" t="n">
        <f aca="false">IF($A14="","",S13)</f>
        <v>0</v>
      </c>
      <c r="R14" s="34" t="n">
        <f aca="false">IF($A14="","",MIN(O14,P14+Q14))</f>
        <v>0</v>
      </c>
      <c r="S14" s="34" t="n">
        <f aca="false">IF($A14="","",P14+Q14-R14)</f>
        <v>0</v>
      </c>
      <c r="T14" s="36" t="n">
        <f aca="false">IF($A14="","",O14-R14)</f>
        <v>0</v>
      </c>
      <c r="U14" s="35" t="n">
        <f aca="false">IF($A14="","",IF(N(F14)=0,0,O14/F14))</f>
        <v>0</v>
      </c>
    </row>
    <row r="15" customFormat="false" ht="15" hidden="false" customHeight="false" outlineLevel="0" collapsed="false">
      <c r="A15" s="32" t="str">
        <f aca="false">IF(Settings!$B$12="","",Settings!$B$12)</f>
        <v>Anna Holm</v>
      </c>
      <c r="B15" s="33" t="n">
        <f aca="false">IF($A15="","",10)</f>
        <v>10</v>
      </c>
      <c r="C15" s="32" t="str">
        <f aca="false">IF($A15="","",INDEX(Settings!$Q$12:$Q$23,$B15))</f>
        <v>October</v>
      </c>
      <c r="D15" s="32" t="str">
        <f aca="false">IF($A15="","",Settings!$D$12)</f>
        <v>Flat rate</v>
      </c>
      <c r="E15" s="34" t="n">
        <f aca="false">IF($A15="","",SUMIFS(Sales!$E$5:$E$304,Sales!$B$5:$B$304,$A15,Sales!$J$5:$J$304,$B15,Sales!$K$5:$K$304,1))</f>
        <v>0</v>
      </c>
      <c r="F15" s="34" t="n">
        <f aca="false">IF($A15="","",SUMIFS(Sales!$L$5:$L$304,Sales!$B$5:$B$304,$A15,Sales!$J$5:$J$304,$B15,Sales!$K$5:$K$304,1))</f>
        <v>0</v>
      </c>
      <c r="G15" s="34" t="n">
        <f aca="false">IF($A15="","",N(Settings!$F$12))</f>
        <v>250000</v>
      </c>
      <c r="H15" s="35" t="n">
        <f aca="false">IF(OR($A15="",N(G15)=0),"",F15/G15)</f>
        <v>0</v>
      </c>
      <c r="I15" s="34" t="n">
        <f aca="false">IF($A15="","",IF($D15="Flat rate",F15*N(Settings!$G$12),0))</f>
        <v>0</v>
      </c>
      <c r="J15" s="34" t="n">
        <f aca="false">IF($A15="","",IF($D15="Tiered",MIN(F15,N(Settings!$H$12))*N(Settings!$I$12)+MAX(0,MIN(F15,N(Settings!$J$12))-N(Settings!$H$12))*N(Settings!$K$12)+MAX(0,F15-N(Settings!$J$12))*N(Settings!$L$12),0))</f>
        <v>0</v>
      </c>
      <c r="K15" s="34" t="n">
        <f aca="false">IF($A15="","",IF($D15="Accelerator",MIN(F15,G15)*N(Settings!$G$12),0))</f>
        <v>0</v>
      </c>
      <c r="L15" s="34" t="n">
        <f aca="false">IF($A15="","",IF($D15="Accelerator",MAX(0,F15-G15)*N(Settings!$M$12),0))</f>
        <v>0</v>
      </c>
      <c r="M15" s="34" t="n">
        <f aca="false">IF($A15="","",I15+J15+K15+L15)</f>
        <v>0</v>
      </c>
      <c r="N15" s="34" t="str">
        <f aca="false">IF(OR($A15="",Settings!$N$12=""),"",Settings!$N$12)</f>
        <v/>
      </c>
      <c r="O15" s="34" t="n">
        <f aca="false">IF($A15="","",IF(N15="",M15,MIN(M15,N15)))</f>
        <v>0</v>
      </c>
      <c r="P15" s="34" t="n">
        <f aca="false">IF($A15="","",SUMIFS(Sales!$O$5:$O$304,Sales!$B$5:$B$304,$A15,Sales!$M$5:$M$304,$B15))</f>
        <v>0</v>
      </c>
      <c r="Q15" s="34" t="n">
        <f aca="false">IF($A15="","",S14)</f>
        <v>0</v>
      </c>
      <c r="R15" s="34" t="n">
        <f aca="false">IF($A15="","",MIN(O15,P15+Q15))</f>
        <v>0</v>
      </c>
      <c r="S15" s="34" t="n">
        <f aca="false">IF($A15="","",P15+Q15-R15)</f>
        <v>0</v>
      </c>
      <c r="T15" s="36" t="n">
        <f aca="false">IF($A15="","",O15-R15)</f>
        <v>0</v>
      </c>
      <c r="U15" s="35" t="n">
        <f aca="false">IF($A15="","",IF(N(F15)=0,0,O15/F15))</f>
        <v>0</v>
      </c>
    </row>
    <row r="16" customFormat="false" ht="15" hidden="false" customHeight="false" outlineLevel="0" collapsed="false">
      <c r="A16" s="32" t="str">
        <f aca="false">IF(Settings!$B$12="","",Settings!$B$12)</f>
        <v>Anna Holm</v>
      </c>
      <c r="B16" s="33" t="n">
        <f aca="false">IF($A16="","",11)</f>
        <v>11</v>
      </c>
      <c r="C16" s="32" t="str">
        <f aca="false">IF($A16="","",INDEX(Settings!$Q$12:$Q$23,$B16))</f>
        <v>November</v>
      </c>
      <c r="D16" s="32" t="str">
        <f aca="false">IF($A16="","",Settings!$D$12)</f>
        <v>Flat rate</v>
      </c>
      <c r="E16" s="34" t="n">
        <f aca="false">IF($A16="","",SUMIFS(Sales!$E$5:$E$304,Sales!$B$5:$B$304,$A16,Sales!$J$5:$J$304,$B16,Sales!$K$5:$K$304,1))</f>
        <v>0</v>
      </c>
      <c r="F16" s="34" t="n">
        <f aca="false">IF($A16="","",SUMIFS(Sales!$L$5:$L$304,Sales!$B$5:$B$304,$A16,Sales!$J$5:$J$304,$B16,Sales!$K$5:$K$304,1))</f>
        <v>0</v>
      </c>
      <c r="G16" s="34" t="n">
        <f aca="false">IF($A16="","",N(Settings!$F$12))</f>
        <v>250000</v>
      </c>
      <c r="H16" s="35" t="n">
        <f aca="false">IF(OR($A16="",N(G16)=0),"",F16/G16)</f>
        <v>0</v>
      </c>
      <c r="I16" s="34" t="n">
        <f aca="false">IF($A16="","",IF($D16="Flat rate",F16*N(Settings!$G$12),0))</f>
        <v>0</v>
      </c>
      <c r="J16" s="34" t="n">
        <f aca="false">IF($A16="","",IF($D16="Tiered",MIN(F16,N(Settings!$H$12))*N(Settings!$I$12)+MAX(0,MIN(F16,N(Settings!$J$12))-N(Settings!$H$12))*N(Settings!$K$12)+MAX(0,F16-N(Settings!$J$12))*N(Settings!$L$12),0))</f>
        <v>0</v>
      </c>
      <c r="K16" s="34" t="n">
        <f aca="false">IF($A16="","",IF($D16="Accelerator",MIN(F16,G16)*N(Settings!$G$12),0))</f>
        <v>0</v>
      </c>
      <c r="L16" s="34" t="n">
        <f aca="false">IF($A16="","",IF($D16="Accelerator",MAX(0,F16-G16)*N(Settings!$M$12),0))</f>
        <v>0</v>
      </c>
      <c r="M16" s="34" t="n">
        <f aca="false">IF($A16="","",I16+J16+K16+L16)</f>
        <v>0</v>
      </c>
      <c r="N16" s="34" t="str">
        <f aca="false">IF(OR($A16="",Settings!$N$12=""),"",Settings!$N$12)</f>
        <v/>
      </c>
      <c r="O16" s="34" t="n">
        <f aca="false">IF($A16="","",IF(N16="",M16,MIN(M16,N16)))</f>
        <v>0</v>
      </c>
      <c r="P16" s="34" t="n">
        <f aca="false">IF($A16="","",SUMIFS(Sales!$O$5:$O$304,Sales!$B$5:$B$304,$A16,Sales!$M$5:$M$304,$B16))</f>
        <v>0</v>
      </c>
      <c r="Q16" s="34" t="n">
        <f aca="false">IF($A16="","",S15)</f>
        <v>0</v>
      </c>
      <c r="R16" s="34" t="n">
        <f aca="false">IF($A16="","",MIN(O16,P16+Q16))</f>
        <v>0</v>
      </c>
      <c r="S16" s="34" t="n">
        <f aca="false">IF($A16="","",P16+Q16-R16)</f>
        <v>0</v>
      </c>
      <c r="T16" s="36" t="n">
        <f aca="false">IF($A16="","",O16-R16)</f>
        <v>0</v>
      </c>
      <c r="U16" s="35" t="n">
        <f aca="false">IF($A16="","",IF(N(F16)=0,0,O16/F16))</f>
        <v>0</v>
      </c>
    </row>
    <row r="17" customFormat="false" ht="15" hidden="false" customHeight="false" outlineLevel="0" collapsed="false">
      <c r="A17" s="37" t="str">
        <f aca="false">IF(Settings!$B$12="","",Settings!$B$12)</f>
        <v>Anna Holm</v>
      </c>
      <c r="B17" s="38" t="n">
        <f aca="false">IF($A17="","",12)</f>
        <v>12</v>
      </c>
      <c r="C17" s="37" t="str">
        <f aca="false">IF($A17="","",INDEX(Settings!$Q$12:$Q$23,$B17))</f>
        <v>December</v>
      </c>
      <c r="D17" s="37" t="str">
        <f aca="false">IF($A17="","",Settings!$D$12)</f>
        <v>Flat rate</v>
      </c>
      <c r="E17" s="39" t="n">
        <f aca="false">IF($A17="","",SUMIFS(Sales!$E$5:$E$304,Sales!$B$5:$B$304,$A17,Sales!$J$5:$J$304,$B17,Sales!$K$5:$K$304,1))</f>
        <v>0</v>
      </c>
      <c r="F17" s="39" t="n">
        <f aca="false">IF($A17="","",SUMIFS(Sales!$L$5:$L$304,Sales!$B$5:$B$304,$A17,Sales!$J$5:$J$304,$B17,Sales!$K$5:$K$304,1))</f>
        <v>0</v>
      </c>
      <c r="G17" s="39" t="n">
        <f aca="false">IF($A17="","",N(Settings!$F$12))</f>
        <v>250000</v>
      </c>
      <c r="H17" s="40" t="n">
        <f aca="false">IF(OR($A17="",N(G17)=0),"",F17/G17)</f>
        <v>0</v>
      </c>
      <c r="I17" s="39" t="n">
        <f aca="false">IF($A17="","",IF($D17="Flat rate",F17*N(Settings!$G$12),0))</f>
        <v>0</v>
      </c>
      <c r="J17" s="39" t="n">
        <f aca="false">IF($A17="","",IF($D17="Tiered",MIN(F17,N(Settings!$H$12))*N(Settings!$I$12)+MAX(0,MIN(F17,N(Settings!$J$12))-N(Settings!$H$12))*N(Settings!$K$12)+MAX(0,F17-N(Settings!$J$12))*N(Settings!$L$12),0))</f>
        <v>0</v>
      </c>
      <c r="K17" s="39" t="n">
        <f aca="false">IF($A17="","",IF($D17="Accelerator",MIN(F17,G17)*N(Settings!$G$12),0))</f>
        <v>0</v>
      </c>
      <c r="L17" s="39" t="n">
        <f aca="false">IF($A17="","",IF($D17="Accelerator",MAX(0,F17-G17)*N(Settings!$M$12),0))</f>
        <v>0</v>
      </c>
      <c r="M17" s="39" t="n">
        <f aca="false">IF($A17="","",I17+J17+K17+L17)</f>
        <v>0</v>
      </c>
      <c r="N17" s="39" t="str">
        <f aca="false">IF(OR($A17="",Settings!$N$12=""),"",Settings!$N$12)</f>
        <v/>
      </c>
      <c r="O17" s="39" t="n">
        <f aca="false">IF($A17="","",IF(N17="",M17,MIN(M17,N17)))</f>
        <v>0</v>
      </c>
      <c r="P17" s="39" t="n">
        <f aca="false">IF($A17="","",SUMIFS(Sales!$O$5:$O$304,Sales!$B$5:$B$304,$A17,Sales!$M$5:$M$304,$B17))</f>
        <v>0</v>
      </c>
      <c r="Q17" s="39" t="n">
        <f aca="false">IF($A17="","",S16)</f>
        <v>0</v>
      </c>
      <c r="R17" s="39" t="n">
        <f aca="false">IF($A17="","",MIN(O17,P17+Q17))</f>
        <v>0</v>
      </c>
      <c r="S17" s="39" t="n">
        <f aca="false">IF($A17="","",P17+Q17-R17)</f>
        <v>0</v>
      </c>
      <c r="T17" s="41" t="n">
        <f aca="false">IF($A17="","",O17-R17)</f>
        <v>0</v>
      </c>
      <c r="U17" s="40" t="n">
        <f aca="false">IF($A17="","",IF(N(F17)=0,0,O17/F17))</f>
        <v>0</v>
      </c>
    </row>
    <row r="18" customFormat="false" ht="15" hidden="false" customHeight="false" outlineLevel="0" collapsed="false">
      <c r="A18" s="32" t="str">
        <f aca="false">IF(Settings!$B$13="","",Settings!$B$13)</f>
        <v>Bo Jensen</v>
      </c>
      <c r="B18" s="33" t="n">
        <f aca="false">IF($A18="","",1)</f>
        <v>1</v>
      </c>
      <c r="C18" s="32" t="str">
        <f aca="false">IF($A18="","",INDEX(Settings!$Q$12:$Q$23,$B18))</f>
        <v>January</v>
      </c>
      <c r="D18" s="32" t="str">
        <f aca="false">IF($A18="","",Settings!$D$13)</f>
        <v>Tiered</v>
      </c>
      <c r="E18" s="34" t="n">
        <f aca="false">IF($A18="","",SUMIFS(Sales!$E$5:$E$304,Sales!$B$5:$B$304,$A18,Sales!$J$5:$J$304,$B18,Sales!$K$5:$K$304,1))</f>
        <v>215000</v>
      </c>
      <c r="F18" s="34" t="n">
        <f aca="false">IF($A18="","",SUMIFS(Sales!$L$5:$L$304,Sales!$B$5:$B$304,$A18,Sales!$J$5:$J$304,$B18,Sales!$K$5:$K$304,1))</f>
        <v>215000</v>
      </c>
      <c r="G18" s="34" t="n">
        <f aca="false">IF($A18="","",N(Settings!$F$13))</f>
        <v>300000</v>
      </c>
      <c r="H18" s="35" t="n">
        <f aca="false">IF(OR($A18="",N(G18)=0),"",F18/G18)</f>
        <v>0.716666666666667</v>
      </c>
      <c r="I18" s="34" t="n">
        <f aca="false">IF($A18="","",IF($D18="Flat rate",F18*N(Settings!$G$13),0))</f>
        <v>0</v>
      </c>
      <c r="J18" s="34" t="n">
        <f aca="false">IF($A18="","",IF($D18="Tiered",MIN(F18,N(Settings!$H$13))*N(Settings!$I$13)+MAX(0,MIN(F18,N(Settings!$J$13))-N(Settings!$H$13))*N(Settings!$K$13)+MAX(0,F18-N(Settings!$J$13))*N(Settings!$L$13),0))</f>
        <v>10550</v>
      </c>
      <c r="K18" s="34" t="n">
        <f aca="false">IF($A18="","",IF($D18="Accelerator",MIN(F18,G18)*N(Settings!$G$13),0))</f>
        <v>0</v>
      </c>
      <c r="L18" s="34" t="n">
        <f aca="false">IF($A18="","",IF($D18="Accelerator",MAX(0,F18-G18)*N(Settings!$M$13),0))</f>
        <v>0</v>
      </c>
      <c r="M18" s="34" t="n">
        <f aca="false">IF($A18="","",I18+J18+K18+L18)</f>
        <v>10550</v>
      </c>
      <c r="N18" s="34" t="n">
        <f aca="false">IF(OR($A18="",Settings!$N$13=""),"",Settings!$N$13)</f>
        <v>25000</v>
      </c>
      <c r="O18" s="34" t="n">
        <f aca="false">IF($A18="","",IF(N18="",M18,MIN(M18,N18)))</f>
        <v>10550</v>
      </c>
      <c r="P18" s="34" t="n">
        <f aca="false">IF($A18="","",SUMIFS(Sales!$O$5:$O$304,Sales!$B$5:$B$304,$A18,Sales!$M$5:$M$304,$B18))</f>
        <v>0</v>
      </c>
      <c r="Q18" s="34" t="n">
        <f aca="false">IF($A18="","",0)</f>
        <v>0</v>
      </c>
      <c r="R18" s="34" t="n">
        <f aca="false">IF($A18="","",MIN(O18,P18+Q18))</f>
        <v>0</v>
      </c>
      <c r="S18" s="34" t="n">
        <f aca="false">IF($A18="","",P18+Q18-R18)</f>
        <v>0</v>
      </c>
      <c r="T18" s="36" t="n">
        <f aca="false">IF($A18="","",O18-R18)</f>
        <v>10550</v>
      </c>
      <c r="U18" s="35" t="n">
        <f aca="false">IF($A18="","",IF(N(F18)=0,0,O18/F18))</f>
        <v>0.0490697674418605</v>
      </c>
    </row>
    <row r="19" customFormat="false" ht="15" hidden="false" customHeight="false" outlineLevel="0" collapsed="false">
      <c r="A19" s="32" t="str">
        <f aca="false">IF(Settings!$B$13="","",Settings!$B$13)</f>
        <v>Bo Jensen</v>
      </c>
      <c r="B19" s="33" t="n">
        <f aca="false">IF($A19="","",2)</f>
        <v>2</v>
      </c>
      <c r="C19" s="32" t="str">
        <f aca="false">IF($A19="","",INDEX(Settings!$Q$12:$Q$23,$B19))</f>
        <v>February</v>
      </c>
      <c r="D19" s="32" t="str">
        <f aca="false">IF($A19="","",Settings!$D$13)</f>
        <v>Tiered</v>
      </c>
      <c r="E19" s="34" t="n">
        <f aca="false">IF($A19="","",SUMIFS(Sales!$E$5:$E$304,Sales!$B$5:$B$304,$A19,Sales!$J$5:$J$304,$B19,Sales!$K$5:$K$304,1))</f>
        <v>315000</v>
      </c>
      <c r="F19" s="34" t="n">
        <f aca="false">IF($A19="","",SUMIFS(Sales!$L$5:$L$304,Sales!$B$5:$B$304,$A19,Sales!$J$5:$J$304,$B19,Sales!$K$5:$K$304,1))</f>
        <v>315000</v>
      </c>
      <c r="G19" s="34" t="n">
        <f aca="false">IF($A19="","",N(Settings!$F$13))</f>
        <v>300000</v>
      </c>
      <c r="H19" s="35" t="n">
        <f aca="false">IF(OR($A19="",N(G19)=0),"",F19/G19)</f>
        <v>1.05</v>
      </c>
      <c r="I19" s="34" t="n">
        <f aca="false">IF($A19="","",IF($D19="Flat rate",F19*N(Settings!$G$13),0))</f>
        <v>0</v>
      </c>
      <c r="J19" s="34" t="n">
        <f aca="false">IF($A19="","",IF($D19="Tiered",MIN(F19,N(Settings!$H$13))*N(Settings!$I$13)+MAX(0,MIN(F19,N(Settings!$J$13))-N(Settings!$H$13))*N(Settings!$K$13)+MAX(0,F19-N(Settings!$J$13))*N(Settings!$L$13),0))</f>
        <v>18000</v>
      </c>
      <c r="K19" s="34" t="n">
        <f aca="false">IF($A19="","",IF($D19="Accelerator",MIN(F19,G19)*N(Settings!$G$13),0))</f>
        <v>0</v>
      </c>
      <c r="L19" s="34" t="n">
        <f aca="false">IF($A19="","",IF($D19="Accelerator",MAX(0,F19-G19)*N(Settings!$M$13),0))</f>
        <v>0</v>
      </c>
      <c r="M19" s="34" t="n">
        <f aca="false">IF($A19="","",I19+J19+K19+L19)</f>
        <v>18000</v>
      </c>
      <c r="N19" s="34" t="n">
        <f aca="false">IF(OR($A19="",Settings!$N$13=""),"",Settings!$N$13)</f>
        <v>25000</v>
      </c>
      <c r="O19" s="34" t="n">
        <f aca="false">IF($A19="","",IF(N19="",M19,MIN(M19,N19)))</f>
        <v>18000</v>
      </c>
      <c r="P19" s="34" t="n">
        <f aca="false">IF($A19="","",SUMIFS(Sales!$O$5:$O$304,Sales!$B$5:$B$304,$A19,Sales!$M$5:$M$304,$B19))</f>
        <v>0</v>
      </c>
      <c r="Q19" s="34" t="n">
        <f aca="false">IF($A19="","",S18)</f>
        <v>0</v>
      </c>
      <c r="R19" s="34" t="n">
        <f aca="false">IF($A19="","",MIN(O19,P19+Q19))</f>
        <v>0</v>
      </c>
      <c r="S19" s="34" t="n">
        <f aca="false">IF($A19="","",P19+Q19-R19)</f>
        <v>0</v>
      </c>
      <c r="T19" s="36" t="n">
        <f aca="false">IF($A19="","",O19-R19)</f>
        <v>18000</v>
      </c>
      <c r="U19" s="35" t="n">
        <f aca="false">IF($A19="","",IF(N(F19)=0,0,O19/F19))</f>
        <v>0.0571428571428571</v>
      </c>
    </row>
    <row r="20" customFormat="false" ht="15" hidden="false" customHeight="false" outlineLevel="0" collapsed="false">
      <c r="A20" s="32" t="str">
        <f aca="false">IF(Settings!$B$13="","",Settings!$B$13)</f>
        <v>Bo Jensen</v>
      </c>
      <c r="B20" s="33" t="n">
        <f aca="false">IF($A20="","",3)</f>
        <v>3</v>
      </c>
      <c r="C20" s="32" t="str">
        <f aca="false">IF($A20="","",INDEX(Settings!$Q$12:$Q$23,$B20))</f>
        <v>March</v>
      </c>
      <c r="D20" s="32" t="str">
        <f aca="false">IF($A20="","",Settings!$D$13)</f>
        <v>Tiered</v>
      </c>
      <c r="E20" s="34" t="n">
        <f aca="false">IF($A20="","",SUMIFS(Sales!$E$5:$E$304,Sales!$B$5:$B$304,$A20,Sales!$J$5:$J$304,$B20,Sales!$K$5:$K$304,1))</f>
        <v>420000</v>
      </c>
      <c r="F20" s="34" t="n">
        <f aca="false">IF($A20="","",SUMIFS(Sales!$L$5:$L$304,Sales!$B$5:$B$304,$A20,Sales!$J$5:$J$304,$B20,Sales!$K$5:$K$304,1))</f>
        <v>420000</v>
      </c>
      <c r="G20" s="34" t="n">
        <f aca="false">IF($A20="","",N(Settings!$F$13))</f>
        <v>300000</v>
      </c>
      <c r="H20" s="35" t="n">
        <f aca="false">IF(OR($A20="",N(G20)=0),"",F20/G20)</f>
        <v>1.4</v>
      </c>
      <c r="I20" s="34" t="n">
        <f aca="false">IF($A20="","",IF($D20="Flat rate",F20*N(Settings!$G$13),0))</f>
        <v>0</v>
      </c>
      <c r="J20" s="34" t="n">
        <f aca="false">IF($A20="","",IF($D20="Tiered",MIN(F20,N(Settings!$H$13))*N(Settings!$I$13)+MAX(0,MIN(F20,N(Settings!$J$13))-N(Settings!$H$13))*N(Settings!$K$13)+MAX(0,F20-N(Settings!$J$13))*N(Settings!$L$13),0))</f>
        <v>28500</v>
      </c>
      <c r="K20" s="34" t="n">
        <f aca="false">IF($A20="","",IF($D20="Accelerator",MIN(F20,G20)*N(Settings!$G$13),0))</f>
        <v>0</v>
      </c>
      <c r="L20" s="34" t="n">
        <f aca="false">IF($A20="","",IF($D20="Accelerator",MAX(0,F20-G20)*N(Settings!$M$13),0))</f>
        <v>0</v>
      </c>
      <c r="M20" s="34" t="n">
        <f aca="false">IF($A20="","",I20+J20+K20+L20)</f>
        <v>28500</v>
      </c>
      <c r="N20" s="34" t="n">
        <f aca="false">IF(OR($A20="",Settings!$N$13=""),"",Settings!$N$13)</f>
        <v>25000</v>
      </c>
      <c r="O20" s="34" t="n">
        <f aca="false">IF($A20="","",IF(N20="",M20,MIN(M20,N20)))</f>
        <v>25000</v>
      </c>
      <c r="P20" s="34" t="n">
        <f aca="false">IF($A20="","",SUMIFS(Sales!$O$5:$O$304,Sales!$B$5:$B$304,$A20,Sales!$M$5:$M$304,$B20))</f>
        <v>0</v>
      </c>
      <c r="Q20" s="34" t="n">
        <f aca="false">IF($A20="","",S19)</f>
        <v>0</v>
      </c>
      <c r="R20" s="34" t="n">
        <f aca="false">IF($A20="","",MIN(O20,P20+Q20))</f>
        <v>0</v>
      </c>
      <c r="S20" s="34" t="n">
        <f aca="false">IF($A20="","",P20+Q20-R20)</f>
        <v>0</v>
      </c>
      <c r="T20" s="36" t="n">
        <f aca="false">IF($A20="","",O20-R20)</f>
        <v>25000</v>
      </c>
      <c r="U20" s="35" t="n">
        <f aca="false">IF($A20="","",IF(N(F20)=0,0,O20/F20))</f>
        <v>0.0595238095238095</v>
      </c>
    </row>
    <row r="21" customFormat="false" ht="15" hidden="false" customHeight="false" outlineLevel="0" collapsed="false">
      <c r="A21" s="32" t="str">
        <f aca="false">IF(Settings!$B$13="","",Settings!$B$13)</f>
        <v>Bo Jensen</v>
      </c>
      <c r="B21" s="33" t="n">
        <f aca="false">IF($A21="","",4)</f>
        <v>4</v>
      </c>
      <c r="C21" s="32" t="str">
        <f aca="false">IF($A21="","",INDEX(Settings!$Q$12:$Q$23,$B21))</f>
        <v>April</v>
      </c>
      <c r="D21" s="32" t="str">
        <f aca="false">IF($A21="","",Settings!$D$13)</f>
        <v>Tiered</v>
      </c>
      <c r="E21" s="34" t="n">
        <f aca="false">IF($A21="","",SUMIFS(Sales!$E$5:$E$304,Sales!$B$5:$B$304,$A21,Sales!$J$5:$J$304,$B21,Sales!$K$5:$K$304,1))</f>
        <v>0</v>
      </c>
      <c r="F21" s="34" t="n">
        <f aca="false">IF($A21="","",SUMIFS(Sales!$L$5:$L$304,Sales!$B$5:$B$304,$A21,Sales!$J$5:$J$304,$B21,Sales!$K$5:$K$304,1))</f>
        <v>0</v>
      </c>
      <c r="G21" s="34" t="n">
        <f aca="false">IF($A21="","",N(Settings!$F$13))</f>
        <v>300000</v>
      </c>
      <c r="H21" s="35" t="n">
        <f aca="false">IF(OR($A21="",N(G21)=0),"",F21/G21)</f>
        <v>0</v>
      </c>
      <c r="I21" s="34" t="n">
        <f aca="false">IF($A21="","",IF($D21="Flat rate",F21*N(Settings!$G$13),0))</f>
        <v>0</v>
      </c>
      <c r="J21" s="34" t="n">
        <f aca="false">IF($A21="","",IF($D21="Tiered",MIN(F21,N(Settings!$H$13))*N(Settings!$I$13)+MAX(0,MIN(F21,N(Settings!$J$13))-N(Settings!$H$13))*N(Settings!$K$13)+MAX(0,F21-N(Settings!$J$13))*N(Settings!$L$13),0))</f>
        <v>0</v>
      </c>
      <c r="K21" s="34" t="n">
        <f aca="false">IF($A21="","",IF($D21="Accelerator",MIN(F21,G21)*N(Settings!$G$13),0))</f>
        <v>0</v>
      </c>
      <c r="L21" s="34" t="n">
        <f aca="false">IF($A21="","",IF($D21="Accelerator",MAX(0,F21-G21)*N(Settings!$M$13),0))</f>
        <v>0</v>
      </c>
      <c r="M21" s="34" t="n">
        <f aca="false">IF($A21="","",I21+J21+K21+L21)</f>
        <v>0</v>
      </c>
      <c r="N21" s="34" t="n">
        <f aca="false">IF(OR($A21="",Settings!$N$13=""),"",Settings!$N$13)</f>
        <v>25000</v>
      </c>
      <c r="O21" s="34" t="n">
        <f aca="false">IF($A21="","",IF(N21="",M21,MIN(M21,N21)))</f>
        <v>0</v>
      </c>
      <c r="P21" s="34" t="n">
        <f aca="false">IF($A21="","",SUMIFS(Sales!$O$5:$O$304,Sales!$B$5:$B$304,$A21,Sales!$M$5:$M$304,$B21))</f>
        <v>0</v>
      </c>
      <c r="Q21" s="34" t="n">
        <f aca="false">IF($A21="","",S20)</f>
        <v>0</v>
      </c>
      <c r="R21" s="34" t="n">
        <f aca="false">IF($A21="","",MIN(O21,P21+Q21))</f>
        <v>0</v>
      </c>
      <c r="S21" s="34" t="n">
        <f aca="false">IF($A21="","",P21+Q21-R21)</f>
        <v>0</v>
      </c>
      <c r="T21" s="36" t="n">
        <f aca="false">IF($A21="","",O21-R21)</f>
        <v>0</v>
      </c>
      <c r="U21" s="35" t="n">
        <f aca="false">IF($A21="","",IF(N(F21)=0,0,O21/F21))</f>
        <v>0</v>
      </c>
    </row>
    <row r="22" customFormat="false" ht="15" hidden="false" customHeight="false" outlineLevel="0" collapsed="false">
      <c r="A22" s="32" t="str">
        <f aca="false">IF(Settings!$B$13="","",Settings!$B$13)</f>
        <v>Bo Jensen</v>
      </c>
      <c r="B22" s="33" t="n">
        <f aca="false">IF($A22="","",5)</f>
        <v>5</v>
      </c>
      <c r="C22" s="32" t="str">
        <f aca="false">IF($A22="","",INDEX(Settings!$Q$12:$Q$23,$B22))</f>
        <v>May</v>
      </c>
      <c r="D22" s="32" t="str">
        <f aca="false">IF($A22="","",Settings!$D$13)</f>
        <v>Tiered</v>
      </c>
      <c r="E22" s="34" t="n">
        <f aca="false">IF($A22="","",SUMIFS(Sales!$E$5:$E$304,Sales!$B$5:$B$304,$A22,Sales!$J$5:$J$304,$B22,Sales!$K$5:$K$304,1))</f>
        <v>0</v>
      </c>
      <c r="F22" s="34" t="n">
        <f aca="false">IF($A22="","",SUMIFS(Sales!$L$5:$L$304,Sales!$B$5:$B$304,$A22,Sales!$J$5:$J$304,$B22,Sales!$K$5:$K$304,1))</f>
        <v>0</v>
      </c>
      <c r="G22" s="34" t="n">
        <f aca="false">IF($A22="","",N(Settings!$F$13))</f>
        <v>300000</v>
      </c>
      <c r="H22" s="35" t="n">
        <f aca="false">IF(OR($A22="",N(G22)=0),"",F22/G22)</f>
        <v>0</v>
      </c>
      <c r="I22" s="34" t="n">
        <f aca="false">IF($A22="","",IF($D22="Flat rate",F22*N(Settings!$G$13),0))</f>
        <v>0</v>
      </c>
      <c r="J22" s="34" t="n">
        <f aca="false">IF($A22="","",IF($D22="Tiered",MIN(F22,N(Settings!$H$13))*N(Settings!$I$13)+MAX(0,MIN(F22,N(Settings!$J$13))-N(Settings!$H$13))*N(Settings!$K$13)+MAX(0,F22-N(Settings!$J$13))*N(Settings!$L$13),0))</f>
        <v>0</v>
      </c>
      <c r="K22" s="34" t="n">
        <f aca="false">IF($A22="","",IF($D22="Accelerator",MIN(F22,G22)*N(Settings!$G$13),0))</f>
        <v>0</v>
      </c>
      <c r="L22" s="34" t="n">
        <f aca="false">IF($A22="","",IF($D22="Accelerator",MAX(0,F22-G22)*N(Settings!$M$13),0))</f>
        <v>0</v>
      </c>
      <c r="M22" s="34" t="n">
        <f aca="false">IF($A22="","",I22+J22+K22+L22)</f>
        <v>0</v>
      </c>
      <c r="N22" s="34" t="n">
        <f aca="false">IF(OR($A22="",Settings!$N$13=""),"",Settings!$N$13)</f>
        <v>25000</v>
      </c>
      <c r="O22" s="34" t="n">
        <f aca="false">IF($A22="","",IF(N22="",M22,MIN(M22,N22)))</f>
        <v>0</v>
      </c>
      <c r="P22" s="34" t="n">
        <f aca="false">IF($A22="","",SUMIFS(Sales!$O$5:$O$304,Sales!$B$5:$B$304,$A22,Sales!$M$5:$M$304,$B22))</f>
        <v>0</v>
      </c>
      <c r="Q22" s="34" t="n">
        <f aca="false">IF($A22="","",S21)</f>
        <v>0</v>
      </c>
      <c r="R22" s="34" t="n">
        <f aca="false">IF($A22="","",MIN(O22,P22+Q22))</f>
        <v>0</v>
      </c>
      <c r="S22" s="34" t="n">
        <f aca="false">IF($A22="","",P22+Q22-R22)</f>
        <v>0</v>
      </c>
      <c r="T22" s="36" t="n">
        <f aca="false">IF($A22="","",O22-R22)</f>
        <v>0</v>
      </c>
      <c r="U22" s="35" t="n">
        <f aca="false">IF($A22="","",IF(N(F22)=0,0,O22/F22))</f>
        <v>0</v>
      </c>
    </row>
    <row r="23" customFormat="false" ht="15" hidden="false" customHeight="false" outlineLevel="0" collapsed="false">
      <c r="A23" s="32" t="str">
        <f aca="false">IF(Settings!$B$13="","",Settings!$B$13)</f>
        <v>Bo Jensen</v>
      </c>
      <c r="B23" s="33" t="n">
        <f aca="false">IF($A23="","",6)</f>
        <v>6</v>
      </c>
      <c r="C23" s="32" t="str">
        <f aca="false">IF($A23="","",INDEX(Settings!$Q$12:$Q$23,$B23))</f>
        <v>June</v>
      </c>
      <c r="D23" s="32" t="str">
        <f aca="false">IF($A23="","",Settings!$D$13)</f>
        <v>Tiered</v>
      </c>
      <c r="E23" s="34" t="n">
        <f aca="false">IF($A23="","",SUMIFS(Sales!$E$5:$E$304,Sales!$B$5:$B$304,$A23,Sales!$J$5:$J$304,$B23,Sales!$K$5:$K$304,1))</f>
        <v>0</v>
      </c>
      <c r="F23" s="34" t="n">
        <f aca="false">IF($A23="","",SUMIFS(Sales!$L$5:$L$304,Sales!$B$5:$B$304,$A23,Sales!$J$5:$J$304,$B23,Sales!$K$5:$K$304,1))</f>
        <v>0</v>
      </c>
      <c r="G23" s="34" t="n">
        <f aca="false">IF($A23="","",N(Settings!$F$13))</f>
        <v>300000</v>
      </c>
      <c r="H23" s="35" t="n">
        <f aca="false">IF(OR($A23="",N(G23)=0),"",F23/G23)</f>
        <v>0</v>
      </c>
      <c r="I23" s="34" t="n">
        <f aca="false">IF($A23="","",IF($D23="Flat rate",F23*N(Settings!$G$13),0))</f>
        <v>0</v>
      </c>
      <c r="J23" s="34" t="n">
        <f aca="false">IF($A23="","",IF($D23="Tiered",MIN(F23,N(Settings!$H$13))*N(Settings!$I$13)+MAX(0,MIN(F23,N(Settings!$J$13))-N(Settings!$H$13))*N(Settings!$K$13)+MAX(0,F23-N(Settings!$J$13))*N(Settings!$L$13),0))</f>
        <v>0</v>
      </c>
      <c r="K23" s="34" t="n">
        <f aca="false">IF($A23="","",IF($D23="Accelerator",MIN(F23,G23)*N(Settings!$G$13),0))</f>
        <v>0</v>
      </c>
      <c r="L23" s="34" t="n">
        <f aca="false">IF($A23="","",IF($D23="Accelerator",MAX(0,F23-G23)*N(Settings!$M$13),0))</f>
        <v>0</v>
      </c>
      <c r="M23" s="34" t="n">
        <f aca="false">IF($A23="","",I23+J23+K23+L23)</f>
        <v>0</v>
      </c>
      <c r="N23" s="34" t="n">
        <f aca="false">IF(OR($A23="",Settings!$N$13=""),"",Settings!$N$13)</f>
        <v>25000</v>
      </c>
      <c r="O23" s="34" t="n">
        <f aca="false">IF($A23="","",IF(N23="",M23,MIN(M23,N23)))</f>
        <v>0</v>
      </c>
      <c r="P23" s="34" t="n">
        <f aca="false">IF($A23="","",SUMIFS(Sales!$O$5:$O$304,Sales!$B$5:$B$304,$A23,Sales!$M$5:$M$304,$B23))</f>
        <v>0</v>
      </c>
      <c r="Q23" s="34" t="n">
        <f aca="false">IF($A23="","",S22)</f>
        <v>0</v>
      </c>
      <c r="R23" s="34" t="n">
        <f aca="false">IF($A23="","",MIN(O23,P23+Q23))</f>
        <v>0</v>
      </c>
      <c r="S23" s="34" t="n">
        <f aca="false">IF($A23="","",P23+Q23-R23)</f>
        <v>0</v>
      </c>
      <c r="T23" s="36" t="n">
        <f aca="false">IF($A23="","",O23-R23)</f>
        <v>0</v>
      </c>
      <c r="U23" s="35" t="n">
        <f aca="false">IF($A23="","",IF(N(F23)=0,0,O23/F23))</f>
        <v>0</v>
      </c>
    </row>
    <row r="24" customFormat="false" ht="15" hidden="false" customHeight="false" outlineLevel="0" collapsed="false">
      <c r="A24" s="32" t="str">
        <f aca="false">IF(Settings!$B$13="","",Settings!$B$13)</f>
        <v>Bo Jensen</v>
      </c>
      <c r="B24" s="33" t="n">
        <f aca="false">IF($A24="","",7)</f>
        <v>7</v>
      </c>
      <c r="C24" s="32" t="str">
        <f aca="false">IF($A24="","",INDEX(Settings!$Q$12:$Q$23,$B24))</f>
        <v>July</v>
      </c>
      <c r="D24" s="32" t="str">
        <f aca="false">IF($A24="","",Settings!$D$13)</f>
        <v>Tiered</v>
      </c>
      <c r="E24" s="34" t="n">
        <f aca="false">IF($A24="","",SUMIFS(Sales!$E$5:$E$304,Sales!$B$5:$B$304,$A24,Sales!$J$5:$J$304,$B24,Sales!$K$5:$K$304,1))</f>
        <v>0</v>
      </c>
      <c r="F24" s="34" t="n">
        <f aca="false">IF($A24="","",SUMIFS(Sales!$L$5:$L$304,Sales!$B$5:$B$304,$A24,Sales!$J$5:$J$304,$B24,Sales!$K$5:$K$304,1))</f>
        <v>0</v>
      </c>
      <c r="G24" s="34" t="n">
        <f aca="false">IF($A24="","",N(Settings!$F$13))</f>
        <v>300000</v>
      </c>
      <c r="H24" s="35" t="n">
        <f aca="false">IF(OR($A24="",N(G24)=0),"",F24/G24)</f>
        <v>0</v>
      </c>
      <c r="I24" s="34" t="n">
        <f aca="false">IF($A24="","",IF($D24="Flat rate",F24*N(Settings!$G$13),0))</f>
        <v>0</v>
      </c>
      <c r="J24" s="34" t="n">
        <f aca="false">IF($A24="","",IF($D24="Tiered",MIN(F24,N(Settings!$H$13))*N(Settings!$I$13)+MAX(0,MIN(F24,N(Settings!$J$13))-N(Settings!$H$13))*N(Settings!$K$13)+MAX(0,F24-N(Settings!$J$13))*N(Settings!$L$13),0))</f>
        <v>0</v>
      </c>
      <c r="K24" s="34" t="n">
        <f aca="false">IF($A24="","",IF($D24="Accelerator",MIN(F24,G24)*N(Settings!$G$13),0))</f>
        <v>0</v>
      </c>
      <c r="L24" s="34" t="n">
        <f aca="false">IF($A24="","",IF($D24="Accelerator",MAX(0,F24-G24)*N(Settings!$M$13),0))</f>
        <v>0</v>
      </c>
      <c r="M24" s="34" t="n">
        <f aca="false">IF($A24="","",I24+J24+K24+L24)</f>
        <v>0</v>
      </c>
      <c r="N24" s="34" t="n">
        <f aca="false">IF(OR($A24="",Settings!$N$13=""),"",Settings!$N$13)</f>
        <v>25000</v>
      </c>
      <c r="O24" s="34" t="n">
        <f aca="false">IF($A24="","",IF(N24="",M24,MIN(M24,N24)))</f>
        <v>0</v>
      </c>
      <c r="P24" s="34" t="n">
        <f aca="false">IF($A24="","",SUMIFS(Sales!$O$5:$O$304,Sales!$B$5:$B$304,$A24,Sales!$M$5:$M$304,$B24))</f>
        <v>0</v>
      </c>
      <c r="Q24" s="34" t="n">
        <f aca="false">IF($A24="","",S23)</f>
        <v>0</v>
      </c>
      <c r="R24" s="34" t="n">
        <f aca="false">IF($A24="","",MIN(O24,P24+Q24))</f>
        <v>0</v>
      </c>
      <c r="S24" s="34" t="n">
        <f aca="false">IF($A24="","",P24+Q24-R24)</f>
        <v>0</v>
      </c>
      <c r="T24" s="36" t="n">
        <f aca="false">IF($A24="","",O24-R24)</f>
        <v>0</v>
      </c>
      <c r="U24" s="35" t="n">
        <f aca="false">IF($A24="","",IF(N(F24)=0,0,O24/F24))</f>
        <v>0</v>
      </c>
    </row>
    <row r="25" customFormat="false" ht="15" hidden="false" customHeight="false" outlineLevel="0" collapsed="false">
      <c r="A25" s="32" t="str">
        <f aca="false">IF(Settings!$B$13="","",Settings!$B$13)</f>
        <v>Bo Jensen</v>
      </c>
      <c r="B25" s="33" t="n">
        <f aca="false">IF($A25="","",8)</f>
        <v>8</v>
      </c>
      <c r="C25" s="32" t="str">
        <f aca="false">IF($A25="","",INDEX(Settings!$Q$12:$Q$23,$B25))</f>
        <v>August</v>
      </c>
      <c r="D25" s="32" t="str">
        <f aca="false">IF($A25="","",Settings!$D$13)</f>
        <v>Tiered</v>
      </c>
      <c r="E25" s="34" t="n">
        <f aca="false">IF($A25="","",SUMIFS(Sales!$E$5:$E$304,Sales!$B$5:$B$304,$A25,Sales!$J$5:$J$304,$B25,Sales!$K$5:$K$304,1))</f>
        <v>0</v>
      </c>
      <c r="F25" s="34" t="n">
        <f aca="false">IF($A25="","",SUMIFS(Sales!$L$5:$L$304,Sales!$B$5:$B$304,$A25,Sales!$J$5:$J$304,$B25,Sales!$K$5:$K$304,1))</f>
        <v>0</v>
      </c>
      <c r="G25" s="34" t="n">
        <f aca="false">IF($A25="","",N(Settings!$F$13))</f>
        <v>300000</v>
      </c>
      <c r="H25" s="35" t="n">
        <f aca="false">IF(OR($A25="",N(G25)=0),"",F25/G25)</f>
        <v>0</v>
      </c>
      <c r="I25" s="34" t="n">
        <f aca="false">IF($A25="","",IF($D25="Flat rate",F25*N(Settings!$G$13),0))</f>
        <v>0</v>
      </c>
      <c r="J25" s="34" t="n">
        <f aca="false">IF($A25="","",IF($D25="Tiered",MIN(F25,N(Settings!$H$13))*N(Settings!$I$13)+MAX(0,MIN(F25,N(Settings!$J$13))-N(Settings!$H$13))*N(Settings!$K$13)+MAX(0,F25-N(Settings!$J$13))*N(Settings!$L$13),0))</f>
        <v>0</v>
      </c>
      <c r="K25" s="34" t="n">
        <f aca="false">IF($A25="","",IF($D25="Accelerator",MIN(F25,G25)*N(Settings!$G$13),0))</f>
        <v>0</v>
      </c>
      <c r="L25" s="34" t="n">
        <f aca="false">IF($A25="","",IF($D25="Accelerator",MAX(0,F25-G25)*N(Settings!$M$13),0))</f>
        <v>0</v>
      </c>
      <c r="M25" s="34" t="n">
        <f aca="false">IF($A25="","",I25+J25+K25+L25)</f>
        <v>0</v>
      </c>
      <c r="N25" s="34" t="n">
        <f aca="false">IF(OR($A25="",Settings!$N$13=""),"",Settings!$N$13)</f>
        <v>25000</v>
      </c>
      <c r="O25" s="34" t="n">
        <f aca="false">IF($A25="","",IF(N25="",M25,MIN(M25,N25)))</f>
        <v>0</v>
      </c>
      <c r="P25" s="34" t="n">
        <f aca="false">IF($A25="","",SUMIFS(Sales!$O$5:$O$304,Sales!$B$5:$B$304,$A25,Sales!$M$5:$M$304,$B25))</f>
        <v>0</v>
      </c>
      <c r="Q25" s="34" t="n">
        <f aca="false">IF($A25="","",S24)</f>
        <v>0</v>
      </c>
      <c r="R25" s="34" t="n">
        <f aca="false">IF($A25="","",MIN(O25,P25+Q25))</f>
        <v>0</v>
      </c>
      <c r="S25" s="34" t="n">
        <f aca="false">IF($A25="","",P25+Q25-R25)</f>
        <v>0</v>
      </c>
      <c r="T25" s="36" t="n">
        <f aca="false">IF($A25="","",O25-R25)</f>
        <v>0</v>
      </c>
      <c r="U25" s="35" t="n">
        <f aca="false">IF($A25="","",IF(N(F25)=0,0,O25/F25))</f>
        <v>0</v>
      </c>
    </row>
    <row r="26" customFormat="false" ht="15" hidden="false" customHeight="false" outlineLevel="0" collapsed="false">
      <c r="A26" s="32" t="str">
        <f aca="false">IF(Settings!$B$13="","",Settings!$B$13)</f>
        <v>Bo Jensen</v>
      </c>
      <c r="B26" s="33" t="n">
        <f aca="false">IF($A26="","",9)</f>
        <v>9</v>
      </c>
      <c r="C26" s="32" t="str">
        <f aca="false">IF($A26="","",INDEX(Settings!$Q$12:$Q$23,$B26))</f>
        <v>September</v>
      </c>
      <c r="D26" s="32" t="str">
        <f aca="false">IF($A26="","",Settings!$D$13)</f>
        <v>Tiered</v>
      </c>
      <c r="E26" s="34" t="n">
        <f aca="false">IF($A26="","",SUMIFS(Sales!$E$5:$E$304,Sales!$B$5:$B$304,$A26,Sales!$J$5:$J$304,$B26,Sales!$K$5:$K$304,1))</f>
        <v>0</v>
      </c>
      <c r="F26" s="34" t="n">
        <f aca="false">IF($A26="","",SUMIFS(Sales!$L$5:$L$304,Sales!$B$5:$B$304,$A26,Sales!$J$5:$J$304,$B26,Sales!$K$5:$K$304,1))</f>
        <v>0</v>
      </c>
      <c r="G26" s="34" t="n">
        <f aca="false">IF($A26="","",N(Settings!$F$13))</f>
        <v>300000</v>
      </c>
      <c r="H26" s="35" t="n">
        <f aca="false">IF(OR($A26="",N(G26)=0),"",F26/G26)</f>
        <v>0</v>
      </c>
      <c r="I26" s="34" t="n">
        <f aca="false">IF($A26="","",IF($D26="Flat rate",F26*N(Settings!$G$13),0))</f>
        <v>0</v>
      </c>
      <c r="J26" s="34" t="n">
        <f aca="false">IF($A26="","",IF($D26="Tiered",MIN(F26,N(Settings!$H$13))*N(Settings!$I$13)+MAX(0,MIN(F26,N(Settings!$J$13))-N(Settings!$H$13))*N(Settings!$K$13)+MAX(0,F26-N(Settings!$J$13))*N(Settings!$L$13),0))</f>
        <v>0</v>
      </c>
      <c r="K26" s="34" t="n">
        <f aca="false">IF($A26="","",IF($D26="Accelerator",MIN(F26,G26)*N(Settings!$G$13),0))</f>
        <v>0</v>
      </c>
      <c r="L26" s="34" t="n">
        <f aca="false">IF($A26="","",IF($D26="Accelerator",MAX(0,F26-G26)*N(Settings!$M$13),0))</f>
        <v>0</v>
      </c>
      <c r="M26" s="34" t="n">
        <f aca="false">IF($A26="","",I26+J26+K26+L26)</f>
        <v>0</v>
      </c>
      <c r="N26" s="34" t="n">
        <f aca="false">IF(OR($A26="",Settings!$N$13=""),"",Settings!$N$13)</f>
        <v>25000</v>
      </c>
      <c r="O26" s="34" t="n">
        <f aca="false">IF($A26="","",IF(N26="",M26,MIN(M26,N26)))</f>
        <v>0</v>
      </c>
      <c r="P26" s="34" t="n">
        <f aca="false">IF($A26="","",SUMIFS(Sales!$O$5:$O$304,Sales!$B$5:$B$304,$A26,Sales!$M$5:$M$304,$B26))</f>
        <v>0</v>
      </c>
      <c r="Q26" s="34" t="n">
        <f aca="false">IF($A26="","",S25)</f>
        <v>0</v>
      </c>
      <c r="R26" s="34" t="n">
        <f aca="false">IF($A26="","",MIN(O26,P26+Q26))</f>
        <v>0</v>
      </c>
      <c r="S26" s="34" t="n">
        <f aca="false">IF($A26="","",P26+Q26-R26)</f>
        <v>0</v>
      </c>
      <c r="T26" s="36" t="n">
        <f aca="false">IF($A26="","",O26-R26)</f>
        <v>0</v>
      </c>
      <c r="U26" s="35" t="n">
        <f aca="false">IF($A26="","",IF(N(F26)=0,0,O26/F26))</f>
        <v>0</v>
      </c>
    </row>
    <row r="27" customFormat="false" ht="15" hidden="false" customHeight="false" outlineLevel="0" collapsed="false">
      <c r="A27" s="32" t="str">
        <f aca="false">IF(Settings!$B$13="","",Settings!$B$13)</f>
        <v>Bo Jensen</v>
      </c>
      <c r="B27" s="33" t="n">
        <f aca="false">IF($A27="","",10)</f>
        <v>10</v>
      </c>
      <c r="C27" s="32" t="str">
        <f aca="false">IF($A27="","",INDEX(Settings!$Q$12:$Q$23,$B27))</f>
        <v>October</v>
      </c>
      <c r="D27" s="32" t="str">
        <f aca="false">IF($A27="","",Settings!$D$13)</f>
        <v>Tiered</v>
      </c>
      <c r="E27" s="34" t="n">
        <f aca="false">IF($A27="","",SUMIFS(Sales!$E$5:$E$304,Sales!$B$5:$B$304,$A27,Sales!$J$5:$J$304,$B27,Sales!$K$5:$K$304,1))</f>
        <v>0</v>
      </c>
      <c r="F27" s="34" t="n">
        <f aca="false">IF($A27="","",SUMIFS(Sales!$L$5:$L$304,Sales!$B$5:$B$304,$A27,Sales!$J$5:$J$304,$B27,Sales!$K$5:$K$304,1))</f>
        <v>0</v>
      </c>
      <c r="G27" s="34" t="n">
        <f aca="false">IF($A27="","",N(Settings!$F$13))</f>
        <v>300000</v>
      </c>
      <c r="H27" s="35" t="n">
        <f aca="false">IF(OR($A27="",N(G27)=0),"",F27/G27)</f>
        <v>0</v>
      </c>
      <c r="I27" s="34" t="n">
        <f aca="false">IF($A27="","",IF($D27="Flat rate",F27*N(Settings!$G$13),0))</f>
        <v>0</v>
      </c>
      <c r="J27" s="34" t="n">
        <f aca="false">IF($A27="","",IF($D27="Tiered",MIN(F27,N(Settings!$H$13))*N(Settings!$I$13)+MAX(0,MIN(F27,N(Settings!$J$13))-N(Settings!$H$13))*N(Settings!$K$13)+MAX(0,F27-N(Settings!$J$13))*N(Settings!$L$13),0))</f>
        <v>0</v>
      </c>
      <c r="K27" s="34" t="n">
        <f aca="false">IF($A27="","",IF($D27="Accelerator",MIN(F27,G27)*N(Settings!$G$13),0))</f>
        <v>0</v>
      </c>
      <c r="L27" s="34" t="n">
        <f aca="false">IF($A27="","",IF($D27="Accelerator",MAX(0,F27-G27)*N(Settings!$M$13),0))</f>
        <v>0</v>
      </c>
      <c r="M27" s="34" t="n">
        <f aca="false">IF($A27="","",I27+J27+K27+L27)</f>
        <v>0</v>
      </c>
      <c r="N27" s="34" t="n">
        <f aca="false">IF(OR($A27="",Settings!$N$13=""),"",Settings!$N$13)</f>
        <v>25000</v>
      </c>
      <c r="O27" s="34" t="n">
        <f aca="false">IF($A27="","",IF(N27="",M27,MIN(M27,N27)))</f>
        <v>0</v>
      </c>
      <c r="P27" s="34" t="n">
        <f aca="false">IF($A27="","",SUMIFS(Sales!$O$5:$O$304,Sales!$B$5:$B$304,$A27,Sales!$M$5:$M$304,$B27))</f>
        <v>0</v>
      </c>
      <c r="Q27" s="34" t="n">
        <f aca="false">IF($A27="","",S26)</f>
        <v>0</v>
      </c>
      <c r="R27" s="34" t="n">
        <f aca="false">IF($A27="","",MIN(O27,P27+Q27))</f>
        <v>0</v>
      </c>
      <c r="S27" s="34" t="n">
        <f aca="false">IF($A27="","",P27+Q27-R27)</f>
        <v>0</v>
      </c>
      <c r="T27" s="36" t="n">
        <f aca="false">IF($A27="","",O27-R27)</f>
        <v>0</v>
      </c>
      <c r="U27" s="35" t="n">
        <f aca="false">IF($A27="","",IF(N(F27)=0,0,O27/F27))</f>
        <v>0</v>
      </c>
    </row>
    <row r="28" customFormat="false" ht="15" hidden="false" customHeight="false" outlineLevel="0" collapsed="false">
      <c r="A28" s="32" t="str">
        <f aca="false">IF(Settings!$B$13="","",Settings!$B$13)</f>
        <v>Bo Jensen</v>
      </c>
      <c r="B28" s="33" t="n">
        <f aca="false">IF($A28="","",11)</f>
        <v>11</v>
      </c>
      <c r="C28" s="32" t="str">
        <f aca="false">IF($A28="","",INDEX(Settings!$Q$12:$Q$23,$B28))</f>
        <v>November</v>
      </c>
      <c r="D28" s="32" t="str">
        <f aca="false">IF($A28="","",Settings!$D$13)</f>
        <v>Tiered</v>
      </c>
      <c r="E28" s="34" t="n">
        <f aca="false">IF($A28="","",SUMIFS(Sales!$E$5:$E$304,Sales!$B$5:$B$304,$A28,Sales!$J$5:$J$304,$B28,Sales!$K$5:$K$304,1))</f>
        <v>0</v>
      </c>
      <c r="F28" s="34" t="n">
        <f aca="false">IF($A28="","",SUMIFS(Sales!$L$5:$L$304,Sales!$B$5:$B$304,$A28,Sales!$J$5:$J$304,$B28,Sales!$K$5:$K$304,1))</f>
        <v>0</v>
      </c>
      <c r="G28" s="34" t="n">
        <f aca="false">IF($A28="","",N(Settings!$F$13))</f>
        <v>300000</v>
      </c>
      <c r="H28" s="35" t="n">
        <f aca="false">IF(OR($A28="",N(G28)=0),"",F28/G28)</f>
        <v>0</v>
      </c>
      <c r="I28" s="34" t="n">
        <f aca="false">IF($A28="","",IF($D28="Flat rate",F28*N(Settings!$G$13),0))</f>
        <v>0</v>
      </c>
      <c r="J28" s="34" t="n">
        <f aca="false">IF($A28="","",IF($D28="Tiered",MIN(F28,N(Settings!$H$13))*N(Settings!$I$13)+MAX(0,MIN(F28,N(Settings!$J$13))-N(Settings!$H$13))*N(Settings!$K$13)+MAX(0,F28-N(Settings!$J$13))*N(Settings!$L$13),0))</f>
        <v>0</v>
      </c>
      <c r="K28" s="34" t="n">
        <f aca="false">IF($A28="","",IF($D28="Accelerator",MIN(F28,G28)*N(Settings!$G$13),0))</f>
        <v>0</v>
      </c>
      <c r="L28" s="34" t="n">
        <f aca="false">IF($A28="","",IF($D28="Accelerator",MAX(0,F28-G28)*N(Settings!$M$13),0))</f>
        <v>0</v>
      </c>
      <c r="M28" s="34" t="n">
        <f aca="false">IF($A28="","",I28+J28+K28+L28)</f>
        <v>0</v>
      </c>
      <c r="N28" s="34" t="n">
        <f aca="false">IF(OR($A28="",Settings!$N$13=""),"",Settings!$N$13)</f>
        <v>25000</v>
      </c>
      <c r="O28" s="34" t="n">
        <f aca="false">IF($A28="","",IF(N28="",M28,MIN(M28,N28)))</f>
        <v>0</v>
      </c>
      <c r="P28" s="34" t="n">
        <f aca="false">IF($A28="","",SUMIFS(Sales!$O$5:$O$304,Sales!$B$5:$B$304,$A28,Sales!$M$5:$M$304,$B28))</f>
        <v>0</v>
      </c>
      <c r="Q28" s="34" t="n">
        <f aca="false">IF($A28="","",S27)</f>
        <v>0</v>
      </c>
      <c r="R28" s="34" t="n">
        <f aca="false">IF($A28="","",MIN(O28,P28+Q28))</f>
        <v>0</v>
      </c>
      <c r="S28" s="34" t="n">
        <f aca="false">IF($A28="","",P28+Q28-R28)</f>
        <v>0</v>
      </c>
      <c r="T28" s="36" t="n">
        <f aca="false">IF($A28="","",O28-R28)</f>
        <v>0</v>
      </c>
      <c r="U28" s="35" t="n">
        <f aca="false">IF($A28="","",IF(N(F28)=0,0,O28/F28))</f>
        <v>0</v>
      </c>
    </row>
    <row r="29" customFormat="false" ht="15" hidden="false" customHeight="false" outlineLevel="0" collapsed="false">
      <c r="A29" s="37" t="str">
        <f aca="false">IF(Settings!$B$13="","",Settings!$B$13)</f>
        <v>Bo Jensen</v>
      </c>
      <c r="B29" s="38" t="n">
        <f aca="false">IF($A29="","",12)</f>
        <v>12</v>
      </c>
      <c r="C29" s="37" t="str">
        <f aca="false">IF($A29="","",INDEX(Settings!$Q$12:$Q$23,$B29))</f>
        <v>December</v>
      </c>
      <c r="D29" s="37" t="str">
        <f aca="false">IF($A29="","",Settings!$D$13)</f>
        <v>Tiered</v>
      </c>
      <c r="E29" s="39" t="n">
        <f aca="false">IF($A29="","",SUMIFS(Sales!$E$5:$E$304,Sales!$B$5:$B$304,$A29,Sales!$J$5:$J$304,$B29,Sales!$K$5:$K$304,1))</f>
        <v>0</v>
      </c>
      <c r="F29" s="39" t="n">
        <f aca="false">IF($A29="","",SUMIFS(Sales!$L$5:$L$304,Sales!$B$5:$B$304,$A29,Sales!$J$5:$J$304,$B29,Sales!$K$5:$K$304,1))</f>
        <v>0</v>
      </c>
      <c r="G29" s="39" t="n">
        <f aca="false">IF($A29="","",N(Settings!$F$13))</f>
        <v>300000</v>
      </c>
      <c r="H29" s="40" t="n">
        <f aca="false">IF(OR($A29="",N(G29)=0),"",F29/G29)</f>
        <v>0</v>
      </c>
      <c r="I29" s="39" t="n">
        <f aca="false">IF($A29="","",IF($D29="Flat rate",F29*N(Settings!$G$13),0))</f>
        <v>0</v>
      </c>
      <c r="J29" s="39" t="n">
        <f aca="false">IF($A29="","",IF($D29="Tiered",MIN(F29,N(Settings!$H$13))*N(Settings!$I$13)+MAX(0,MIN(F29,N(Settings!$J$13))-N(Settings!$H$13))*N(Settings!$K$13)+MAX(0,F29-N(Settings!$J$13))*N(Settings!$L$13),0))</f>
        <v>0</v>
      </c>
      <c r="K29" s="39" t="n">
        <f aca="false">IF($A29="","",IF($D29="Accelerator",MIN(F29,G29)*N(Settings!$G$13),0))</f>
        <v>0</v>
      </c>
      <c r="L29" s="39" t="n">
        <f aca="false">IF($A29="","",IF($D29="Accelerator",MAX(0,F29-G29)*N(Settings!$M$13),0))</f>
        <v>0</v>
      </c>
      <c r="M29" s="39" t="n">
        <f aca="false">IF($A29="","",I29+J29+K29+L29)</f>
        <v>0</v>
      </c>
      <c r="N29" s="39" t="n">
        <f aca="false">IF(OR($A29="",Settings!$N$13=""),"",Settings!$N$13)</f>
        <v>25000</v>
      </c>
      <c r="O29" s="39" t="n">
        <f aca="false">IF($A29="","",IF(N29="",M29,MIN(M29,N29)))</f>
        <v>0</v>
      </c>
      <c r="P29" s="39" t="n">
        <f aca="false">IF($A29="","",SUMIFS(Sales!$O$5:$O$304,Sales!$B$5:$B$304,$A29,Sales!$M$5:$M$304,$B29))</f>
        <v>0</v>
      </c>
      <c r="Q29" s="39" t="n">
        <f aca="false">IF($A29="","",S28)</f>
        <v>0</v>
      </c>
      <c r="R29" s="39" t="n">
        <f aca="false">IF($A29="","",MIN(O29,P29+Q29))</f>
        <v>0</v>
      </c>
      <c r="S29" s="39" t="n">
        <f aca="false">IF($A29="","",P29+Q29-R29)</f>
        <v>0</v>
      </c>
      <c r="T29" s="41" t="n">
        <f aca="false">IF($A29="","",O29-R29)</f>
        <v>0</v>
      </c>
      <c r="U29" s="40" t="n">
        <f aca="false">IF($A29="","",IF(N(F29)=0,0,O29/F29))</f>
        <v>0</v>
      </c>
    </row>
    <row r="30" customFormat="false" ht="15" hidden="false" customHeight="false" outlineLevel="0" collapsed="false">
      <c r="A30" s="32" t="str">
        <f aca="false">IF(Settings!$B$14="","",Settings!$B$14)</f>
        <v>Camilla Nørgaard</v>
      </c>
      <c r="B30" s="33" t="n">
        <f aca="false">IF($A30="","",1)</f>
        <v>1</v>
      </c>
      <c r="C30" s="32" t="str">
        <f aca="false">IF($A30="","",INDEX(Settings!$Q$12:$Q$23,$B30))</f>
        <v>January</v>
      </c>
      <c r="D30" s="32" t="str">
        <f aca="false">IF($A30="","",Settings!$D$14)</f>
        <v>Accelerator</v>
      </c>
      <c r="E30" s="34" t="n">
        <f aca="false">IF($A30="","",SUMIFS(Sales!$E$5:$E$304,Sales!$B$5:$B$304,$A30,Sales!$J$5:$J$304,$B30,Sales!$K$5:$K$304,1))</f>
        <v>300000</v>
      </c>
      <c r="F30" s="34" t="n">
        <f aca="false">IF($A30="","",SUMIFS(Sales!$L$5:$L$304,Sales!$B$5:$B$304,$A30,Sales!$J$5:$J$304,$B30,Sales!$K$5:$K$304,1))</f>
        <v>94500</v>
      </c>
      <c r="G30" s="34" t="n">
        <f aca="false">IF($A30="","",N(Settings!$F$14))</f>
        <v>120000</v>
      </c>
      <c r="H30" s="35" t="n">
        <f aca="false">IF(OR($A30="",N(G30)=0),"",F30/G30)</f>
        <v>0.7875</v>
      </c>
      <c r="I30" s="34" t="n">
        <f aca="false">IF($A30="","",IF($D30="Flat rate",F30*N(Settings!$G$14),0))</f>
        <v>0</v>
      </c>
      <c r="J30" s="34" t="n">
        <f aca="false">IF($A30="","",IF($D30="Tiered",MIN(F30,N(Settings!$H$14))*N(Settings!$I$14)+MAX(0,MIN(F30,N(Settings!$J$14))-N(Settings!$H$14))*N(Settings!$K$14)+MAX(0,F30-N(Settings!$J$14))*N(Settings!$L$14),0))</f>
        <v>0</v>
      </c>
      <c r="K30" s="34" t="n">
        <f aca="false">IF($A30="","",IF($D30="Accelerator",MIN(F30,G30)*N(Settings!$G$14),0))</f>
        <v>14175</v>
      </c>
      <c r="L30" s="34" t="n">
        <f aca="false">IF($A30="","",IF($D30="Accelerator",MAX(0,F30-G30)*N(Settings!$M$14),0))</f>
        <v>0</v>
      </c>
      <c r="M30" s="34" t="n">
        <f aca="false">IF($A30="","",I30+J30+K30+L30)</f>
        <v>14175</v>
      </c>
      <c r="N30" s="34" t="n">
        <f aca="false">IF(OR($A30="",Settings!$N$14=""),"",Settings!$N$14)</f>
        <v>35000</v>
      </c>
      <c r="O30" s="34" t="n">
        <f aca="false">IF($A30="","",IF(N30="",M30,MIN(M30,N30)))</f>
        <v>14175</v>
      </c>
      <c r="P30" s="34" t="n">
        <f aca="false">IF($A30="","",SUMIFS(Sales!$O$5:$O$304,Sales!$B$5:$B$304,$A30,Sales!$M$5:$M$304,$B30))</f>
        <v>0</v>
      </c>
      <c r="Q30" s="34" t="n">
        <f aca="false">IF($A30="","",0)</f>
        <v>0</v>
      </c>
      <c r="R30" s="34" t="n">
        <f aca="false">IF($A30="","",MIN(O30,P30+Q30))</f>
        <v>0</v>
      </c>
      <c r="S30" s="34" t="n">
        <f aca="false">IF($A30="","",P30+Q30-R30)</f>
        <v>0</v>
      </c>
      <c r="T30" s="36" t="n">
        <f aca="false">IF($A30="","",O30-R30)</f>
        <v>14175</v>
      </c>
      <c r="U30" s="35" t="n">
        <f aca="false">IF($A30="","",IF(N(F30)=0,0,O30/F30))</f>
        <v>0.15</v>
      </c>
    </row>
    <row r="31" customFormat="false" ht="15" hidden="false" customHeight="false" outlineLevel="0" collapsed="false">
      <c r="A31" s="32" t="str">
        <f aca="false">IF(Settings!$B$14="","",Settings!$B$14)</f>
        <v>Camilla Nørgaard</v>
      </c>
      <c r="B31" s="33" t="n">
        <f aca="false">IF($A31="","",2)</f>
        <v>2</v>
      </c>
      <c r="C31" s="32" t="str">
        <f aca="false">IF($A31="","",INDEX(Settings!$Q$12:$Q$23,$B31))</f>
        <v>February</v>
      </c>
      <c r="D31" s="32" t="str">
        <f aca="false">IF($A31="","",Settings!$D$14)</f>
        <v>Accelerator</v>
      </c>
      <c r="E31" s="34" t="n">
        <f aca="false">IF($A31="","",SUMIFS(Sales!$E$5:$E$304,Sales!$B$5:$B$304,$A31,Sales!$J$5:$J$304,$B31,Sales!$K$5:$K$304,1))</f>
        <v>330000</v>
      </c>
      <c r="F31" s="34" t="n">
        <f aca="false">IF($A31="","",SUMIFS(Sales!$L$5:$L$304,Sales!$B$5:$B$304,$A31,Sales!$J$5:$J$304,$B31,Sales!$K$5:$K$304,1))</f>
        <v>100400</v>
      </c>
      <c r="G31" s="34" t="n">
        <f aca="false">IF($A31="","",N(Settings!$F$14))</f>
        <v>120000</v>
      </c>
      <c r="H31" s="35" t="n">
        <f aca="false">IF(OR($A31="",N(G31)=0),"",F31/G31)</f>
        <v>0.836666666666667</v>
      </c>
      <c r="I31" s="34" t="n">
        <f aca="false">IF($A31="","",IF($D31="Flat rate",F31*N(Settings!$G$14),0))</f>
        <v>0</v>
      </c>
      <c r="J31" s="34" t="n">
        <f aca="false">IF($A31="","",IF($D31="Tiered",MIN(F31,N(Settings!$H$14))*N(Settings!$I$14)+MAX(0,MIN(F31,N(Settings!$J$14))-N(Settings!$H$14))*N(Settings!$K$14)+MAX(0,F31-N(Settings!$J$14))*N(Settings!$L$14),0))</f>
        <v>0</v>
      </c>
      <c r="K31" s="34" t="n">
        <f aca="false">IF($A31="","",IF($D31="Accelerator",MIN(F31,G31)*N(Settings!$G$14),0))</f>
        <v>15060</v>
      </c>
      <c r="L31" s="34" t="n">
        <f aca="false">IF($A31="","",IF($D31="Accelerator",MAX(0,F31-G31)*N(Settings!$M$14),0))</f>
        <v>0</v>
      </c>
      <c r="M31" s="34" t="n">
        <f aca="false">IF($A31="","",I31+J31+K31+L31)</f>
        <v>15060</v>
      </c>
      <c r="N31" s="34" t="n">
        <f aca="false">IF(OR($A31="",Settings!$N$14=""),"",Settings!$N$14)</f>
        <v>35000</v>
      </c>
      <c r="O31" s="34" t="n">
        <f aca="false">IF($A31="","",IF(N31="",M31,MIN(M31,N31)))</f>
        <v>15060</v>
      </c>
      <c r="P31" s="34" t="n">
        <f aca="false">IF($A31="","",SUMIFS(Sales!$O$5:$O$304,Sales!$B$5:$B$304,$A31,Sales!$M$5:$M$304,$B31))</f>
        <v>0</v>
      </c>
      <c r="Q31" s="34" t="n">
        <f aca="false">IF($A31="","",S30)</f>
        <v>0</v>
      </c>
      <c r="R31" s="34" t="n">
        <f aca="false">IF($A31="","",MIN(O31,P31+Q31))</f>
        <v>0</v>
      </c>
      <c r="S31" s="34" t="n">
        <f aca="false">IF($A31="","",P31+Q31-R31)</f>
        <v>0</v>
      </c>
      <c r="T31" s="36" t="n">
        <f aca="false">IF($A31="","",O31-R31)</f>
        <v>15060</v>
      </c>
      <c r="U31" s="35" t="n">
        <f aca="false">IF($A31="","",IF(N(F31)=0,0,O31/F31))</f>
        <v>0.15</v>
      </c>
    </row>
    <row r="32" customFormat="false" ht="15" hidden="false" customHeight="false" outlineLevel="0" collapsed="false">
      <c r="A32" s="32" t="str">
        <f aca="false">IF(Settings!$B$14="","",Settings!$B$14)</f>
        <v>Camilla Nørgaard</v>
      </c>
      <c r="B32" s="33" t="n">
        <f aca="false">IF($A32="","",3)</f>
        <v>3</v>
      </c>
      <c r="C32" s="32" t="str">
        <f aca="false">IF($A32="","",INDEX(Settings!$Q$12:$Q$23,$B32))</f>
        <v>March</v>
      </c>
      <c r="D32" s="32" t="str">
        <f aca="false">IF($A32="","",Settings!$D$14)</f>
        <v>Accelerator</v>
      </c>
      <c r="E32" s="34" t="n">
        <f aca="false">IF($A32="","",SUMIFS(Sales!$E$5:$E$304,Sales!$B$5:$B$304,$A32,Sales!$J$5:$J$304,$B32,Sales!$K$5:$K$304,1))</f>
        <v>440000</v>
      </c>
      <c r="F32" s="34" t="n">
        <f aca="false">IF($A32="","",SUMIFS(Sales!$L$5:$L$304,Sales!$B$5:$B$304,$A32,Sales!$J$5:$J$304,$B32,Sales!$K$5:$K$304,1))</f>
        <v>160000</v>
      </c>
      <c r="G32" s="34" t="n">
        <f aca="false">IF($A32="","",N(Settings!$F$14))</f>
        <v>120000</v>
      </c>
      <c r="H32" s="35" t="n">
        <f aca="false">IF(OR($A32="",N(G32)=0),"",F32/G32)</f>
        <v>1.33333333333333</v>
      </c>
      <c r="I32" s="34" t="n">
        <f aca="false">IF($A32="","",IF($D32="Flat rate",F32*N(Settings!$G$14),0))</f>
        <v>0</v>
      </c>
      <c r="J32" s="34" t="n">
        <f aca="false">IF($A32="","",IF($D32="Tiered",MIN(F32,N(Settings!$H$14))*N(Settings!$I$14)+MAX(0,MIN(F32,N(Settings!$J$14))-N(Settings!$H$14))*N(Settings!$K$14)+MAX(0,F32-N(Settings!$J$14))*N(Settings!$L$14),0))</f>
        <v>0</v>
      </c>
      <c r="K32" s="34" t="n">
        <f aca="false">IF($A32="","",IF($D32="Accelerator",MIN(F32,G32)*N(Settings!$G$14),0))</f>
        <v>18000</v>
      </c>
      <c r="L32" s="34" t="n">
        <f aca="false">IF($A32="","",IF($D32="Accelerator",MAX(0,F32-G32)*N(Settings!$M$14),0))</f>
        <v>10000</v>
      </c>
      <c r="M32" s="34" t="n">
        <f aca="false">IF($A32="","",I32+J32+K32+L32)</f>
        <v>28000</v>
      </c>
      <c r="N32" s="34" t="n">
        <f aca="false">IF(OR($A32="",Settings!$N$14=""),"",Settings!$N$14)</f>
        <v>35000</v>
      </c>
      <c r="O32" s="34" t="n">
        <f aca="false">IF($A32="","",IF(N32="",M32,MIN(M32,N32)))</f>
        <v>28000</v>
      </c>
      <c r="P32" s="34" t="n">
        <f aca="false">IF($A32="","",SUMIFS(Sales!$O$5:$O$304,Sales!$B$5:$B$304,$A32,Sales!$M$5:$M$304,$B32))</f>
        <v>0</v>
      </c>
      <c r="Q32" s="34" t="n">
        <f aca="false">IF($A32="","",S31)</f>
        <v>0</v>
      </c>
      <c r="R32" s="34" t="n">
        <f aca="false">IF($A32="","",MIN(O32,P32+Q32))</f>
        <v>0</v>
      </c>
      <c r="S32" s="34" t="n">
        <f aca="false">IF($A32="","",P32+Q32-R32)</f>
        <v>0</v>
      </c>
      <c r="T32" s="36" t="n">
        <f aca="false">IF($A32="","",O32-R32)</f>
        <v>28000</v>
      </c>
      <c r="U32" s="35" t="n">
        <f aca="false">IF($A32="","",IF(N(F32)=0,0,O32/F32))</f>
        <v>0.175</v>
      </c>
    </row>
    <row r="33" customFormat="false" ht="15" hidden="false" customHeight="false" outlineLevel="0" collapsed="false">
      <c r="A33" s="32" t="str">
        <f aca="false">IF(Settings!$B$14="","",Settings!$B$14)</f>
        <v>Camilla Nørgaard</v>
      </c>
      <c r="B33" s="33" t="n">
        <f aca="false">IF($A33="","",4)</f>
        <v>4</v>
      </c>
      <c r="C33" s="32" t="str">
        <f aca="false">IF($A33="","",INDEX(Settings!$Q$12:$Q$23,$B33))</f>
        <v>April</v>
      </c>
      <c r="D33" s="32" t="str">
        <f aca="false">IF($A33="","",Settings!$D$14)</f>
        <v>Accelerator</v>
      </c>
      <c r="E33" s="34" t="n">
        <f aca="false">IF($A33="","",SUMIFS(Sales!$E$5:$E$304,Sales!$B$5:$B$304,$A33,Sales!$J$5:$J$304,$B33,Sales!$K$5:$K$304,1))</f>
        <v>0</v>
      </c>
      <c r="F33" s="34" t="n">
        <f aca="false">IF($A33="","",SUMIFS(Sales!$L$5:$L$304,Sales!$B$5:$B$304,$A33,Sales!$J$5:$J$304,$B33,Sales!$K$5:$K$304,1))</f>
        <v>0</v>
      </c>
      <c r="G33" s="34" t="n">
        <f aca="false">IF($A33="","",N(Settings!$F$14))</f>
        <v>120000</v>
      </c>
      <c r="H33" s="35" t="n">
        <f aca="false">IF(OR($A33="",N(G33)=0),"",F33/G33)</f>
        <v>0</v>
      </c>
      <c r="I33" s="34" t="n">
        <f aca="false">IF($A33="","",IF($D33="Flat rate",F33*N(Settings!$G$14),0))</f>
        <v>0</v>
      </c>
      <c r="J33" s="34" t="n">
        <f aca="false">IF($A33="","",IF($D33="Tiered",MIN(F33,N(Settings!$H$14))*N(Settings!$I$14)+MAX(0,MIN(F33,N(Settings!$J$14))-N(Settings!$H$14))*N(Settings!$K$14)+MAX(0,F33-N(Settings!$J$14))*N(Settings!$L$14),0))</f>
        <v>0</v>
      </c>
      <c r="K33" s="34" t="n">
        <f aca="false">IF($A33="","",IF($D33="Accelerator",MIN(F33,G33)*N(Settings!$G$14),0))</f>
        <v>0</v>
      </c>
      <c r="L33" s="34" t="n">
        <f aca="false">IF($A33="","",IF($D33="Accelerator",MAX(0,F33-G33)*N(Settings!$M$14),0))</f>
        <v>0</v>
      </c>
      <c r="M33" s="34" t="n">
        <f aca="false">IF($A33="","",I33+J33+K33+L33)</f>
        <v>0</v>
      </c>
      <c r="N33" s="34" t="n">
        <f aca="false">IF(OR($A33="",Settings!$N$14=""),"",Settings!$N$14)</f>
        <v>35000</v>
      </c>
      <c r="O33" s="34" t="n">
        <f aca="false">IF($A33="","",IF(N33="",M33,MIN(M33,N33)))</f>
        <v>0</v>
      </c>
      <c r="P33" s="34" t="n">
        <f aca="false">IF($A33="","",SUMIFS(Sales!$O$5:$O$304,Sales!$B$5:$B$304,$A33,Sales!$M$5:$M$304,$B33))</f>
        <v>0</v>
      </c>
      <c r="Q33" s="34" t="n">
        <f aca="false">IF($A33="","",S32)</f>
        <v>0</v>
      </c>
      <c r="R33" s="34" t="n">
        <f aca="false">IF($A33="","",MIN(O33,P33+Q33))</f>
        <v>0</v>
      </c>
      <c r="S33" s="34" t="n">
        <f aca="false">IF($A33="","",P33+Q33-R33)</f>
        <v>0</v>
      </c>
      <c r="T33" s="36" t="n">
        <f aca="false">IF($A33="","",O33-R33)</f>
        <v>0</v>
      </c>
      <c r="U33" s="35" t="n">
        <f aca="false">IF($A33="","",IF(N(F33)=0,0,O33/F33))</f>
        <v>0</v>
      </c>
    </row>
    <row r="34" customFormat="false" ht="15" hidden="false" customHeight="false" outlineLevel="0" collapsed="false">
      <c r="A34" s="32" t="str">
        <f aca="false">IF(Settings!$B$14="","",Settings!$B$14)</f>
        <v>Camilla Nørgaard</v>
      </c>
      <c r="B34" s="33" t="n">
        <f aca="false">IF($A34="","",5)</f>
        <v>5</v>
      </c>
      <c r="C34" s="32" t="str">
        <f aca="false">IF($A34="","",INDEX(Settings!$Q$12:$Q$23,$B34))</f>
        <v>May</v>
      </c>
      <c r="D34" s="32" t="str">
        <f aca="false">IF($A34="","",Settings!$D$14)</f>
        <v>Accelerator</v>
      </c>
      <c r="E34" s="34" t="n">
        <f aca="false">IF($A34="","",SUMIFS(Sales!$E$5:$E$304,Sales!$B$5:$B$304,$A34,Sales!$J$5:$J$304,$B34,Sales!$K$5:$K$304,1))</f>
        <v>0</v>
      </c>
      <c r="F34" s="34" t="n">
        <f aca="false">IF($A34="","",SUMIFS(Sales!$L$5:$L$304,Sales!$B$5:$B$304,$A34,Sales!$J$5:$J$304,$B34,Sales!$K$5:$K$304,1))</f>
        <v>0</v>
      </c>
      <c r="G34" s="34" t="n">
        <f aca="false">IF($A34="","",N(Settings!$F$14))</f>
        <v>120000</v>
      </c>
      <c r="H34" s="35" t="n">
        <f aca="false">IF(OR($A34="",N(G34)=0),"",F34/G34)</f>
        <v>0</v>
      </c>
      <c r="I34" s="34" t="n">
        <f aca="false">IF($A34="","",IF($D34="Flat rate",F34*N(Settings!$G$14),0))</f>
        <v>0</v>
      </c>
      <c r="J34" s="34" t="n">
        <f aca="false">IF($A34="","",IF($D34="Tiered",MIN(F34,N(Settings!$H$14))*N(Settings!$I$14)+MAX(0,MIN(F34,N(Settings!$J$14))-N(Settings!$H$14))*N(Settings!$K$14)+MAX(0,F34-N(Settings!$J$14))*N(Settings!$L$14),0))</f>
        <v>0</v>
      </c>
      <c r="K34" s="34" t="n">
        <f aca="false">IF($A34="","",IF($D34="Accelerator",MIN(F34,G34)*N(Settings!$G$14),0))</f>
        <v>0</v>
      </c>
      <c r="L34" s="34" t="n">
        <f aca="false">IF($A34="","",IF($D34="Accelerator",MAX(0,F34-G34)*N(Settings!$M$14),0))</f>
        <v>0</v>
      </c>
      <c r="M34" s="34" t="n">
        <f aca="false">IF($A34="","",I34+J34+K34+L34)</f>
        <v>0</v>
      </c>
      <c r="N34" s="34" t="n">
        <f aca="false">IF(OR($A34="",Settings!$N$14=""),"",Settings!$N$14)</f>
        <v>35000</v>
      </c>
      <c r="O34" s="34" t="n">
        <f aca="false">IF($A34="","",IF(N34="",M34,MIN(M34,N34)))</f>
        <v>0</v>
      </c>
      <c r="P34" s="34" t="n">
        <f aca="false">IF($A34="","",SUMIFS(Sales!$O$5:$O$304,Sales!$B$5:$B$304,$A34,Sales!$M$5:$M$304,$B34))</f>
        <v>0</v>
      </c>
      <c r="Q34" s="34" t="n">
        <f aca="false">IF($A34="","",S33)</f>
        <v>0</v>
      </c>
      <c r="R34" s="34" t="n">
        <f aca="false">IF($A34="","",MIN(O34,P34+Q34))</f>
        <v>0</v>
      </c>
      <c r="S34" s="34" t="n">
        <f aca="false">IF($A34="","",P34+Q34-R34)</f>
        <v>0</v>
      </c>
      <c r="T34" s="36" t="n">
        <f aca="false">IF($A34="","",O34-R34)</f>
        <v>0</v>
      </c>
      <c r="U34" s="35" t="n">
        <f aca="false">IF($A34="","",IF(N(F34)=0,0,O34/F34))</f>
        <v>0</v>
      </c>
    </row>
    <row r="35" customFormat="false" ht="15" hidden="false" customHeight="false" outlineLevel="0" collapsed="false">
      <c r="A35" s="32" t="str">
        <f aca="false">IF(Settings!$B$14="","",Settings!$B$14)</f>
        <v>Camilla Nørgaard</v>
      </c>
      <c r="B35" s="33" t="n">
        <f aca="false">IF($A35="","",6)</f>
        <v>6</v>
      </c>
      <c r="C35" s="32" t="str">
        <f aca="false">IF($A35="","",INDEX(Settings!$Q$12:$Q$23,$B35))</f>
        <v>June</v>
      </c>
      <c r="D35" s="32" t="str">
        <f aca="false">IF($A35="","",Settings!$D$14)</f>
        <v>Accelerator</v>
      </c>
      <c r="E35" s="34" t="n">
        <f aca="false">IF($A35="","",SUMIFS(Sales!$E$5:$E$304,Sales!$B$5:$B$304,$A35,Sales!$J$5:$J$304,$B35,Sales!$K$5:$K$304,1))</f>
        <v>0</v>
      </c>
      <c r="F35" s="34" t="n">
        <f aca="false">IF($A35="","",SUMIFS(Sales!$L$5:$L$304,Sales!$B$5:$B$304,$A35,Sales!$J$5:$J$304,$B35,Sales!$K$5:$K$304,1))</f>
        <v>0</v>
      </c>
      <c r="G35" s="34" t="n">
        <f aca="false">IF($A35="","",N(Settings!$F$14))</f>
        <v>120000</v>
      </c>
      <c r="H35" s="35" t="n">
        <f aca="false">IF(OR($A35="",N(G35)=0),"",F35/G35)</f>
        <v>0</v>
      </c>
      <c r="I35" s="34" t="n">
        <f aca="false">IF($A35="","",IF($D35="Flat rate",F35*N(Settings!$G$14),0))</f>
        <v>0</v>
      </c>
      <c r="J35" s="34" t="n">
        <f aca="false">IF($A35="","",IF($D35="Tiered",MIN(F35,N(Settings!$H$14))*N(Settings!$I$14)+MAX(0,MIN(F35,N(Settings!$J$14))-N(Settings!$H$14))*N(Settings!$K$14)+MAX(0,F35-N(Settings!$J$14))*N(Settings!$L$14),0))</f>
        <v>0</v>
      </c>
      <c r="K35" s="34" t="n">
        <f aca="false">IF($A35="","",IF($D35="Accelerator",MIN(F35,G35)*N(Settings!$G$14),0))</f>
        <v>0</v>
      </c>
      <c r="L35" s="34" t="n">
        <f aca="false">IF($A35="","",IF($D35="Accelerator",MAX(0,F35-G35)*N(Settings!$M$14),0))</f>
        <v>0</v>
      </c>
      <c r="M35" s="34" t="n">
        <f aca="false">IF($A35="","",I35+J35+K35+L35)</f>
        <v>0</v>
      </c>
      <c r="N35" s="34" t="n">
        <f aca="false">IF(OR($A35="",Settings!$N$14=""),"",Settings!$N$14)</f>
        <v>35000</v>
      </c>
      <c r="O35" s="34" t="n">
        <f aca="false">IF($A35="","",IF(N35="",M35,MIN(M35,N35)))</f>
        <v>0</v>
      </c>
      <c r="P35" s="34" t="n">
        <f aca="false">IF($A35="","",SUMIFS(Sales!$O$5:$O$304,Sales!$B$5:$B$304,$A35,Sales!$M$5:$M$304,$B35))</f>
        <v>0</v>
      </c>
      <c r="Q35" s="34" t="n">
        <f aca="false">IF($A35="","",S34)</f>
        <v>0</v>
      </c>
      <c r="R35" s="34" t="n">
        <f aca="false">IF($A35="","",MIN(O35,P35+Q35))</f>
        <v>0</v>
      </c>
      <c r="S35" s="34" t="n">
        <f aca="false">IF($A35="","",P35+Q35-R35)</f>
        <v>0</v>
      </c>
      <c r="T35" s="36" t="n">
        <f aca="false">IF($A35="","",O35-R35)</f>
        <v>0</v>
      </c>
      <c r="U35" s="35" t="n">
        <f aca="false">IF($A35="","",IF(N(F35)=0,0,O35/F35))</f>
        <v>0</v>
      </c>
    </row>
    <row r="36" customFormat="false" ht="15" hidden="false" customHeight="false" outlineLevel="0" collapsed="false">
      <c r="A36" s="32" t="str">
        <f aca="false">IF(Settings!$B$14="","",Settings!$B$14)</f>
        <v>Camilla Nørgaard</v>
      </c>
      <c r="B36" s="33" t="n">
        <f aca="false">IF($A36="","",7)</f>
        <v>7</v>
      </c>
      <c r="C36" s="32" t="str">
        <f aca="false">IF($A36="","",INDEX(Settings!$Q$12:$Q$23,$B36))</f>
        <v>July</v>
      </c>
      <c r="D36" s="32" t="str">
        <f aca="false">IF($A36="","",Settings!$D$14)</f>
        <v>Accelerator</v>
      </c>
      <c r="E36" s="34" t="n">
        <f aca="false">IF($A36="","",SUMIFS(Sales!$E$5:$E$304,Sales!$B$5:$B$304,$A36,Sales!$J$5:$J$304,$B36,Sales!$K$5:$K$304,1))</f>
        <v>0</v>
      </c>
      <c r="F36" s="34" t="n">
        <f aca="false">IF($A36="","",SUMIFS(Sales!$L$5:$L$304,Sales!$B$5:$B$304,$A36,Sales!$J$5:$J$304,$B36,Sales!$K$5:$K$304,1))</f>
        <v>0</v>
      </c>
      <c r="G36" s="34" t="n">
        <f aca="false">IF($A36="","",N(Settings!$F$14))</f>
        <v>120000</v>
      </c>
      <c r="H36" s="35" t="n">
        <f aca="false">IF(OR($A36="",N(G36)=0),"",F36/G36)</f>
        <v>0</v>
      </c>
      <c r="I36" s="34" t="n">
        <f aca="false">IF($A36="","",IF($D36="Flat rate",F36*N(Settings!$G$14),0))</f>
        <v>0</v>
      </c>
      <c r="J36" s="34" t="n">
        <f aca="false">IF($A36="","",IF($D36="Tiered",MIN(F36,N(Settings!$H$14))*N(Settings!$I$14)+MAX(0,MIN(F36,N(Settings!$J$14))-N(Settings!$H$14))*N(Settings!$K$14)+MAX(0,F36-N(Settings!$J$14))*N(Settings!$L$14),0))</f>
        <v>0</v>
      </c>
      <c r="K36" s="34" t="n">
        <f aca="false">IF($A36="","",IF($D36="Accelerator",MIN(F36,G36)*N(Settings!$G$14),0))</f>
        <v>0</v>
      </c>
      <c r="L36" s="34" t="n">
        <f aca="false">IF($A36="","",IF($D36="Accelerator",MAX(0,F36-G36)*N(Settings!$M$14),0))</f>
        <v>0</v>
      </c>
      <c r="M36" s="34" t="n">
        <f aca="false">IF($A36="","",I36+J36+K36+L36)</f>
        <v>0</v>
      </c>
      <c r="N36" s="34" t="n">
        <f aca="false">IF(OR($A36="",Settings!$N$14=""),"",Settings!$N$14)</f>
        <v>35000</v>
      </c>
      <c r="O36" s="34" t="n">
        <f aca="false">IF($A36="","",IF(N36="",M36,MIN(M36,N36)))</f>
        <v>0</v>
      </c>
      <c r="P36" s="34" t="n">
        <f aca="false">IF($A36="","",SUMIFS(Sales!$O$5:$O$304,Sales!$B$5:$B$304,$A36,Sales!$M$5:$M$304,$B36))</f>
        <v>0</v>
      </c>
      <c r="Q36" s="34" t="n">
        <f aca="false">IF($A36="","",S35)</f>
        <v>0</v>
      </c>
      <c r="R36" s="34" t="n">
        <f aca="false">IF($A36="","",MIN(O36,P36+Q36))</f>
        <v>0</v>
      </c>
      <c r="S36" s="34" t="n">
        <f aca="false">IF($A36="","",P36+Q36-R36)</f>
        <v>0</v>
      </c>
      <c r="T36" s="36" t="n">
        <f aca="false">IF($A36="","",O36-R36)</f>
        <v>0</v>
      </c>
      <c r="U36" s="35" t="n">
        <f aca="false">IF($A36="","",IF(N(F36)=0,0,O36/F36))</f>
        <v>0</v>
      </c>
    </row>
    <row r="37" customFormat="false" ht="15" hidden="false" customHeight="false" outlineLevel="0" collapsed="false">
      <c r="A37" s="32" t="str">
        <f aca="false">IF(Settings!$B$14="","",Settings!$B$14)</f>
        <v>Camilla Nørgaard</v>
      </c>
      <c r="B37" s="33" t="n">
        <f aca="false">IF($A37="","",8)</f>
        <v>8</v>
      </c>
      <c r="C37" s="32" t="str">
        <f aca="false">IF($A37="","",INDEX(Settings!$Q$12:$Q$23,$B37))</f>
        <v>August</v>
      </c>
      <c r="D37" s="32" t="str">
        <f aca="false">IF($A37="","",Settings!$D$14)</f>
        <v>Accelerator</v>
      </c>
      <c r="E37" s="34" t="n">
        <f aca="false">IF($A37="","",SUMIFS(Sales!$E$5:$E$304,Sales!$B$5:$B$304,$A37,Sales!$J$5:$J$304,$B37,Sales!$K$5:$K$304,1))</f>
        <v>0</v>
      </c>
      <c r="F37" s="34" t="n">
        <f aca="false">IF($A37="","",SUMIFS(Sales!$L$5:$L$304,Sales!$B$5:$B$304,$A37,Sales!$J$5:$J$304,$B37,Sales!$K$5:$K$304,1))</f>
        <v>0</v>
      </c>
      <c r="G37" s="34" t="n">
        <f aca="false">IF($A37="","",N(Settings!$F$14))</f>
        <v>120000</v>
      </c>
      <c r="H37" s="35" t="n">
        <f aca="false">IF(OR($A37="",N(G37)=0),"",F37/G37)</f>
        <v>0</v>
      </c>
      <c r="I37" s="34" t="n">
        <f aca="false">IF($A37="","",IF($D37="Flat rate",F37*N(Settings!$G$14),0))</f>
        <v>0</v>
      </c>
      <c r="J37" s="34" t="n">
        <f aca="false">IF($A37="","",IF($D37="Tiered",MIN(F37,N(Settings!$H$14))*N(Settings!$I$14)+MAX(0,MIN(F37,N(Settings!$J$14))-N(Settings!$H$14))*N(Settings!$K$14)+MAX(0,F37-N(Settings!$J$14))*N(Settings!$L$14),0))</f>
        <v>0</v>
      </c>
      <c r="K37" s="34" t="n">
        <f aca="false">IF($A37="","",IF($D37="Accelerator",MIN(F37,G37)*N(Settings!$G$14),0))</f>
        <v>0</v>
      </c>
      <c r="L37" s="34" t="n">
        <f aca="false">IF($A37="","",IF($D37="Accelerator",MAX(0,F37-G37)*N(Settings!$M$14),0))</f>
        <v>0</v>
      </c>
      <c r="M37" s="34" t="n">
        <f aca="false">IF($A37="","",I37+J37+K37+L37)</f>
        <v>0</v>
      </c>
      <c r="N37" s="34" t="n">
        <f aca="false">IF(OR($A37="",Settings!$N$14=""),"",Settings!$N$14)</f>
        <v>35000</v>
      </c>
      <c r="O37" s="34" t="n">
        <f aca="false">IF($A37="","",IF(N37="",M37,MIN(M37,N37)))</f>
        <v>0</v>
      </c>
      <c r="P37" s="34" t="n">
        <f aca="false">IF($A37="","",SUMIFS(Sales!$O$5:$O$304,Sales!$B$5:$B$304,$A37,Sales!$M$5:$M$304,$B37))</f>
        <v>0</v>
      </c>
      <c r="Q37" s="34" t="n">
        <f aca="false">IF($A37="","",S36)</f>
        <v>0</v>
      </c>
      <c r="R37" s="34" t="n">
        <f aca="false">IF($A37="","",MIN(O37,P37+Q37))</f>
        <v>0</v>
      </c>
      <c r="S37" s="34" t="n">
        <f aca="false">IF($A37="","",P37+Q37-R37)</f>
        <v>0</v>
      </c>
      <c r="T37" s="36" t="n">
        <f aca="false">IF($A37="","",O37-R37)</f>
        <v>0</v>
      </c>
      <c r="U37" s="35" t="n">
        <f aca="false">IF($A37="","",IF(N(F37)=0,0,O37/F37))</f>
        <v>0</v>
      </c>
    </row>
    <row r="38" customFormat="false" ht="15" hidden="false" customHeight="false" outlineLevel="0" collapsed="false">
      <c r="A38" s="32" t="str">
        <f aca="false">IF(Settings!$B$14="","",Settings!$B$14)</f>
        <v>Camilla Nørgaard</v>
      </c>
      <c r="B38" s="33" t="n">
        <f aca="false">IF($A38="","",9)</f>
        <v>9</v>
      </c>
      <c r="C38" s="32" t="str">
        <f aca="false">IF($A38="","",INDEX(Settings!$Q$12:$Q$23,$B38))</f>
        <v>September</v>
      </c>
      <c r="D38" s="32" t="str">
        <f aca="false">IF($A38="","",Settings!$D$14)</f>
        <v>Accelerator</v>
      </c>
      <c r="E38" s="34" t="n">
        <f aca="false">IF($A38="","",SUMIFS(Sales!$E$5:$E$304,Sales!$B$5:$B$304,$A38,Sales!$J$5:$J$304,$B38,Sales!$K$5:$K$304,1))</f>
        <v>0</v>
      </c>
      <c r="F38" s="34" t="n">
        <f aca="false">IF($A38="","",SUMIFS(Sales!$L$5:$L$304,Sales!$B$5:$B$304,$A38,Sales!$J$5:$J$304,$B38,Sales!$K$5:$K$304,1))</f>
        <v>0</v>
      </c>
      <c r="G38" s="34" t="n">
        <f aca="false">IF($A38="","",N(Settings!$F$14))</f>
        <v>120000</v>
      </c>
      <c r="H38" s="35" t="n">
        <f aca="false">IF(OR($A38="",N(G38)=0),"",F38/G38)</f>
        <v>0</v>
      </c>
      <c r="I38" s="34" t="n">
        <f aca="false">IF($A38="","",IF($D38="Flat rate",F38*N(Settings!$G$14),0))</f>
        <v>0</v>
      </c>
      <c r="J38" s="34" t="n">
        <f aca="false">IF($A38="","",IF($D38="Tiered",MIN(F38,N(Settings!$H$14))*N(Settings!$I$14)+MAX(0,MIN(F38,N(Settings!$J$14))-N(Settings!$H$14))*N(Settings!$K$14)+MAX(0,F38-N(Settings!$J$14))*N(Settings!$L$14),0))</f>
        <v>0</v>
      </c>
      <c r="K38" s="34" t="n">
        <f aca="false">IF($A38="","",IF($D38="Accelerator",MIN(F38,G38)*N(Settings!$G$14),0))</f>
        <v>0</v>
      </c>
      <c r="L38" s="34" t="n">
        <f aca="false">IF($A38="","",IF($D38="Accelerator",MAX(0,F38-G38)*N(Settings!$M$14),0))</f>
        <v>0</v>
      </c>
      <c r="M38" s="34" t="n">
        <f aca="false">IF($A38="","",I38+J38+K38+L38)</f>
        <v>0</v>
      </c>
      <c r="N38" s="34" t="n">
        <f aca="false">IF(OR($A38="",Settings!$N$14=""),"",Settings!$N$14)</f>
        <v>35000</v>
      </c>
      <c r="O38" s="34" t="n">
        <f aca="false">IF($A38="","",IF(N38="",M38,MIN(M38,N38)))</f>
        <v>0</v>
      </c>
      <c r="P38" s="34" t="n">
        <f aca="false">IF($A38="","",SUMIFS(Sales!$O$5:$O$304,Sales!$B$5:$B$304,$A38,Sales!$M$5:$M$304,$B38))</f>
        <v>0</v>
      </c>
      <c r="Q38" s="34" t="n">
        <f aca="false">IF($A38="","",S37)</f>
        <v>0</v>
      </c>
      <c r="R38" s="34" t="n">
        <f aca="false">IF($A38="","",MIN(O38,P38+Q38))</f>
        <v>0</v>
      </c>
      <c r="S38" s="34" t="n">
        <f aca="false">IF($A38="","",P38+Q38-R38)</f>
        <v>0</v>
      </c>
      <c r="T38" s="36" t="n">
        <f aca="false">IF($A38="","",O38-R38)</f>
        <v>0</v>
      </c>
      <c r="U38" s="35" t="n">
        <f aca="false">IF($A38="","",IF(N(F38)=0,0,O38/F38))</f>
        <v>0</v>
      </c>
    </row>
    <row r="39" customFormat="false" ht="15" hidden="false" customHeight="false" outlineLevel="0" collapsed="false">
      <c r="A39" s="32" t="str">
        <f aca="false">IF(Settings!$B$14="","",Settings!$B$14)</f>
        <v>Camilla Nørgaard</v>
      </c>
      <c r="B39" s="33" t="n">
        <f aca="false">IF($A39="","",10)</f>
        <v>10</v>
      </c>
      <c r="C39" s="32" t="str">
        <f aca="false">IF($A39="","",INDEX(Settings!$Q$12:$Q$23,$B39))</f>
        <v>October</v>
      </c>
      <c r="D39" s="32" t="str">
        <f aca="false">IF($A39="","",Settings!$D$14)</f>
        <v>Accelerator</v>
      </c>
      <c r="E39" s="34" t="n">
        <f aca="false">IF($A39="","",SUMIFS(Sales!$E$5:$E$304,Sales!$B$5:$B$304,$A39,Sales!$J$5:$J$304,$B39,Sales!$K$5:$K$304,1))</f>
        <v>0</v>
      </c>
      <c r="F39" s="34" t="n">
        <f aca="false">IF($A39="","",SUMIFS(Sales!$L$5:$L$304,Sales!$B$5:$B$304,$A39,Sales!$J$5:$J$304,$B39,Sales!$K$5:$K$304,1))</f>
        <v>0</v>
      </c>
      <c r="G39" s="34" t="n">
        <f aca="false">IF($A39="","",N(Settings!$F$14))</f>
        <v>120000</v>
      </c>
      <c r="H39" s="35" t="n">
        <f aca="false">IF(OR($A39="",N(G39)=0),"",F39/G39)</f>
        <v>0</v>
      </c>
      <c r="I39" s="34" t="n">
        <f aca="false">IF($A39="","",IF($D39="Flat rate",F39*N(Settings!$G$14),0))</f>
        <v>0</v>
      </c>
      <c r="J39" s="34" t="n">
        <f aca="false">IF($A39="","",IF($D39="Tiered",MIN(F39,N(Settings!$H$14))*N(Settings!$I$14)+MAX(0,MIN(F39,N(Settings!$J$14))-N(Settings!$H$14))*N(Settings!$K$14)+MAX(0,F39-N(Settings!$J$14))*N(Settings!$L$14),0))</f>
        <v>0</v>
      </c>
      <c r="K39" s="34" t="n">
        <f aca="false">IF($A39="","",IF($D39="Accelerator",MIN(F39,G39)*N(Settings!$G$14),0))</f>
        <v>0</v>
      </c>
      <c r="L39" s="34" t="n">
        <f aca="false">IF($A39="","",IF($D39="Accelerator",MAX(0,F39-G39)*N(Settings!$M$14),0))</f>
        <v>0</v>
      </c>
      <c r="M39" s="34" t="n">
        <f aca="false">IF($A39="","",I39+J39+K39+L39)</f>
        <v>0</v>
      </c>
      <c r="N39" s="34" t="n">
        <f aca="false">IF(OR($A39="",Settings!$N$14=""),"",Settings!$N$14)</f>
        <v>35000</v>
      </c>
      <c r="O39" s="34" t="n">
        <f aca="false">IF($A39="","",IF(N39="",M39,MIN(M39,N39)))</f>
        <v>0</v>
      </c>
      <c r="P39" s="34" t="n">
        <f aca="false">IF($A39="","",SUMIFS(Sales!$O$5:$O$304,Sales!$B$5:$B$304,$A39,Sales!$M$5:$M$304,$B39))</f>
        <v>0</v>
      </c>
      <c r="Q39" s="34" t="n">
        <f aca="false">IF($A39="","",S38)</f>
        <v>0</v>
      </c>
      <c r="R39" s="34" t="n">
        <f aca="false">IF($A39="","",MIN(O39,P39+Q39))</f>
        <v>0</v>
      </c>
      <c r="S39" s="34" t="n">
        <f aca="false">IF($A39="","",P39+Q39-R39)</f>
        <v>0</v>
      </c>
      <c r="T39" s="36" t="n">
        <f aca="false">IF($A39="","",O39-R39)</f>
        <v>0</v>
      </c>
      <c r="U39" s="35" t="n">
        <f aca="false">IF($A39="","",IF(N(F39)=0,0,O39/F39))</f>
        <v>0</v>
      </c>
    </row>
    <row r="40" customFormat="false" ht="15" hidden="false" customHeight="false" outlineLevel="0" collapsed="false">
      <c r="A40" s="32" t="str">
        <f aca="false">IF(Settings!$B$14="","",Settings!$B$14)</f>
        <v>Camilla Nørgaard</v>
      </c>
      <c r="B40" s="33" t="n">
        <f aca="false">IF($A40="","",11)</f>
        <v>11</v>
      </c>
      <c r="C40" s="32" t="str">
        <f aca="false">IF($A40="","",INDEX(Settings!$Q$12:$Q$23,$B40))</f>
        <v>November</v>
      </c>
      <c r="D40" s="32" t="str">
        <f aca="false">IF($A40="","",Settings!$D$14)</f>
        <v>Accelerator</v>
      </c>
      <c r="E40" s="34" t="n">
        <f aca="false">IF($A40="","",SUMIFS(Sales!$E$5:$E$304,Sales!$B$5:$B$304,$A40,Sales!$J$5:$J$304,$B40,Sales!$K$5:$K$304,1))</f>
        <v>0</v>
      </c>
      <c r="F40" s="34" t="n">
        <f aca="false">IF($A40="","",SUMIFS(Sales!$L$5:$L$304,Sales!$B$5:$B$304,$A40,Sales!$J$5:$J$304,$B40,Sales!$K$5:$K$304,1))</f>
        <v>0</v>
      </c>
      <c r="G40" s="34" t="n">
        <f aca="false">IF($A40="","",N(Settings!$F$14))</f>
        <v>120000</v>
      </c>
      <c r="H40" s="35" t="n">
        <f aca="false">IF(OR($A40="",N(G40)=0),"",F40/G40)</f>
        <v>0</v>
      </c>
      <c r="I40" s="34" t="n">
        <f aca="false">IF($A40="","",IF($D40="Flat rate",F40*N(Settings!$G$14),0))</f>
        <v>0</v>
      </c>
      <c r="J40" s="34" t="n">
        <f aca="false">IF($A40="","",IF($D40="Tiered",MIN(F40,N(Settings!$H$14))*N(Settings!$I$14)+MAX(0,MIN(F40,N(Settings!$J$14))-N(Settings!$H$14))*N(Settings!$K$14)+MAX(0,F40-N(Settings!$J$14))*N(Settings!$L$14),0))</f>
        <v>0</v>
      </c>
      <c r="K40" s="34" t="n">
        <f aca="false">IF($A40="","",IF($D40="Accelerator",MIN(F40,G40)*N(Settings!$G$14),0))</f>
        <v>0</v>
      </c>
      <c r="L40" s="34" t="n">
        <f aca="false">IF($A40="","",IF($D40="Accelerator",MAX(0,F40-G40)*N(Settings!$M$14),0))</f>
        <v>0</v>
      </c>
      <c r="M40" s="34" t="n">
        <f aca="false">IF($A40="","",I40+J40+K40+L40)</f>
        <v>0</v>
      </c>
      <c r="N40" s="34" t="n">
        <f aca="false">IF(OR($A40="",Settings!$N$14=""),"",Settings!$N$14)</f>
        <v>35000</v>
      </c>
      <c r="O40" s="34" t="n">
        <f aca="false">IF($A40="","",IF(N40="",M40,MIN(M40,N40)))</f>
        <v>0</v>
      </c>
      <c r="P40" s="34" t="n">
        <f aca="false">IF($A40="","",SUMIFS(Sales!$O$5:$O$304,Sales!$B$5:$B$304,$A40,Sales!$M$5:$M$304,$B40))</f>
        <v>0</v>
      </c>
      <c r="Q40" s="34" t="n">
        <f aca="false">IF($A40="","",S39)</f>
        <v>0</v>
      </c>
      <c r="R40" s="34" t="n">
        <f aca="false">IF($A40="","",MIN(O40,P40+Q40))</f>
        <v>0</v>
      </c>
      <c r="S40" s="34" t="n">
        <f aca="false">IF($A40="","",P40+Q40-R40)</f>
        <v>0</v>
      </c>
      <c r="T40" s="36" t="n">
        <f aca="false">IF($A40="","",O40-R40)</f>
        <v>0</v>
      </c>
      <c r="U40" s="35" t="n">
        <f aca="false">IF($A40="","",IF(N(F40)=0,0,O40/F40))</f>
        <v>0</v>
      </c>
    </row>
    <row r="41" customFormat="false" ht="15" hidden="false" customHeight="false" outlineLevel="0" collapsed="false">
      <c r="A41" s="37" t="str">
        <f aca="false">IF(Settings!$B$14="","",Settings!$B$14)</f>
        <v>Camilla Nørgaard</v>
      </c>
      <c r="B41" s="38" t="n">
        <f aca="false">IF($A41="","",12)</f>
        <v>12</v>
      </c>
      <c r="C41" s="37" t="str">
        <f aca="false">IF($A41="","",INDEX(Settings!$Q$12:$Q$23,$B41))</f>
        <v>December</v>
      </c>
      <c r="D41" s="37" t="str">
        <f aca="false">IF($A41="","",Settings!$D$14)</f>
        <v>Accelerator</v>
      </c>
      <c r="E41" s="39" t="n">
        <f aca="false">IF($A41="","",SUMIFS(Sales!$E$5:$E$304,Sales!$B$5:$B$304,$A41,Sales!$J$5:$J$304,$B41,Sales!$K$5:$K$304,1))</f>
        <v>0</v>
      </c>
      <c r="F41" s="39" t="n">
        <f aca="false">IF($A41="","",SUMIFS(Sales!$L$5:$L$304,Sales!$B$5:$B$304,$A41,Sales!$J$5:$J$304,$B41,Sales!$K$5:$K$304,1))</f>
        <v>0</v>
      </c>
      <c r="G41" s="39" t="n">
        <f aca="false">IF($A41="","",N(Settings!$F$14))</f>
        <v>120000</v>
      </c>
      <c r="H41" s="40" t="n">
        <f aca="false">IF(OR($A41="",N(G41)=0),"",F41/G41)</f>
        <v>0</v>
      </c>
      <c r="I41" s="39" t="n">
        <f aca="false">IF($A41="","",IF($D41="Flat rate",F41*N(Settings!$G$14),0))</f>
        <v>0</v>
      </c>
      <c r="J41" s="39" t="n">
        <f aca="false">IF($A41="","",IF($D41="Tiered",MIN(F41,N(Settings!$H$14))*N(Settings!$I$14)+MAX(0,MIN(F41,N(Settings!$J$14))-N(Settings!$H$14))*N(Settings!$K$14)+MAX(0,F41-N(Settings!$J$14))*N(Settings!$L$14),0))</f>
        <v>0</v>
      </c>
      <c r="K41" s="39" t="n">
        <f aca="false">IF($A41="","",IF($D41="Accelerator",MIN(F41,G41)*N(Settings!$G$14),0))</f>
        <v>0</v>
      </c>
      <c r="L41" s="39" t="n">
        <f aca="false">IF($A41="","",IF($D41="Accelerator",MAX(0,F41-G41)*N(Settings!$M$14),0))</f>
        <v>0</v>
      </c>
      <c r="M41" s="39" t="n">
        <f aca="false">IF($A41="","",I41+J41+K41+L41)</f>
        <v>0</v>
      </c>
      <c r="N41" s="39" t="n">
        <f aca="false">IF(OR($A41="",Settings!$N$14=""),"",Settings!$N$14)</f>
        <v>35000</v>
      </c>
      <c r="O41" s="39" t="n">
        <f aca="false">IF($A41="","",IF(N41="",M41,MIN(M41,N41)))</f>
        <v>0</v>
      </c>
      <c r="P41" s="39" t="n">
        <f aca="false">IF($A41="","",SUMIFS(Sales!$O$5:$O$304,Sales!$B$5:$B$304,$A41,Sales!$M$5:$M$304,$B41))</f>
        <v>0</v>
      </c>
      <c r="Q41" s="39" t="n">
        <f aca="false">IF($A41="","",S40)</f>
        <v>0</v>
      </c>
      <c r="R41" s="39" t="n">
        <f aca="false">IF($A41="","",MIN(O41,P41+Q41))</f>
        <v>0</v>
      </c>
      <c r="S41" s="39" t="n">
        <f aca="false">IF($A41="","",P41+Q41-R41)</f>
        <v>0</v>
      </c>
      <c r="T41" s="41" t="n">
        <f aca="false">IF($A41="","",O41-R41)</f>
        <v>0</v>
      </c>
      <c r="U41" s="40" t="n">
        <f aca="false">IF($A41="","",IF(N(F41)=0,0,O41/F41))</f>
        <v>0</v>
      </c>
    </row>
    <row r="42" customFormat="false" ht="15" hidden="false" customHeight="false" outlineLevel="0" collapsed="false">
      <c r="A42" s="32" t="str">
        <f aca="false">IF(Settings!$B$15="","",Settings!$B$15)</f>
        <v/>
      </c>
      <c r="B42" s="33" t="str">
        <f aca="false">IF($A42="","",1)</f>
        <v/>
      </c>
      <c r="C42" s="32" t="str">
        <f aca="false">IF($A42="","",INDEX(Settings!$Q$12:$Q$23,$B42))</f>
        <v/>
      </c>
      <c r="D42" s="32" t="str">
        <f aca="false">IF($A42="","",Settings!$D$15)</f>
        <v/>
      </c>
      <c r="E42" s="34" t="str">
        <f aca="false">IF($A42="","",SUMIFS(Sales!$E$5:$E$304,Sales!$B$5:$B$304,$A42,Sales!$J$5:$J$304,$B42,Sales!$K$5:$K$304,1))</f>
        <v/>
      </c>
      <c r="F42" s="34" t="str">
        <f aca="false">IF($A42="","",SUMIFS(Sales!$L$5:$L$304,Sales!$B$5:$B$304,$A42,Sales!$J$5:$J$304,$B42,Sales!$K$5:$K$304,1))</f>
        <v/>
      </c>
      <c r="G42" s="34" t="str">
        <f aca="false">IF($A42="","",N(Settings!$F$15))</f>
        <v/>
      </c>
      <c r="H42" s="35" t="str">
        <f aca="false">IF(OR($A42="",N(G42)=0),"",F42/G42)</f>
        <v/>
      </c>
      <c r="I42" s="34" t="str">
        <f aca="false">IF($A42="","",IF($D42="Flat rate",F42*N(Settings!$G$15),0))</f>
        <v/>
      </c>
      <c r="J42" s="34" t="str">
        <f aca="false">IF($A42="","",IF($D42="Tiered",MIN(F42,N(Settings!$H$15))*N(Settings!$I$15)+MAX(0,MIN(F42,N(Settings!$J$15))-N(Settings!$H$15))*N(Settings!$K$15)+MAX(0,F42-N(Settings!$J$15))*N(Settings!$L$15),0))</f>
        <v/>
      </c>
      <c r="K42" s="34" t="str">
        <f aca="false">IF($A42="","",IF($D42="Accelerator",MIN(F42,G42)*N(Settings!$G$15),0))</f>
        <v/>
      </c>
      <c r="L42" s="34" t="str">
        <f aca="false">IF($A42="","",IF($D42="Accelerator",MAX(0,F42-G42)*N(Settings!$M$15),0))</f>
        <v/>
      </c>
      <c r="M42" s="34" t="str">
        <f aca="false">IF($A42="","",I42+J42+K42+L42)</f>
        <v/>
      </c>
      <c r="N42" s="34" t="str">
        <f aca="false">IF(OR($A42="",Settings!$N$15=""),"",Settings!$N$15)</f>
        <v/>
      </c>
      <c r="O42" s="34" t="str">
        <f aca="false">IF($A42="","",IF(N42="",M42,MIN(M42,N42)))</f>
        <v/>
      </c>
      <c r="P42" s="34" t="str">
        <f aca="false">IF($A42="","",SUMIFS(Sales!$O$5:$O$304,Sales!$B$5:$B$304,$A42,Sales!$M$5:$M$304,$B42))</f>
        <v/>
      </c>
      <c r="Q42" s="34" t="str">
        <f aca="false">IF($A42="","",0)</f>
        <v/>
      </c>
      <c r="R42" s="34" t="str">
        <f aca="false">IF($A42="","",MIN(O42,P42+Q42))</f>
        <v/>
      </c>
      <c r="S42" s="34" t="str">
        <f aca="false">IF($A42="","",P42+Q42-R42)</f>
        <v/>
      </c>
      <c r="T42" s="36" t="str">
        <f aca="false">IF($A42="","",O42-R42)</f>
        <v/>
      </c>
      <c r="U42" s="35" t="str">
        <f aca="false">IF($A42="","",IF(N(F42)=0,0,O42/F42))</f>
        <v/>
      </c>
    </row>
    <row r="43" customFormat="false" ht="15" hidden="false" customHeight="false" outlineLevel="0" collapsed="false">
      <c r="A43" s="32" t="str">
        <f aca="false">IF(Settings!$B$15="","",Settings!$B$15)</f>
        <v/>
      </c>
      <c r="B43" s="33" t="str">
        <f aca="false">IF($A43="","",2)</f>
        <v/>
      </c>
      <c r="C43" s="32" t="str">
        <f aca="false">IF($A43="","",INDEX(Settings!$Q$12:$Q$23,$B43))</f>
        <v/>
      </c>
      <c r="D43" s="32" t="str">
        <f aca="false">IF($A43="","",Settings!$D$15)</f>
        <v/>
      </c>
      <c r="E43" s="34" t="str">
        <f aca="false">IF($A43="","",SUMIFS(Sales!$E$5:$E$304,Sales!$B$5:$B$304,$A43,Sales!$J$5:$J$304,$B43,Sales!$K$5:$K$304,1))</f>
        <v/>
      </c>
      <c r="F43" s="34" t="str">
        <f aca="false">IF($A43="","",SUMIFS(Sales!$L$5:$L$304,Sales!$B$5:$B$304,$A43,Sales!$J$5:$J$304,$B43,Sales!$K$5:$K$304,1))</f>
        <v/>
      </c>
      <c r="G43" s="34" t="str">
        <f aca="false">IF($A43="","",N(Settings!$F$15))</f>
        <v/>
      </c>
      <c r="H43" s="35" t="str">
        <f aca="false">IF(OR($A43="",N(G43)=0),"",F43/G43)</f>
        <v/>
      </c>
      <c r="I43" s="34" t="str">
        <f aca="false">IF($A43="","",IF($D43="Flat rate",F43*N(Settings!$G$15),0))</f>
        <v/>
      </c>
      <c r="J43" s="34" t="str">
        <f aca="false">IF($A43="","",IF($D43="Tiered",MIN(F43,N(Settings!$H$15))*N(Settings!$I$15)+MAX(0,MIN(F43,N(Settings!$J$15))-N(Settings!$H$15))*N(Settings!$K$15)+MAX(0,F43-N(Settings!$J$15))*N(Settings!$L$15),0))</f>
        <v/>
      </c>
      <c r="K43" s="34" t="str">
        <f aca="false">IF($A43="","",IF($D43="Accelerator",MIN(F43,G43)*N(Settings!$G$15),0))</f>
        <v/>
      </c>
      <c r="L43" s="34" t="str">
        <f aca="false">IF($A43="","",IF($D43="Accelerator",MAX(0,F43-G43)*N(Settings!$M$15),0))</f>
        <v/>
      </c>
      <c r="M43" s="34" t="str">
        <f aca="false">IF($A43="","",I43+J43+K43+L43)</f>
        <v/>
      </c>
      <c r="N43" s="34" t="str">
        <f aca="false">IF(OR($A43="",Settings!$N$15=""),"",Settings!$N$15)</f>
        <v/>
      </c>
      <c r="O43" s="34" t="str">
        <f aca="false">IF($A43="","",IF(N43="",M43,MIN(M43,N43)))</f>
        <v/>
      </c>
      <c r="P43" s="34" t="str">
        <f aca="false">IF($A43="","",SUMIFS(Sales!$O$5:$O$304,Sales!$B$5:$B$304,$A43,Sales!$M$5:$M$304,$B43))</f>
        <v/>
      </c>
      <c r="Q43" s="34" t="str">
        <f aca="false">IF($A43="","",S42)</f>
        <v/>
      </c>
      <c r="R43" s="34" t="str">
        <f aca="false">IF($A43="","",MIN(O43,P43+Q43))</f>
        <v/>
      </c>
      <c r="S43" s="34" t="str">
        <f aca="false">IF($A43="","",P43+Q43-R43)</f>
        <v/>
      </c>
      <c r="T43" s="36" t="str">
        <f aca="false">IF($A43="","",O43-R43)</f>
        <v/>
      </c>
      <c r="U43" s="35" t="str">
        <f aca="false">IF($A43="","",IF(N(F43)=0,0,O43/F43))</f>
        <v/>
      </c>
    </row>
    <row r="44" customFormat="false" ht="15" hidden="false" customHeight="false" outlineLevel="0" collapsed="false">
      <c r="A44" s="32" t="str">
        <f aca="false">IF(Settings!$B$15="","",Settings!$B$15)</f>
        <v/>
      </c>
      <c r="B44" s="33" t="str">
        <f aca="false">IF($A44="","",3)</f>
        <v/>
      </c>
      <c r="C44" s="32" t="str">
        <f aca="false">IF($A44="","",INDEX(Settings!$Q$12:$Q$23,$B44))</f>
        <v/>
      </c>
      <c r="D44" s="32" t="str">
        <f aca="false">IF($A44="","",Settings!$D$15)</f>
        <v/>
      </c>
      <c r="E44" s="34" t="str">
        <f aca="false">IF($A44="","",SUMIFS(Sales!$E$5:$E$304,Sales!$B$5:$B$304,$A44,Sales!$J$5:$J$304,$B44,Sales!$K$5:$K$304,1))</f>
        <v/>
      </c>
      <c r="F44" s="34" t="str">
        <f aca="false">IF($A44="","",SUMIFS(Sales!$L$5:$L$304,Sales!$B$5:$B$304,$A44,Sales!$J$5:$J$304,$B44,Sales!$K$5:$K$304,1))</f>
        <v/>
      </c>
      <c r="G44" s="34" t="str">
        <f aca="false">IF($A44="","",N(Settings!$F$15))</f>
        <v/>
      </c>
      <c r="H44" s="35" t="str">
        <f aca="false">IF(OR($A44="",N(G44)=0),"",F44/G44)</f>
        <v/>
      </c>
      <c r="I44" s="34" t="str">
        <f aca="false">IF($A44="","",IF($D44="Flat rate",F44*N(Settings!$G$15),0))</f>
        <v/>
      </c>
      <c r="J44" s="34" t="str">
        <f aca="false">IF($A44="","",IF($D44="Tiered",MIN(F44,N(Settings!$H$15))*N(Settings!$I$15)+MAX(0,MIN(F44,N(Settings!$J$15))-N(Settings!$H$15))*N(Settings!$K$15)+MAX(0,F44-N(Settings!$J$15))*N(Settings!$L$15),0))</f>
        <v/>
      </c>
      <c r="K44" s="34" t="str">
        <f aca="false">IF($A44="","",IF($D44="Accelerator",MIN(F44,G44)*N(Settings!$G$15),0))</f>
        <v/>
      </c>
      <c r="L44" s="34" t="str">
        <f aca="false">IF($A44="","",IF($D44="Accelerator",MAX(0,F44-G44)*N(Settings!$M$15),0))</f>
        <v/>
      </c>
      <c r="M44" s="34" t="str">
        <f aca="false">IF($A44="","",I44+J44+K44+L44)</f>
        <v/>
      </c>
      <c r="N44" s="34" t="str">
        <f aca="false">IF(OR($A44="",Settings!$N$15=""),"",Settings!$N$15)</f>
        <v/>
      </c>
      <c r="O44" s="34" t="str">
        <f aca="false">IF($A44="","",IF(N44="",M44,MIN(M44,N44)))</f>
        <v/>
      </c>
      <c r="P44" s="34" t="str">
        <f aca="false">IF($A44="","",SUMIFS(Sales!$O$5:$O$304,Sales!$B$5:$B$304,$A44,Sales!$M$5:$M$304,$B44))</f>
        <v/>
      </c>
      <c r="Q44" s="34" t="str">
        <f aca="false">IF($A44="","",S43)</f>
        <v/>
      </c>
      <c r="R44" s="34" t="str">
        <f aca="false">IF($A44="","",MIN(O44,P44+Q44))</f>
        <v/>
      </c>
      <c r="S44" s="34" t="str">
        <f aca="false">IF($A44="","",P44+Q44-R44)</f>
        <v/>
      </c>
      <c r="T44" s="36" t="str">
        <f aca="false">IF($A44="","",O44-R44)</f>
        <v/>
      </c>
      <c r="U44" s="35" t="str">
        <f aca="false">IF($A44="","",IF(N(F44)=0,0,O44/F44))</f>
        <v/>
      </c>
    </row>
    <row r="45" customFormat="false" ht="15" hidden="false" customHeight="false" outlineLevel="0" collapsed="false">
      <c r="A45" s="32" t="str">
        <f aca="false">IF(Settings!$B$15="","",Settings!$B$15)</f>
        <v/>
      </c>
      <c r="B45" s="33" t="str">
        <f aca="false">IF($A45="","",4)</f>
        <v/>
      </c>
      <c r="C45" s="32" t="str">
        <f aca="false">IF($A45="","",INDEX(Settings!$Q$12:$Q$23,$B45))</f>
        <v/>
      </c>
      <c r="D45" s="32" t="str">
        <f aca="false">IF($A45="","",Settings!$D$15)</f>
        <v/>
      </c>
      <c r="E45" s="34" t="str">
        <f aca="false">IF($A45="","",SUMIFS(Sales!$E$5:$E$304,Sales!$B$5:$B$304,$A45,Sales!$J$5:$J$304,$B45,Sales!$K$5:$K$304,1))</f>
        <v/>
      </c>
      <c r="F45" s="34" t="str">
        <f aca="false">IF($A45="","",SUMIFS(Sales!$L$5:$L$304,Sales!$B$5:$B$304,$A45,Sales!$J$5:$J$304,$B45,Sales!$K$5:$K$304,1))</f>
        <v/>
      </c>
      <c r="G45" s="34" t="str">
        <f aca="false">IF($A45="","",N(Settings!$F$15))</f>
        <v/>
      </c>
      <c r="H45" s="35" t="str">
        <f aca="false">IF(OR($A45="",N(G45)=0),"",F45/G45)</f>
        <v/>
      </c>
      <c r="I45" s="34" t="str">
        <f aca="false">IF($A45="","",IF($D45="Flat rate",F45*N(Settings!$G$15),0))</f>
        <v/>
      </c>
      <c r="J45" s="34" t="str">
        <f aca="false">IF($A45="","",IF($D45="Tiered",MIN(F45,N(Settings!$H$15))*N(Settings!$I$15)+MAX(0,MIN(F45,N(Settings!$J$15))-N(Settings!$H$15))*N(Settings!$K$15)+MAX(0,F45-N(Settings!$J$15))*N(Settings!$L$15),0))</f>
        <v/>
      </c>
      <c r="K45" s="34" t="str">
        <f aca="false">IF($A45="","",IF($D45="Accelerator",MIN(F45,G45)*N(Settings!$G$15),0))</f>
        <v/>
      </c>
      <c r="L45" s="34" t="str">
        <f aca="false">IF($A45="","",IF($D45="Accelerator",MAX(0,F45-G45)*N(Settings!$M$15),0))</f>
        <v/>
      </c>
      <c r="M45" s="34" t="str">
        <f aca="false">IF($A45="","",I45+J45+K45+L45)</f>
        <v/>
      </c>
      <c r="N45" s="34" t="str">
        <f aca="false">IF(OR($A45="",Settings!$N$15=""),"",Settings!$N$15)</f>
        <v/>
      </c>
      <c r="O45" s="34" t="str">
        <f aca="false">IF($A45="","",IF(N45="",M45,MIN(M45,N45)))</f>
        <v/>
      </c>
      <c r="P45" s="34" t="str">
        <f aca="false">IF($A45="","",SUMIFS(Sales!$O$5:$O$304,Sales!$B$5:$B$304,$A45,Sales!$M$5:$M$304,$B45))</f>
        <v/>
      </c>
      <c r="Q45" s="34" t="str">
        <f aca="false">IF($A45="","",S44)</f>
        <v/>
      </c>
      <c r="R45" s="34" t="str">
        <f aca="false">IF($A45="","",MIN(O45,P45+Q45))</f>
        <v/>
      </c>
      <c r="S45" s="34" t="str">
        <f aca="false">IF($A45="","",P45+Q45-R45)</f>
        <v/>
      </c>
      <c r="T45" s="36" t="str">
        <f aca="false">IF($A45="","",O45-R45)</f>
        <v/>
      </c>
      <c r="U45" s="35" t="str">
        <f aca="false">IF($A45="","",IF(N(F45)=0,0,O45/F45))</f>
        <v/>
      </c>
    </row>
    <row r="46" customFormat="false" ht="15" hidden="false" customHeight="false" outlineLevel="0" collapsed="false">
      <c r="A46" s="32" t="str">
        <f aca="false">IF(Settings!$B$15="","",Settings!$B$15)</f>
        <v/>
      </c>
      <c r="B46" s="33" t="str">
        <f aca="false">IF($A46="","",5)</f>
        <v/>
      </c>
      <c r="C46" s="32" t="str">
        <f aca="false">IF($A46="","",INDEX(Settings!$Q$12:$Q$23,$B46))</f>
        <v/>
      </c>
      <c r="D46" s="32" t="str">
        <f aca="false">IF($A46="","",Settings!$D$15)</f>
        <v/>
      </c>
      <c r="E46" s="34" t="str">
        <f aca="false">IF($A46="","",SUMIFS(Sales!$E$5:$E$304,Sales!$B$5:$B$304,$A46,Sales!$J$5:$J$304,$B46,Sales!$K$5:$K$304,1))</f>
        <v/>
      </c>
      <c r="F46" s="34" t="str">
        <f aca="false">IF($A46="","",SUMIFS(Sales!$L$5:$L$304,Sales!$B$5:$B$304,$A46,Sales!$J$5:$J$304,$B46,Sales!$K$5:$K$304,1))</f>
        <v/>
      </c>
      <c r="G46" s="34" t="str">
        <f aca="false">IF($A46="","",N(Settings!$F$15))</f>
        <v/>
      </c>
      <c r="H46" s="35" t="str">
        <f aca="false">IF(OR($A46="",N(G46)=0),"",F46/G46)</f>
        <v/>
      </c>
      <c r="I46" s="34" t="str">
        <f aca="false">IF($A46="","",IF($D46="Flat rate",F46*N(Settings!$G$15),0))</f>
        <v/>
      </c>
      <c r="J46" s="34" t="str">
        <f aca="false">IF($A46="","",IF($D46="Tiered",MIN(F46,N(Settings!$H$15))*N(Settings!$I$15)+MAX(0,MIN(F46,N(Settings!$J$15))-N(Settings!$H$15))*N(Settings!$K$15)+MAX(0,F46-N(Settings!$J$15))*N(Settings!$L$15),0))</f>
        <v/>
      </c>
      <c r="K46" s="34" t="str">
        <f aca="false">IF($A46="","",IF($D46="Accelerator",MIN(F46,G46)*N(Settings!$G$15),0))</f>
        <v/>
      </c>
      <c r="L46" s="34" t="str">
        <f aca="false">IF($A46="","",IF($D46="Accelerator",MAX(0,F46-G46)*N(Settings!$M$15),0))</f>
        <v/>
      </c>
      <c r="M46" s="34" t="str">
        <f aca="false">IF($A46="","",I46+J46+K46+L46)</f>
        <v/>
      </c>
      <c r="N46" s="34" t="str">
        <f aca="false">IF(OR($A46="",Settings!$N$15=""),"",Settings!$N$15)</f>
        <v/>
      </c>
      <c r="O46" s="34" t="str">
        <f aca="false">IF($A46="","",IF(N46="",M46,MIN(M46,N46)))</f>
        <v/>
      </c>
      <c r="P46" s="34" t="str">
        <f aca="false">IF($A46="","",SUMIFS(Sales!$O$5:$O$304,Sales!$B$5:$B$304,$A46,Sales!$M$5:$M$304,$B46))</f>
        <v/>
      </c>
      <c r="Q46" s="34" t="str">
        <f aca="false">IF($A46="","",S45)</f>
        <v/>
      </c>
      <c r="R46" s="34" t="str">
        <f aca="false">IF($A46="","",MIN(O46,P46+Q46))</f>
        <v/>
      </c>
      <c r="S46" s="34" t="str">
        <f aca="false">IF($A46="","",P46+Q46-R46)</f>
        <v/>
      </c>
      <c r="T46" s="36" t="str">
        <f aca="false">IF($A46="","",O46-R46)</f>
        <v/>
      </c>
      <c r="U46" s="35" t="str">
        <f aca="false">IF($A46="","",IF(N(F46)=0,0,O46/F46))</f>
        <v/>
      </c>
    </row>
    <row r="47" customFormat="false" ht="15" hidden="false" customHeight="false" outlineLevel="0" collapsed="false">
      <c r="A47" s="32" t="str">
        <f aca="false">IF(Settings!$B$15="","",Settings!$B$15)</f>
        <v/>
      </c>
      <c r="B47" s="33" t="str">
        <f aca="false">IF($A47="","",6)</f>
        <v/>
      </c>
      <c r="C47" s="32" t="str">
        <f aca="false">IF($A47="","",INDEX(Settings!$Q$12:$Q$23,$B47))</f>
        <v/>
      </c>
      <c r="D47" s="32" t="str">
        <f aca="false">IF($A47="","",Settings!$D$15)</f>
        <v/>
      </c>
      <c r="E47" s="34" t="str">
        <f aca="false">IF($A47="","",SUMIFS(Sales!$E$5:$E$304,Sales!$B$5:$B$304,$A47,Sales!$J$5:$J$304,$B47,Sales!$K$5:$K$304,1))</f>
        <v/>
      </c>
      <c r="F47" s="34" t="str">
        <f aca="false">IF($A47="","",SUMIFS(Sales!$L$5:$L$304,Sales!$B$5:$B$304,$A47,Sales!$J$5:$J$304,$B47,Sales!$K$5:$K$304,1))</f>
        <v/>
      </c>
      <c r="G47" s="34" t="str">
        <f aca="false">IF($A47="","",N(Settings!$F$15))</f>
        <v/>
      </c>
      <c r="H47" s="35" t="str">
        <f aca="false">IF(OR($A47="",N(G47)=0),"",F47/G47)</f>
        <v/>
      </c>
      <c r="I47" s="34" t="str">
        <f aca="false">IF($A47="","",IF($D47="Flat rate",F47*N(Settings!$G$15),0))</f>
        <v/>
      </c>
      <c r="J47" s="34" t="str">
        <f aca="false">IF($A47="","",IF($D47="Tiered",MIN(F47,N(Settings!$H$15))*N(Settings!$I$15)+MAX(0,MIN(F47,N(Settings!$J$15))-N(Settings!$H$15))*N(Settings!$K$15)+MAX(0,F47-N(Settings!$J$15))*N(Settings!$L$15),0))</f>
        <v/>
      </c>
      <c r="K47" s="34" t="str">
        <f aca="false">IF($A47="","",IF($D47="Accelerator",MIN(F47,G47)*N(Settings!$G$15),0))</f>
        <v/>
      </c>
      <c r="L47" s="34" t="str">
        <f aca="false">IF($A47="","",IF($D47="Accelerator",MAX(0,F47-G47)*N(Settings!$M$15),0))</f>
        <v/>
      </c>
      <c r="M47" s="34" t="str">
        <f aca="false">IF($A47="","",I47+J47+K47+L47)</f>
        <v/>
      </c>
      <c r="N47" s="34" t="str">
        <f aca="false">IF(OR($A47="",Settings!$N$15=""),"",Settings!$N$15)</f>
        <v/>
      </c>
      <c r="O47" s="34" t="str">
        <f aca="false">IF($A47="","",IF(N47="",M47,MIN(M47,N47)))</f>
        <v/>
      </c>
      <c r="P47" s="34" t="str">
        <f aca="false">IF($A47="","",SUMIFS(Sales!$O$5:$O$304,Sales!$B$5:$B$304,$A47,Sales!$M$5:$M$304,$B47))</f>
        <v/>
      </c>
      <c r="Q47" s="34" t="str">
        <f aca="false">IF($A47="","",S46)</f>
        <v/>
      </c>
      <c r="R47" s="34" t="str">
        <f aca="false">IF($A47="","",MIN(O47,P47+Q47))</f>
        <v/>
      </c>
      <c r="S47" s="34" t="str">
        <f aca="false">IF($A47="","",P47+Q47-R47)</f>
        <v/>
      </c>
      <c r="T47" s="36" t="str">
        <f aca="false">IF($A47="","",O47-R47)</f>
        <v/>
      </c>
      <c r="U47" s="35" t="str">
        <f aca="false">IF($A47="","",IF(N(F47)=0,0,O47/F47))</f>
        <v/>
      </c>
    </row>
    <row r="48" customFormat="false" ht="15" hidden="false" customHeight="false" outlineLevel="0" collapsed="false">
      <c r="A48" s="32" t="str">
        <f aca="false">IF(Settings!$B$15="","",Settings!$B$15)</f>
        <v/>
      </c>
      <c r="B48" s="33" t="str">
        <f aca="false">IF($A48="","",7)</f>
        <v/>
      </c>
      <c r="C48" s="32" t="str">
        <f aca="false">IF($A48="","",INDEX(Settings!$Q$12:$Q$23,$B48))</f>
        <v/>
      </c>
      <c r="D48" s="32" t="str">
        <f aca="false">IF($A48="","",Settings!$D$15)</f>
        <v/>
      </c>
      <c r="E48" s="34" t="str">
        <f aca="false">IF($A48="","",SUMIFS(Sales!$E$5:$E$304,Sales!$B$5:$B$304,$A48,Sales!$J$5:$J$304,$B48,Sales!$K$5:$K$304,1))</f>
        <v/>
      </c>
      <c r="F48" s="34" t="str">
        <f aca="false">IF($A48="","",SUMIFS(Sales!$L$5:$L$304,Sales!$B$5:$B$304,$A48,Sales!$J$5:$J$304,$B48,Sales!$K$5:$K$304,1))</f>
        <v/>
      </c>
      <c r="G48" s="34" t="str">
        <f aca="false">IF($A48="","",N(Settings!$F$15))</f>
        <v/>
      </c>
      <c r="H48" s="35" t="str">
        <f aca="false">IF(OR($A48="",N(G48)=0),"",F48/G48)</f>
        <v/>
      </c>
      <c r="I48" s="34" t="str">
        <f aca="false">IF($A48="","",IF($D48="Flat rate",F48*N(Settings!$G$15),0))</f>
        <v/>
      </c>
      <c r="J48" s="34" t="str">
        <f aca="false">IF($A48="","",IF($D48="Tiered",MIN(F48,N(Settings!$H$15))*N(Settings!$I$15)+MAX(0,MIN(F48,N(Settings!$J$15))-N(Settings!$H$15))*N(Settings!$K$15)+MAX(0,F48-N(Settings!$J$15))*N(Settings!$L$15),0))</f>
        <v/>
      </c>
      <c r="K48" s="34" t="str">
        <f aca="false">IF($A48="","",IF($D48="Accelerator",MIN(F48,G48)*N(Settings!$G$15),0))</f>
        <v/>
      </c>
      <c r="L48" s="34" t="str">
        <f aca="false">IF($A48="","",IF($D48="Accelerator",MAX(0,F48-G48)*N(Settings!$M$15),0))</f>
        <v/>
      </c>
      <c r="M48" s="34" t="str">
        <f aca="false">IF($A48="","",I48+J48+K48+L48)</f>
        <v/>
      </c>
      <c r="N48" s="34" t="str">
        <f aca="false">IF(OR($A48="",Settings!$N$15=""),"",Settings!$N$15)</f>
        <v/>
      </c>
      <c r="O48" s="34" t="str">
        <f aca="false">IF($A48="","",IF(N48="",M48,MIN(M48,N48)))</f>
        <v/>
      </c>
      <c r="P48" s="34" t="str">
        <f aca="false">IF($A48="","",SUMIFS(Sales!$O$5:$O$304,Sales!$B$5:$B$304,$A48,Sales!$M$5:$M$304,$B48))</f>
        <v/>
      </c>
      <c r="Q48" s="34" t="str">
        <f aca="false">IF($A48="","",S47)</f>
        <v/>
      </c>
      <c r="R48" s="34" t="str">
        <f aca="false">IF($A48="","",MIN(O48,P48+Q48))</f>
        <v/>
      </c>
      <c r="S48" s="34" t="str">
        <f aca="false">IF($A48="","",P48+Q48-R48)</f>
        <v/>
      </c>
      <c r="T48" s="36" t="str">
        <f aca="false">IF($A48="","",O48-R48)</f>
        <v/>
      </c>
      <c r="U48" s="35" t="str">
        <f aca="false">IF($A48="","",IF(N(F48)=0,0,O48/F48))</f>
        <v/>
      </c>
    </row>
    <row r="49" customFormat="false" ht="15" hidden="false" customHeight="false" outlineLevel="0" collapsed="false">
      <c r="A49" s="32" t="str">
        <f aca="false">IF(Settings!$B$15="","",Settings!$B$15)</f>
        <v/>
      </c>
      <c r="B49" s="33" t="str">
        <f aca="false">IF($A49="","",8)</f>
        <v/>
      </c>
      <c r="C49" s="32" t="str">
        <f aca="false">IF($A49="","",INDEX(Settings!$Q$12:$Q$23,$B49))</f>
        <v/>
      </c>
      <c r="D49" s="32" t="str">
        <f aca="false">IF($A49="","",Settings!$D$15)</f>
        <v/>
      </c>
      <c r="E49" s="34" t="str">
        <f aca="false">IF($A49="","",SUMIFS(Sales!$E$5:$E$304,Sales!$B$5:$B$304,$A49,Sales!$J$5:$J$304,$B49,Sales!$K$5:$K$304,1))</f>
        <v/>
      </c>
      <c r="F49" s="34" t="str">
        <f aca="false">IF($A49="","",SUMIFS(Sales!$L$5:$L$304,Sales!$B$5:$B$304,$A49,Sales!$J$5:$J$304,$B49,Sales!$K$5:$K$304,1))</f>
        <v/>
      </c>
      <c r="G49" s="34" t="str">
        <f aca="false">IF($A49="","",N(Settings!$F$15))</f>
        <v/>
      </c>
      <c r="H49" s="35" t="str">
        <f aca="false">IF(OR($A49="",N(G49)=0),"",F49/G49)</f>
        <v/>
      </c>
      <c r="I49" s="34" t="str">
        <f aca="false">IF($A49="","",IF($D49="Flat rate",F49*N(Settings!$G$15),0))</f>
        <v/>
      </c>
      <c r="J49" s="34" t="str">
        <f aca="false">IF($A49="","",IF($D49="Tiered",MIN(F49,N(Settings!$H$15))*N(Settings!$I$15)+MAX(0,MIN(F49,N(Settings!$J$15))-N(Settings!$H$15))*N(Settings!$K$15)+MAX(0,F49-N(Settings!$J$15))*N(Settings!$L$15),0))</f>
        <v/>
      </c>
      <c r="K49" s="34" t="str">
        <f aca="false">IF($A49="","",IF($D49="Accelerator",MIN(F49,G49)*N(Settings!$G$15),0))</f>
        <v/>
      </c>
      <c r="L49" s="34" t="str">
        <f aca="false">IF($A49="","",IF($D49="Accelerator",MAX(0,F49-G49)*N(Settings!$M$15),0))</f>
        <v/>
      </c>
      <c r="M49" s="34" t="str">
        <f aca="false">IF($A49="","",I49+J49+K49+L49)</f>
        <v/>
      </c>
      <c r="N49" s="34" t="str">
        <f aca="false">IF(OR($A49="",Settings!$N$15=""),"",Settings!$N$15)</f>
        <v/>
      </c>
      <c r="O49" s="34" t="str">
        <f aca="false">IF($A49="","",IF(N49="",M49,MIN(M49,N49)))</f>
        <v/>
      </c>
      <c r="P49" s="34" t="str">
        <f aca="false">IF($A49="","",SUMIFS(Sales!$O$5:$O$304,Sales!$B$5:$B$304,$A49,Sales!$M$5:$M$304,$B49))</f>
        <v/>
      </c>
      <c r="Q49" s="34" t="str">
        <f aca="false">IF($A49="","",S48)</f>
        <v/>
      </c>
      <c r="R49" s="34" t="str">
        <f aca="false">IF($A49="","",MIN(O49,P49+Q49))</f>
        <v/>
      </c>
      <c r="S49" s="34" t="str">
        <f aca="false">IF($A49="","",P49+Q49-R49)</f>
        <v/>
      </c>
      <c r="T49" s="36" t="str">
        <f aca="false">IF($A49="","",O49-R49)</f>
        <v/>
      </c>
      <c r="U49" s="35" t="str">
        <f aca="false">IF($A49="","",IF(N(F49)=0,0,O49/F49))</f>
        <v/>
      </c>
    </row>
    <row r="50" customFormat="false" ht="15" hidden="false" customHeight="false" outlineLevel="0" collapsed="false">
      <c r="A50" s="32" t="str">
        <f aca="false">IF(Settings!$B$15="","",Settings!$B$15)</f>
        <v/>
      </c>
      <c r="B50" s="33" t="str">
        <f aca="false">IF($A50="","",9)</f>
        <v/>
      </c>
      <c r="C50" s="32" t="str">
        <f aca="false">IF($A50="","",INDEX(Settings!$Q$12:$Q$23,$B50))</f>
        <v/>
      </c>
      <c r="D50" s="32" t="str">
        <f aca="false">IF($A50="","",Settings!$D$15)</f>
        <v/>
      </c>
      <c r="E50" s="34" t="str">
        <f aca="false">IF($A50="","",SUMIFS(Sales!$E$5:$E$304,Sales!$B$5:$B$304,$A50,Sales!$J$5:$J$304,$B50,Sales!$K$5:$K$304,1))</f>
        <v/>
      </c>
      <c r="F50" s="34" t="str">
        <f aca="false">IF($A50="","",SUMIFS(Sales!$L$5:$L$304,Sales!$B$5:$B$304,$A50,Sales!$J$5:$J$304,$B50,Sales!$K$5:$K$304,1))</f>
        <v/>
      </c>
      <c r="G50" s="34" t="str">
        <f aca="false">IF($A50="","",N(Settings!$F$15))</f>
        <v/>
      </c>
      <c r="H50" s="35" t="str">
        <f aca="false">IF(OR($A50="",N(G50)=0),"",F50/G50)</f>
        <v/>
      </c>
      <c r="I50" s="34" t="str">
        <f aca="false">IF($A50="","",IF($D50="Flat rate",F50*N(Settings!$G$15),0))</f>
        <v/>
      </c>
      <c r="J50" s="34" t="str">
        <f aca="false">IF($A50="","",IF($D50="Tiered",MIN(F50,N(Settings!$H$15))*N(Settings!$I$15)+MAX(0,MIN(F50,N(Settings!$J$15))-N(Settings!$H$15))*N(Settings!$K$15)+MAX(0,F50-N(Settings!$J$15))*N(Settings!$L$15),0))</f>
        <v/>
      </c>
      <c r="K50" s="34" t="str">
        <f aca="false">IF($A50="","",IF($D50="Accelerator",MIN(F50,G50)*N(Settings!$G$15),0))</f>
        <v/>
      </c>
      <c r="L50" s="34" t="str">
        <f aca="false">IF($A50="","",IF($D50="Accelerator",MAX(0,F50-G50)*N(Settings!$M$15),0))</f>
        <v/>
      </c>
      <c r="M50" s="34" t="str">
        <f aca="false">IF($A50="","",I50+J50+K50+L50)</f>
        <v/>
      </c>
      <c r="N50" s="34" t="str">
        <f aca="false">IF(OR($A50="",Settings!$N$15=""),"",Settings!$N$15)</f>
        <v/>
      </c>
      <c r="O50" s="34" t="str">
        <f aca="false">IF($A50="","",IF(N50="",M50,MIN(M50,N50)))</f>
        <v/>
      </c>
      <c r="P50" s="34" t="str">
        <f aca="false">IF($A50="","",SUMIFS(Sales!$O$5:$O$304,Sales!$B$5:$B$304,$A50,Sales!$M$5:$M$304,$B50))</f>
        <v/>
      </c>
      <c r="Q50" s="34" t="str">
        <f aca="false">IF($A50="","",S49)</f>
        <v/>
      </c>
      <c r="R50" s="34" t="str">
        <f aca="false">IF($A50="","",MIN(O50,P50+Q50))</f>
        <v/>
      </c>
      <c r="S50" s="34" t="str">
        <f aca="false">IF($A50="","",P50+Q50-R50)</f>
        <v/>
      </c>
      <c r="T50" s="36" t="str">
        <f aca="false">IF($A50="","",O50-R50)</f>
        <v/>
      </c>
      <c r="U50" s="35" t="str">
        <f aca="false">IF($A50="","",IF(N(F50)=0,0,O50/F50))</f>
        <v/>
      </c>
    </row>
    <row r="51" customFormat="false" ht="15" hidden="false" customHeight="false" outlineLevel="0" collapsed="false">
      <c r="A51" s="32" t="str">
        <f aca="false">IF(Settings!$B$15="","",Settings!$B$15)</f>
        <v/>
      </c>
      <c r="B51" s="33" t="str">
        <f aca="false">IF($A51="","",10)</f>
        <v/>
      </c>
      <c r="C51" s="32" t="str">
        <f aca="false">IF($A51="","",INDEX(Settings!$Q$12:$Q$23,$B51))</f>
        <v/>
      </c>
      <c r="D51" s="32" t="str">
        <f aca="false">IF($A51="","",Settings!$D$15)</f>
        <v/>
      </c>
      <c r="E51" s="34" t="str">
        <f aca="false">IF($A51="","",SUMIFS(Sales!$E$5:$E$304,Sales!$B$5:$B$304,$A51,Sales!$J$5:$J$304,$B51,Sales!$K$5:$K$304,1))</f>
        <v/>
      </c>
      <c r="F51" s="34" t="str">
        <f aca="false">IF($A51="","",SUMIFS(Sales!$L$5:$L$304,Sales!$B$5:$B$304,$A51,Sales!$J$5:$J$304,$B51,Sales!$K$5:$K$304,1))</f>
        <v/>
      </c>
      <c r="G51" s="34" t="str">
        <f aca="false">IF($A51="","",N(Settings!$F$15))</f>
        <v/>
      </c>
      <c r="H51" s="35" t="str">
        <f aca="false">IF(OR($A51="",N(G51)=0),"",F51/G51)</f>
        <v/>
      </c>
      <c r="I51" s="34" t="str">
        <f aca="false">IF($A51="","",IF($D51="Flat rate",F51*N(Settings!$G$15),0))</f>
        <v/>
      </c>
      <c r="J51" s="34" t="str">
        <f aca="false">IF($A51="","",IF($D51="Tiered",MIN(F51,N(Settings!$H$15))*N(Settings!$I$15)+MAX(0,MIN(F51,N(Settings!$J$15))-N(Settings!$H$15))*N(Settings!$K$15)+MAX(0,F51-N(Settings!$J$15))*N(Settings!$L$15),0))</f>
        <v/>
      </c>
      <c r="K51" s="34" t="str">
        <f aca="false">IF($A51="","",IF($D51="Accelerator",MIN(F51,G51)*N(Settings!$G$15),0))</f>
        <v/>
      </c>
      <c r="L51" s="34" t="str">
        <f aca="false">IF($A51="","",IF($D51="Accelerator",MAX(0,F51-G51)*N(Settings!$M$15),0))</f>
        <v/>
      </c>
      <c r="M51" s="34" t="str">
        <f aca="false">IF($A51="","",I51+J51+K51+L51)</f>
        <v/>
      </c>
      <c r="N51" s="34" t="str">
        <f aca="false">IF(OR($A51="",Settings!$N$15=""),"",Settings!$N$15)</f>
        <v/>
      </c>
      <c r="O51" s="34" t="str">
        <f aca="false">IF($A51="","",IF(N51="",M51,MIN(M51,N51)))</f>
        <v/>
      </c>
      <c r="P51" s="34" t="str">
        <f aca="false">IF($A51="","",SUMIFS(Sales!$O$5:$O$304,Sales!$B$5:$B$304,$A51,Sales!$M$5:$M$304,$B51))</f>
        <v/>
      </c>
      <c r="Q51" s="34" t="str">
        <f aca="false">IF($A51="","",S50)</f>
        <v/>
      </c>
      <c r="R51" s="34" t="str">
        <f aca="false">IF($A51="","",MIN(O51,P51+Q51))</f>
        <v/>
      </c>
      <c r="S51" s="34" t="str">
        <f aca="false">IF($A51="","",P51+Q51-R51)</f>
        <v/>
      </c>
      <c r="T51" s="36" t="str">
        <f aca="false">IF($A51="","",O51-R51)</f>
        <v/>
      </c>
      <c r="U51" s="35" t="str">
        <f aca="false">IF($A51="","",IF(N(F51)=0,0,O51/F51))</f>
        <v/>
      </c>
    </row>
    <row r="52" customFormat="false" ht="15" hidden="false" customHeight="false" outlineLevel="0" collapsed="false">
      <c r="A52" s="32" t="str">
        <f aca="false">IF(Settings!$B$15="","",Settings!$B$15)</f>
        <v/>
      </c>
      <c r="B52" s="33" t="str">
        <f aca="false">IF($A52="","",11)</f>
        <v/>
      </c>
      <c r="C52" s="32" t="str">
        <f aca="false">IF($A52="","",INDEX(Settings!$Q$12:$Q$23,$B52))</f>
        <v/>
      </c>
      <c r="D52" s="32" t="str">
        <f aca="false">IF($A52="","",Settings!$D$15)</f>
        <v/>
      </c>
      <c r="E52" s="34" t="str">
        <f aca="false">IF($A52="","",SUMIFS(Sales!$E$5:$E$304,Sales!$B$5:$B$304,$A52,Sales!$J$5:$J$304,$B52,Sales!$K$5:$K$304,1))</f>
        <v/>
      </c>
      <c r="F52" s="34" t="str">
        <f aca="false">IF($A52="","",SUMIFS(Sales!$L$5:$L$304,Sales!$B$5:$B$304,$A52,Sales!$J$5:$J$304,$B52,Sales!$K$5:$K$304,1))</f>
        <v/>
      </c>
      <c r="G52" s="34" t="str">
        <f aca="false">IF($A52="","",N(Settings!$F$15))</f>
        <v/>
      </c>
      <c r="H52" s="35" t="str">
        <f aca="false">IF(OR($A52="",N(G52)=0),"",F52/G52)</f>
        <v/>
      </c>
      <c r="I52" s="34" t="str">
        <f aca="false">IF($A52="","",IF($D52="Flat rate",F52*N(Settings!$G$15),0))</f>
        <v/>
      </c>
      <c r="J52" s="34" t="str">
        <f aca="false">IF($A52="","",IF($D52="Tiered",MIN(F52,N(Settings!$H$15))*N(Settings!$I$15)+MAX(0,MIN(F52,N(Settings!$J$15))-N(Settings!$H$15))*N(Settings!$K$15)+MAX(0,F52-N(Settings!$J$15))*N(Settings!$L$15),0))</f>
        <v/>
      </c>
      <c r="K52" s="34" t="str">
        <f aca="false">IF($A52="","",IF($D52="Accelerator",MIN(F52,G52)*N(Settings!$G$15),0))</f>
        <v/>
      </c>
      <c r="L52" s="34" t="str">
        <f aca="false">IF($A52="","",IF($D52="Accelerator",MAX(0,F52-G52)*N(Settings!$M$15),0))</f>
        <v/>
      </c>
      <c r="M52" s="34" t="str">
        <f aca="false">IF($A52="","",I52+J52+K52+L52)</f>
        <v/>
      </c>
      <c r="N52" s="34" t="str">
        <f aca="false">IF(OR($A52="",Settings!$N$15=""),"",Settings!$N$15)</f>
        <v/>
      </c>
      <c r="O52" s="34" t="str">
        <f aca="false">IF($A52="","",IF(N52="",M52,MIN(M52,N52)))</f>
        <v/>
      </c>
      <c r="P52" s="34" t="str">
        <f aca="false">IF($A52="","",SUMIFS(Sales!$O$5:$O$304,Sales!$B$5:$B$304,$A52,Sales!$M$5:$M$304,$B52))</f>
        <v/>
      </c>
      <c r="Q52" s="34" t="str">
        <f aca="false">IF($A52="","",S51)</f>
        <v/>
      </c>
      <c r="R52" s="34" t="str">
        <f aca="false">IF($A52="","",MIN(O52,P52+Q52))</f>
        <v/>
      </c>
      <c r="S52" s="34" t="str">
        <f aca="false">IF($A52="","",P52+Q52-R52)</f>
        <v/>
      </c>
      <c r="T52" s="36" t="str">
        <f aca="false">IF($A52="","",O52-R52)</f>
        <v/>
      </c>
      <c r="U52" s="35" t="str">
        <f aca="false">IF($A52="","",IF(N(F52)=0,0,O52/F52))</f>
        <v/>
      </c>
    </row>
    <row r="53" customFormat="false" ht="15" hidden="false" customHeight="false" outlineLevel="0" collapsed="false">
      <c r="A53" s="37" t="str">
        <f aca="false">IF(Settings!$B$15="","",Settings!$B$15)</f>
        <v/>
      </c>
      <c r="B53" s="38" t="str">
        <f aca="false">IF($A53="","",12)</f>
        <v/>
      </c>
      <c r="C53" s="37" t="str">
        <f aca="false">IF($A53="","",INDEX(Settings!$Q$12:$Q$23,$B53))</f>
        <v/>
      </c>
      <c r="D53" s="37" t="str">
        <f aca="false">IF($A53="","",Settings!$D$15)</f>
        <v/>
      </c>
      <c r="E53" s="39" t="str">
        <f aca="false">IF($A53="","",SUMIFS(Sales!$E$5:$E$304,Sales!$B$5:$B$304,$A53,Sales!$J$5:$J$304,$B53,Sales!$K$5:$K$304,1))</f>
        <v/>
      </c>
      <c r="F53" s="39" t="str">
        <f aca="false">IF($A53="","",SUMIFS(Sales!$L$5:$L$304,Sales!$B$5:$B$304,$A53,Sales!$J$5:$J$304,$B53,Sales!$K$5:$K$304,1))</f>
        <v/>
      </c>
      <c r="G53" s="39" t="str">
        <f aca="false">IF($A53="","",N(Settings!$F$15))</f>
        <v/>
      </c>
      <c r="H53" s="40" t="str">
        <f aca="false">IF(OR($A53="",N(G53)=0),"",F53/G53)</f>
        <v/>
      </c>
      <c r="I53" s="39" t="str">
        <f aca="false">IF($A53="","",IF($D53="Flat rate",F53*N(Settings!$G$15),0))</f>
        <v/>
      </c>
      <c r="J53" s="39" t="str">
        <f aca="false">IF($A53="","",IF($D53="Tiered",MIN(F53,N(Settings!$H$15))*N(Settings!$I$15)+MAX(0,MIN(F53,N(Settings!$J$15))-N(Settings!$H$15))*N(Settings!$K$15)+MAX(0,F53-N(Settings!$J$15))*N(Settings!$L$15),0))</f>
        <v/>
      </c>
      <c r="K53" s="39" t="str">
        <f aca="false">IF($A53="","",IF($D53="Accelerator",MIN(F53,G53)*N(Settings!$G$15),0))</f>
        <v/>
      </c>
      <c r="L53" s="39" t="str">
        <f aca="false">IF($A53="","",IF($D53="Accelerator",MAX(0,F53-G53)*N(Settings!$M$15),0))</f>
        <v/>
      </c>
      <c r="M53" s="39" t="str">
        <f aca="false">IF($A53="","",I53+J53+K53+L53)</f>
        <v/>
      </c>
      <c r="N53" s="39" t="str">
        <f aca="false">IF(OR($A53="",Settings!$N$15=""),"",Settings!$N$15)</f>
        <v/>
      </c>
      <c r="O53" s="39" t="str">
        <f aca="false">IF($A53="","",IF(N53="",M53,MIN(M53,N53)))</f>
        <v/>
      </c>
      <c r="P53" s="39" t="str">
        <f aca="false">IF($A53="","",SUMIFS(Sales!$O$5:$O$304,Sales!$B$5:$B$304,$A53,Sales!$M$5:$M$304,$B53))</f>
        <v/>
      </c>
      <c r="Q53" s="39" t="str">
        <f aca="false">IF($A53="","",S52)</f>
        <v/>
      </c>
      <c r="R53" s="39" t="str">
        <f aca="false">IF($A53="","",MIN(O53,P53+Q53))</f>
        <v/>
      </c>
      <c r="S53" s="39" t="str">
        <f aca="false">IF($A53="","",P53+Q53-R53)</f>
        <v/>
      </c>
      <c r="T53" s="41" t="str">
        <f aca="false">IF($A53="","",O53-R53)</f>
        <v/>
      </c>
      <c r="U53" s="40" t="str">
        <f aca="false">IF($A53="","",IF(N(F53)=0,0,O53/F53))</f>
        <v/>
      </c>
    </row>
    <row r="54" customFormat="false" ht="15" hidden="false" customHeight="false" outlineLevel="0" collapsed="false">
      <c r="A54" s="32" t="str">
        <f aca="false">IF(Settings!$B$16="","",Settings!$B$16)</f>
        <v/>
      </c>
      <c r="B54" s="33" t="str">
        <f aca="false">IF($A54="","",1)</f>
        <v/>
      </c>
      <c r="C54" s="32" t="str">
        <f aca="false">IF($A54="","",INDEX(Settings!$Q$12:$Q$23,$B54))</f>
        <v/>
      </c>
      <c r="D54" s="32" t="str">
        <f aca="false">IF($A54="","",Settings!$D$16)</f>
        <v/>
      </c>
      <c r="E54" s="34" t="str">
        <f aca="false">IF($A54="","",SUMIFS(Sales!$E$5:$E$304,Sales!$B$5:$B$304,$A54,Sales!$J$5:$J$304,$B54,Sales!$K$5:$K$304,1))</f>
        <v/>
      </c>
      <c r="F54" s="34" t="str">
        <f aca="false">IF($A54="","",SUMIFS(Sales!$L$5:$L$304,Sales!$B$5:$B$304,$A54,Sales!$J$5:$J$304,$B54,Sales!$K$5:$K$304,1))</f>
        <v/>
      </c>
      <c r="G54" s="34" t="str">
        <f aca="false">IF($A54="","",N(Settings!$F$16))</f>
        <v/>
      </c>
      <c r="H54" s="35" t="str">
        <f aca="false">IF(OR($A54="",N(G54)=0),"",F54/G54)</f>
        <v/>
      </c>
      <c r="I54" s="34" t="str">
        <f aca="false">IF($A54="","",IF($D54="Flat rate",F54*N(Settings!$G$16),0))</f>
        <v/>
      </c>
      <c r="J54" s="34" t="str">
        <f aca="false">IF($A54="","",IF($D54="Tiered",MIN(F54,N(Settings!$H$16))*N(Settings!$I$16)+MAX(0,MIN(F54,N(Settings!$J$16))-N(Settings!$H$16))*N(Settings!$K$16)+MAX(0,F54-N(Settings!$J$16))*N(Settings!$L$16),0))</f>
        <v/>
      </c>
      <c r="K54" s="34" t="str">
        <f aca="false">IF($A54="","",IF($D54="Accelerator",MIN(F54,G54)*N(Settings!$G$16),0))</f>
        <v/>
      </c>
      <c r="L54" s="34" t="str">
        <f aca="false">IF($A54="","",IF($D54="Accelerator",MAX(0,F54-G54)*N(Settings!$M$16),0))</f>
        <v/>
      </c>
      <c r="M54" s="34" t="str">
        <f aca="false">IF($A54="","",I54+J54+K54+L54)</f>
        <v/>
      </c>
      <c r="N54" s="34" t="str">
        <f aca="false">IF(OR($A54="",Settings!$N$16=""),"",Settings!$N$16)</f>
        <v/>
      </c>
      <c r="O54" s="34" t="str">
        <f aca="false">IF($A54="","",IF(N54="",M54,MIN(M54,N54)))</f>
        <v/>
      </c>
      <c r="P54" s="34" t="str">
        <f aca="false">IF($A54="","",SUMIFS(Sales!$O$5:$O$304,Sales!$B$5:$B$304,$A54,Sales!$M$5:$M$304,$B54))</f>
        <v/>
      </c>
      <c r="Q54" s="34" t="str">
        <f aca="false">IF($A54="","",0)</f>
        <v/>
      </c>
      <c r="R54" s="34" t="str">
        <f aca="false">IF($A54="","",MIN(O54,P54+Q54))</f>
        <v/>
      </c>
      <c r="S54" s="34" t="str">
        <f aca="false">IF($A54="","",P54+Q54-R54)</f>
        <v/>
      </c>
      <c r="T54" s="36" t="str">
        <f aca="false">IF($A54="","",O54-R54)</f>
        <v/>
      </c>
      <c r="U54" s="35" t="str">
        <f aca="false">IF($A54="","",IF(N(F54)=0,0,O54/F54))</f>
        <v/>
      </c>
    </row>
    <row r="55" customFormat="false" ht="15" hidden="false" customHeight="false" outlineLevel="0" collapsed="false">
      <c r="A55" s="32" t="str">
        <f aca="false">IF(Settings!$B$16="","",Settings!$B$16)</f>
        <v/>
      </c>
      <c r="B55" s="33" t="str">
        <f aca="false">IF($A55="","",2)</f>
        <v/>
      </c>
      <c r="C55" s="32" t="str">
        <f aca="false">IF($A55="","",INDEX(Settings!$Q$12:$Q$23,$B55))</f>
        <v/>
      </c>
      <c r="D55" s="32" t="str">
        <f aca="false">IF($A55="","",Settings!$D$16)</f>
        <v/>
      </c>
      <c r="E55" s="34" t="str">
        <f aca="false">IF($A55="","",SUMIFS(Sales!$E$5:$E$304,Sales!$B$5:$B$304,$A55,Sales!$J$5:$J$304,$B55,Sales!$K$5:$K$304,1))</f>
        <v/>
      </c>
      <c r="F55" s="34" t="str">
        <f aca="false">IF($A55="","",SUMIFS(Sales!$L$5:$L$304,Sales!$B$5:$B$304,$A55,Sales!$J$5:$J$304,$B55,Sales!$K$5:$K$304,1))</f>
        <v/>
      </c>
      <c r="G55" s="34" t="str">
        <f aca="false">IF($A55="","",N(Settings!$F$16))</f>
        <v/>
      </c>
      <c r="H55" s="35" t="str">
        <f aca="false">IF(OR($A55="",N(G55)=0),"",F55/G55)</f>
        <v/>
      </c>
      <c r="I55" s="34" t="str">
        <f aca="false">IF($A55="","",IF($D55="Flat rate",F55*N(Settings!$G$16),0))</f>
        <v/>
      </c>
      <c r="J55" s="34" t="str">
        <f aca="false">IF($A55="","",IF($D55="Tiered",MIN(F55,N(Settings!$H$16))*N(Settings!$I$16)+MAX(0,MIN(F55,N(Settings!$J$16))-N(Settings!$H$16))*N(Settings!$K$16)+MAX(0,F55-N(Settings!$J$16))*N(Settings!$L$16),0))</f>
        <v/>
      </c>
      <c r="K55" s="34" t="str">
        <f aca="false">IF($A55="","",IF($D55="Accelerator",MIN(F55,G55)*N(Settings!$G$16),0))</f>
        <v/>
      </c>
      <c r="L55" s="34" t="str">
        <f aca="false">IF($A55="","",IF($D55="Accelerator",MAX(0,F55-G55)*N(Settings!$M$16),0))</f>
        <v/>
      </c>
      <c r="M55" s="34" t="str">
        <f aca="false">IF($A55="","",I55+J55+K55+L55)</f>
        <v/>
      </c>
      <c r="N55" s="34" t="str">
        <f aca="false">IF(OR($A55="",Settings!$N$16=""),"",Settings!$N$16)</f>
        <v/>
      </c>
      <c r="O55" s="34" t="str">
        <f aca="false">IF($A55="","",IF(N55="",M55,MIN(M55,N55)))</f>
        <v/>
      </c>
      <c r="P55" s="34" t="str">
        <f aca="false">IF($A55="","",SUMIFS(Sales!$O$5:$O$304,Sales!$B$5:$B$304,$A55,Sales!$M$5:$M$304,$B55))</f>
        <v/>
      </c>
      <c r="Q55" s="34" t="str">
        <f aca="false">IF($A55="","",S54)</f>
        <v/>
      </c>
      <c r="R55" s="34" t="str">
        <f aca="false">IF($A55="","",MIN(O55,P55+Q55))</f>
        <v/>
      </c>
      <c r="S55" s="34" t="str">
        <f aca="false">IF($A55="","",P55+Q55-R55)</f>
        <v/>
      </c>
      <c r="T55" s="36" t="str">
        <f aca="false">IF($A55="","",O55-R55)</f>
        <v/>
      </c>
      <c r="U55" s="35" t="str">
        <f aca="false">IF($A55="","",IF(N(F55)=0,0,O55/F55))</f>
        <v/>
      </c>
    </row>
    <row r="56" customFormat="false" ht="15" hidden="false" customHeight="false" outlineLevel="0" collapsed="false">
      <c r="A56" s="32" t="str">
        <f aca="false">IF(Settings!$B$16="","",Settings!$B$16)</f>
        <v/>
      </c>
      <c r="B56" s="33" t="str">
        <f aca="false">IF($A56="","",3)</f>
        <v/>
      </c>
      <c r="C56" s="32" t="str">
        <f aca="false">IF($A56="","",INDEX(Settings!$Q$12:$Q$23,$B56))</f>
        <v/>
      </c>
      <c r="D56" s="32" t="str">
        <f aca="false">IF($A56="","",Settings!$D$16)</f>
        <v/>
      </c>
      <c r="E56" s="34" t="str">
        <f aca="false">IF($A56="","",SUMIFS(Sales!$E$5:$E$304,Sales!$B$5:$B$304,$A56,Sales!$J$5:$J$304,$B56,Sales!$K$5:$K$304,1))</f>
        <v/>
      </c>
      <c r="F56" s="34" t="str">
        <f aca="false">IF($A56="","",SUMIFS(Sales!$L$5:$L$304,Sales!$B$5:$B$304,$A56,Sales!$J$5:$J$304,$B56,Sales!$K$5:$K$304,1))</f>
        <v/>
      </c>
      <c r="G56" s="34" t="str">
        <f aca="false">IF($A56="","",N(Settings!$F$16))</f>
        <v/>
      </c>
      <c r="H56" s="35" t="str">
        <f aca="false">IF(OR($A56="",N(G56)=0),"",F56/G56)</f>
        <v/>
      </c>
      <c r="I56" s="34" t="str">
        <f aca="false">IF($A56="","",IF($D56="Flat rate",F56*N(Settings!$G$16),0))</f>
        <v/>
      </c>
      <c r="J56" s="34" t="str">
        <f aca="false">IF($A56="","",IF($D56="Tiered",MIN(F56,N(Settings!$H$16))*N(Settings!$I$16)+MAX(0,MIN(F56,N(Settings!$J$16))-N(Settings!$H$16))*N(Settings!$K$16)+MAX(0,F56-N(Settings!$J$16))*N(Settings!$L$16),0))</f>
        <v/>
      </c>
      <c r="K56" s="34" t="str">
        <f aca="false">IF($A56="","",IF($D56="Accelerator",MIN(F56,G56)*N(Settings!$G$16),0))</f>
        <v/>
      </c>
      <c r="L56" s="34" t="str">
        <f aca="false">IF($A56="","",IF($D56="Accelerator",MAX(0,F56-G56)*N(Settings!$M$16),0))</f>
        <v/>
      </c>
      <c r="M56" s="34" t="str">
        <f aca="false">IF($A56="","",I56+J56+K56+L56)</f>
        <v/>
      </c>
      <c r="N56" s="34" t="str">
        <f aca="false">IF(OR($A56="",Settings!$N$16=""),"",Settings!$N$16)</f>
        <v/>
      </c>
      <c r="O56" s="34" t="str">
        <f aca="false">IF($A56="","",IF(N56="",M56,MIN(M56,N56)))</f>
        <v/>
      </c>
      <c r="P56" s="34" t="str">
        <f aca="false">IF($A56="","",SUMIFS(Sales!$O$5:$O$304,Sales!$B$5:$B$304,$A56,Sales!$M$5:$M$304,$B56))</f>
        <v/>
      </c>
      <c r="Q56" s="34" t="str">
        <f aca="false">IF($A56="","",S55)</f>
        <v/>
      </c>
      <c r="R56" s="34" t="str">
        <f aca="false">IF($A56="","",MIN(O56,P56+Q56))</f>
        <v/>
      </c>
      <c r="S56" s="34" t="str">
        <f aca="false">IF($A56="","",P56+Q56-R56)</f>
        <v/>
      </c>
      <c r="T56" s="36" t="str">
        <f aca="false">IF($A56="","",O56-R56)</f>
        <v/>
      </c>
      <c r="U56" s="35" t="str">
        <f aca="false">IF($A56="","",IF(N(F56)=0,0,O56/F56))</f>
        <v/>
      </c>
    </row>
    <row r="57" customFormat="false" ht="15" hidden="false" customHeight="false" outlineLevel="0" collapsed="false">
      <c r="A57" s="32" t="str">
        <f aca="false">IF(Settings!$B$16="","",Settings!$B$16)</f>
        <v/>
      </c>
      <c r="B57" s="33" t="str">
        <f aca="false">IF($A57="","",4)</f>
        <v/>
      </c>
      <c r="C57" s="32" t="str">
        <f aca="false">IF($A57="","",INDEX(Settings!$Q$12:$Q$23,$B57))</f>
        <v/>
      </c>
      <c r="D57" s="32" t="str">
        <f aca="false">IF($A57="","",Settings!$D$16)</f>
        <v/>
      </c>
      <c r="E57" s="34" t="str">
        <f aca="false">IF($A57="","",SUMIFS(Sales!$E$5:$E$304,Sales!$B$5:$B$304,$A57,Sales!$J$5:$J$304,$B57,Sales!$K$5:$K$304,1))</f>
        <v/>
      </c>
      <c r="F57" s="34" t="str">
        <f aca="false">IF($A57="","",SUMIFS(Sales!$L$5:$L$304,Sales!$B$5:$B$304,$A57,Sales!$J$5:$J$304,$B57,Sales!$K$5:$K$304,1))</f>
        <v/>
      </c>
      <c r="G57" s="34" t="str">
        <f aca="false">IF($A57="","",N(Settings!$F$16))</f>
        <v/>
      </c>
      <c r="H57" s="35" t="str">
        <f aca="false">IF(OR($A57="",N(G57)=0),"",F57/G57)</f>
        <v/>
      </c>
      <c r="I57" s="34" t="str">
        <f aca="false">IF($A57="","",IF($D57="Flat rate",F57*N(Settings!$G$16),0))</f>
        <v/>
      </c>
      <c r="J57" s="34" t="str">
        <f aca="false">IF($A57="","",IF($D57="Tiered",MIN(F57,N(Settings!$H$16))*N(Settings!$I$16)+MAX(0,MIN(F57,N(Settings!$J$16))-N(Settings!$H$16))*N(Settings!$K$16)+MAX(0,F57-N(Settings!$J$16))*N(Settings!$L$16),0))</f>
        <v/>
      </c>
      <c r="K57" s="34" t="str">
        <f aca="false">IF($A57="","",IF($D57="Accelerator",MIN(F57,G57)*N(Settings!$G$16),0))</f>
        <v/>
      </c>
      <c r="L57" s="34" t="str">
        <f aca="false">IF($A57="","",IF($D57="Accelerator",MAX(0,F57-G57)*N(Settings!$M$16),0))</f>
        <v/>
      </c>
      <c r="M57" s="34" t="str">
        <f aca="false">IF($A57="","",I57+J57+K57+L57)</f>
        <v/>
      </c>
      <c r="N57" s="34" t="str">
        <f aca="false">IF(OR($A57="",Settings!$N$16=""),"",Settings!$N$16)</f>
        <v/>
      </c>
      <c r="O57" s="34" t="str">
        <f aca="false">IF($A57="","",IF(N57="",M57,MIN(M57,N57)))</f>
        <v/>
      </c>
      <c r="P57" s="34" t="str">
        <f aca="false">IF($A57="","",SUMIFS(Sales!$O$5:$O$304,Sales!$B$5:$B$304,$A57,Sales!$M$5:$M$304,$B57))</f>
        <v/>
      </c>
      <c r="Q57" s="34" t="str">
        <f aca="false">IF($A57="","",S56)</f>
        <v/>
      </c>
      <c r="R57" s="34" t="str">
        <f aca="false">IF($A57="","",MIN(O57,P57+Q57))</f>
        <v/>
      </c>
      <c r="S57" s="34" t="str">
        <f aca="false">IF($A57="","",P57+Q57-R57)</f>
        <v/>
      </c>
      <c r="T57" s="36" t="str">
        <f aca="false">IF($A57="","",O57-R57)</f>
        <v/>
      </c>
      <c r="U57" s="35" t="str">
        <f aca="false">IF($A57="","",IF(N(F57)=0,0,O57/F57))</f>
        <v/>
      </c>
    </row>
    <row r="58" customFormat="false" ht="15" hidden="false" customHeight="false" outlineLevel="0" collapsed="false">
      <c r="A58" s="32" t="str">
        <f aca="false">IF(Settings!$B$16="","",Settings!$B$16)</f>
        <v/>
      </c>
      <c r="B58" s="33" t="str">
        <f aca="false">IF($A58="","",5)</f>
        <v/>
      </c>
      <c r="C58" s="32" t="str">
        <f aca="false">IF($A58="","",INDEX(Settings!$Q$12:$Q$23,$B58))</f>
        <v/>
      </c>
      <c r="D58" s="32" t="str">
        <f aca="false">IF($A58="","",Settings!$D$16)</f>
        <v/>
      </c>
      <c r="E58" s="34" t="str">
        <f aca="false">IF($A58="","",SUMIFS(Sales!$E$5:$E$304,Sales!$B$5:$B$304,$A58,Sales!$J$5:$J$304,$B58,Sales!$K$5:$K$304,1))</f>
        <v/>
      </c>
      <c r="F58" s="34" t="str">
        <f aca="false">IF($A58="","",SUMIFS(Sales!$L$5:$L$304,Sales!$B$5:$B$304,$A58,Sales!$J$5:$J$304,$B58,Sales!$K$5:$K$304,1))</f>
        <v/>
      </c>
      <c r="G58" s="34" t="str">
        <f aca="false">IF($A58="","",N(Settings!$F$16))</f>
        <v/>
      </c>
      <c r="H58" s="35" t="str">
        <f aca="false">IF(OR($A58="",N(G58)=0),"",F58/G58)</f>
        <v/>
      </c>
      <c r="I58" s="34" t="str">
        <f aca="false">IF($A58="","",IF($D58="Flat rate",F58*N(Settings!$G$16),0))</f>
        <v/>
      </c>
      <c r="J58" s="34" t="str">
        <f aca="false">IF($A58="","",IF($D58="Tiered",MIN(F58,N(Settings!$H$16))*N(Settings!$I$16)+MAX(0,MIN(F58,N(Settings!$J$16))-N(Settings!$H$16))*N(Settings!$K$16)+MAX(0,F58-N(Settings!$J$16))*N(Settings!$L$16),0))</f>
        <v/>
      </c>
      <c r="K58" s="34" t="str">
        <f aca="false">IF($A58="","",IF($D58="Accelerator",MIN(F58,G58)*N(Settings!$G$16),0))</f>
        <v/>
      </c>
      <c r="L58" s="34" t="str">
        <f aca="false">IF($A58="","",IF($D58="Accelerator",MAX(0,F58-G58)*N(Settings!$M$16),0))</f>
        <v/>
      </c>
      <c r="M58" s="34" t="str">
        <f aca="false">IF($A58="","",I58+J58+K58+L58)</f>
        <v/>
      </c>
      <c r="N58" s="34" t="str">
        <f aca="false">IF(OR($A58="",Settings!$N$16=""),"",Settings!$N$16)</f>
        <v/>
      </c>
      <c r="O58" s="34" t="str">
        <f aca="false">IF($A58="","",IF(N58="",M58,MIN(M58,N58)))</f>
        <v/>
      </c>
      <c r="P58" s="34" t="str">
        <f aca="false">IF($A58="","",SUMIFS(Sales!$O$5:$O$304,Sales!$B$5:$B$304,$A58,Sales!$M$5:$M$304,$B58))</f>
        <v/>
      </c>
      <c r="Q58" s="34" t="str">
        <f aca="false">IF($A58="","",S57)</f>
        <v/>
      </c>
      <c r="R58" s="34" t="str">
        <f aca="false">IF($A58="","",MIN(O58,P58+Q58))</f>
        <v/>
      </c>
      <c r="S58" s="34" t="str">
        <f aca="false">IF($A58="","",P58+Q58-R58)</f>
        <v/>
      </c>
      <c r="T58" s="36" t="str">
        <f aca="false">IF($A58="","",O58-R58)</f>
        <v/>
      </c>
      <c r="U58" s="35" t="str">
        <f aca="false">IF($A58="","",IF(N(F58)=0,0,O58/F58))</f>
        <v/>
      </c>
    </row>
    <row r="59" customFormat="false" ht="15" hidden="false" customHeight="false" outlineLevel="0" collapsed="false">
      <c r="A59" s="32" t="str">
        <f aca="false">IF(Settings!$B$16="","",Settings!$B$16)</f>
        <v/>
      </c>
      <c r="B59" s="33" t="str">
        <f aca="false">IF($A59="","",6)</f>
        <v/>
      </c>
      <c r="C59" s="32" t="str">
        <f aca="false">IF($A59="","",INDEX(Settings!$Q$12:$Q$23,$B59))</f>
        <v/>
      </c>
      <c r="D59" s="32" t="str">
        <f aca="false">IF($A59="","",Settings!$D$16)</f>
        <v/>
      </c>
      <c r="E59" s="34" t="str">
        <f aca="false">IF($A59="","",SUMIFS(Sales!$E$5:$E$304,Sales!$B$5:$B$304,$A59,Sales!$J$5:$J$304,$B59,Sales!$K$5:$K$304,1))</f>
        <v/>
      </c>
      <c r="F59" s="34" t="str">
        <f aca="false">IF($A59="","",SUMIFS(Sales!$L$5:$L$304,Sales!$B$5:$B$304,$A59,Sales!$J$5:$J$304,$B59,Sales!$K$5:$K$304,1))</f>
        <v/>
      </c>
      <c r="G59" s="34" t="str">
        <f aca="false">IF($A59="","",N(Settings!$F$16))</f>
        <v/>
      </c>
      <c r="H59" s="35" t="str">
        <f aca="false">IF(OR($A59="",N(G59)=0),"",F59/G59)</f>
        <v/>
      </c>
      <c r="I59" s="34" t="str">
        <f aca="false">IF($A59="","",IF($D59="Flat rate",F59*N(Settings!$G$16),0))</f>
        <v/>
      </c>
      <c r="J59" s="34" t="str">
        <f aca="false">IF($A59="","",IF($D59="Tiered",MIN(F59,N(Settings!$H$16))*N(Settings!$I$16)+MAX(0,MIN(F59,N(Settings!$J$16))-N(Settings!$H$16))*N(Settings!$K$16)+MAX(0,F59-N(Settings!$J$16))*N(Settings!$L$16),0))</f>
        <v/>
      </c>
      <c r="K59" s="34" t="str">
        <f aca="false">IF($A59="","",IF($D59="Accelerator",MIN(F59,G59)*N(Settings!$G$16),0))</f>
        <v/>
      </c>
      <c r="L59" s="34" t="str">
        <f aca="false">IF($A59="","",IF($D59="Accelerator",MAX(0,F59-G59)*N(Settings!$M$16),0))</f>
        <v/>
      </c>
      <c r="M59" s="34" t="str">
        <f aca="false">IF($A59="","",I59+J59+K59+L59)</f>
        <v/>
      </c>
      <c r="N59" s="34" t="str">
        <f aca="false">IF(OR($A59="",Settings!$N$16=""),"",Settings!$N$16)</f>
        <v/>
      </c>
      <c r="O59" s="34" t="str">
        <f aca="false">IF($A59="","",IF(N59="",M59,MIN(M59,N59)))</f>
        <v/>
      </c>
      <c r="P59" s="34" t="str">
        <f aca="false">IF($A59="","",SUMIFS(Sales!$O$5:$O$304,Sales!$B$5:$B$304,$A59,Sales!$M$5:$M$304,$B59))</f>
        <v/>
      </c>
      <c r="Q59" s="34" t="str">
        <f aca="false">IF($A59="","",S58)</f>
        <v/>
      </c>
      <c r="R59" s="34" t="str">
        <f aca="false">IF($A59="","",MIN(O59,P59+Q59))</f>
        <v/>
      </c>
      <c r="S59" s="34" t="str">
        <f aca="false">IF($A59="","",P59+Q59-R59)</f>
        <v/>
      </c>
      <c r="T59" s="36" t="str">
        <f aca="false">IF($A59="","",O59-R59)</f>
        <v/>
      </c>
      <c r="U59" s="35" t="str">
        <f aca="false">IF($A59="","",IF(N(F59)=0,0,O59/F59))</f>
        <v/>
      </c>
    </row>
    <row r="60" customFormat="false" ht="15" hidden="false" customHeight="false" outlineLevel="0" collapsed="false">
      <c r="A60" s="32" t="str">
        <f aca="false">IF(Settings!$B$16="","",Settings!$B$16)</f>
        <v/>
      </c>
      <c r="B60" s="33" t="str">
        <f aca="false">IF($A60="","",7)</f>
        <v/>
      </c>
      <c r="C60" s="32" t="str">
        <f aca="false">IF($A60="","",INDEX(Settings!$Q$12:$Q$23,$B60))</f>
        <v/>
      </c>
      <c r="D60" s="32" t="str">
        <f aca="false">IF($A60="","",Settings!$D$16)</f>
        <v/>
      </c>
      <c r="E60" s="34" t="str">
        <f aca="false">IF($A60="","",SUMIFS(Sales!$E$5:$E$304,Sales!$B$5:$B$304,$A60,Sales!$J$5:$J$304,$B60,Sales!$K$5:$K$304,1))</f>
        <v/>
      </c>
      <c r="F60" s="34" t="str">
        <f aca="false">IF($A60="","",SUMIFS(Sales!$L$5:$L$304,Sales!$B$5:$B$304,$A60,Sales!$J$5:$J$304,$B60,Sales!$K$5:$K$304,1))</f>
        <v/>
      </c>
      <c r="G60" s="34" t="str">
        <f aca="false">IF($A60="","",N(Settings!$F$16))</f>
        <v/>
      </c>
      <c r="H60" s="35" t="str">
        <f aca="false">IF(OR($A60="",N(G60)=0),"",F60/G60)</f>
        <v/>
      </c>
      <c r="I60" s="34" t="str">
        <f aca="false">IF($A60="","",IF($D60="Flat rate",F60*N(Settings!$G$16),0))</f>
        <v/>
      </c>
      <c r="J60" s="34" t="str">
        <f aca="false">IF($A60="","",IF($D60="Tiered",MIN(F60,N(Settings!$H$16))*N(Settings!$I$16)+MAX(0,MIN(F60,N(Settings!$J$16))-N(Settings!$H$16))*N(Settings!$K$16)+MAX(0,F60-N(Settings!$J$16))*N(Settings!$L$16),0))</f>
        <v/>
      </c>
      <c r="K60" s="34" t="str">
        <f aca="false">IF($A60="","",IF($D60="Accelerator",MIN(F60,G60)*N(Settings!$G$16),0))</f>
        <v/>
      </c>
      <c r="L60" s="34" t="str">
        <f aca="false">IF($A60="","",IF($D60="Accelerator",MAX(0,F60-G60)*N(Settings!$M$16),0))</f>
        <v/>
      </c>
      <c r="M60" s="34" t="str">
        <f aca="false">IF($A60="","",I60+J60+K60+L60)</f>
        <v/>
      </c>
      <c r="N60" s="34" t="str">
        <f aca="false">IF(OR($A60="",Settings!$N$16=""),"",Settings!$N$16)</f>
        <v/>
      </c>
      <c r="O60" s="34" t="str">
        <f aca="false">IF($A60="","",IF(N60="",M60,MIN(M60,N60)))</f>
        <v/>
      </c>
      <c r="P60" s="34" t="str">
        <f aca="false">IF($A60="","",SUMIFS(Sales!$O$5:$O$304,Sales!$B$5:$B$304,$A60,Sales!$M$5:$M$304,$B60))</f>
        <v/>
      </c>
      <c r="Q60" s="34" t="str">
        <f aca="false">IF($A60="","",S59)</f>
        <v/>
      </c>
      <c r="R60" s="34" t="str">
        <f aca="false">IF($A60="","",MIN(O60,P60+Q60))</f>
        <v/>
      </c>
      <c r="S60" s="34" t="str">
        <f aca="false">IF($A60="","",P60+Q60-R60)</f>
        <v/>
      </c>
      <c r="T60" s="36" t="str">
        <f aca="false">IF($A60="","",O60-R60)</f>
        <v/>
      </c>
      <c r="U60" s="35" t="str">
        <f aca="false">IF($A60="","",IF(N(F60)=0,0,O60/F60))</f>
        <v/>
      </c>
    </row>
    <row r="61" customFormat="false" ht="15" hidden="false" customHeight="false" outlineLevel="0" collapsed="false">
      <c r="A61" s="32" t="str">
        <f aca="false">IF(Settings!$B$16="","",Settings!$B$16)</f>
        <v/>
      </c>
      <c r="B61" s="33" t="str">
        <f aca="false">IF($A61="","",8)</f>
        <v/>
      </c>
      <c r="C61" s="32" t="str">
        <f aca="false">IF($A61="","",INDEX(Settings!$Q$12:$Q$23,$B61))</f>
        <v/>
      </c>
      <c r="D61" s="32" t="str">
        <f aca="false">IF($A61="","",Settings!$D$16)</f>
        <v/>
      </c>
      <c r="E61" s="34" t="str">
        <f aca="false">IF($A61="","",SUMIFS(Sales!$E$5:$E$304,Sales!$B$5:$B$304,$A61,Sales!$J$5:$J$304,$B61,Sales!$K$5:$K$304,1))</f>
        <v/>
      </c>
      <c r="F61" s="34" t="str">
        <f aca="false">IF($A61="","",SUMIFS(Sales!$L$5:$L$304,Sales!$B$5:$B$304,$A61,Sales!$J$5:$J$304,$B61,Sales!$K$5:$K$304,1))</f>
        <v/>
      </c>
      <c r="G61" s="34" t="str">
        <f aca="false">IF($A61="","",N(Settings!$F$16))</f>
        <v/>
      </c>
      <c r="H61" s="35" t="str">
        <f aca="false">IF(OR($A61="",N(G61)=0),"",F61/G61)</f>
        <v/>
      </c>
      <c r="I61" s="34" t="str">
        <f aca="false">IF($A61="","",IF($D61="Flat rate",F61*N(Settings!$G$16),0))</f>
        <v/>
      </c>
      <c r="J61" s="34" t="str">
        <f aca="false">IF($A61="","",IF($D61="Tiered",MIN(F61,N(Settings!$H$16))*N(Settings!$I$16)+MAX(0,MIN(F61,N(Settings!$J$16))-N(Settings!$H$16))*N(Settings!$K$16)+MAX(0,F61-N(Settings!$J$16))*N(Settings!$L$16),0))</f>
        <v/>
      </c>
      <c r="K61" s="34" t="str">
        <f aca="false">IF($A61="","",IF($D61="Accelerator",MIN(F61,G61)*N(Settings!$G$16),0))</f>
        <v/>
      </c>
      <c r="L61" s="34" t="str">
        <f aca="false">IF($A61="","",IF($D61="Accelerator",MAX(0,F61-G61)*N(Settings!$M$16),0))</f>
        <v/>
      </c>
      <c r="M61" s="34" t="str">
        <f aca="false">IF($A61="","",I61+J61+K61+L61)</f>
        <v/>
      </c>
      <c r="N61" s="34" t="str">
        <f aca="false">IF(OR($A61="",Settings!$N$16=""),"",Settings!$N$16)</f>
        <v/>
      </c>
      <c r="O61" s="34" t="str">
        <f aca="false">IF($A61="","",IF(N61="",M61,MIN(M61,N61)))</f>
        <v/>
      </c>
      <c r="P61" s="34" t="str">
        <f aca="false">IF($A61="","",SUMIFS(Sales!$O$5:$O$304,Sales!$B$5:$B$304,$A61,Sales!$M$5:$M$304,$B61))</f>
        <v/>
      </c>
      <c r="Q61" s="34" t="str">
        <f aca="false">IF($A61="","",S60)</f>
        <v/>
      </c>
      <c r="R61" s="34" t="str">
        <f aca="false">IF($A61="","",MIN(O61,P61+Q61))</f>
        <v/>
      </c>
      <c r="S61" s="34" t="str">
        <f aca="false">IF($A61="","",P61+Q61-R61)</f>
        <v/>
      </c>
      <c r="T61" s="36" t="str">
        <f aca="false">IF($A61="","",O61-R61)</f>
        <v/>
      </c>
      <c r="U61" s="35" t="str">
        <f aca="false">IF($A61="","",IF(N(F61)=0,0,O61/F61))</f>
        <v/>
      </c>
    </row>
    <row r="62" customFormat="false" ht="15" hidden="false" customHeight="false" outlineLevel="0" collapsed="false">
      <c r="A62" s="32" t="str">
        <f aca="false">IF(Settings!$B$16="","",Settings!$B$16)</f>
        <v/>
      </c>
      <c r="B62" s="33" t="str">
        <f aca="false">IF($A62="","",9)</f>
        <v/>
      </c>
      <c r="C62" s="32" t="str">
        <f aca="false">IF($A62="","",INDEX(Settings!$Q$12:$Q$23,$B62))</f>
        <v/>
      </c>
      <c r="D62" s="32" t="str">
        <f aca="false">IF($A62="","",Settings!$D$16)</f>
        <v/>
      </c>
      <c r="E62" s="34" t="str">
        <f aca="false">IF($A62="","",SUMIFS(Sales!$E$5:$E$304,Sales!$B$5:$B$304,$A62,Sales!$J$5:$J$304,$B62,Sales!$K$5:$K$304,1))</f>
        <v/>
      </c>
      <c r="F62" s="34" t="str">
        <f aca="false">IF($A62="","",SUMIFS(Sales!$L$5:$L$304,Sales!$B$5:$B$304,$A62,Sales!$J$5:$J$304,$B62,Sales!$K$5:$K$304,1))</f>
        <v/>
      </c>
      <c r="G62" s="34" t="str">
        <f aca="false">IF($A62="","",N(Settings!$F$16))</f>
        <v/>
      </c>
      <c r="H62" s="35" t="str">
        <f aca="false">IF(OR($A62="",N(G62)=0),"",F62/G62)</f>
        <v/>
      </c>
      <c r="I62" s="34" t="str">
        <f aca="false">IF($A62="","",IF($D62="Flat rate",F62*N(Settings!$G$16),0))</f>
        <v/>
      </c>
      <c r="J62" s="34" t="str">
        <f aca="false">IF($A62="","",IF($D62="Tiered",MIN(F62,N(Settings!$H$16))*N(Settings!$I$16)+MAX(0,MIN(F62,N(Settings!$J$16))-N(Settings!$H$16))*N(Settings!$K$16)+MAX(0,F62-N(Settings!$J$16))*N(Settings!$L$16),0))</f>
        <v/>
      </c>
      <c r="K62" s="34" t="str">
        <f aca="false">IF($A62="","",IF($D62="Accelerator",MIN(F62,G62)*N(Settings!$G$16),0))</f>
        <v/>
      </c>
      <c r="L62" s="34" t="str">
        <f aca="false">IF($A62="","",IF($D62="Accelerator",MAX(0,F62-G62)*N(Settings!$M$16),0))</f>
        <v/>
      </c>
      <c r="M62" s="34" t="str">
        <f aca="false">IF($A62="","",I62+J62+K62+L62)</f>
        <v/>
      </c>
      <c r="N62" s="34" t="str">
        <f aca="false">IF(OR($A62="",Settings!$N$16=""),"",Settings!$N$16)</f>
        <v/>
      </c>
      <c r="O62" s="34" t="str">
        <f aca="false">IF($A62="","",IF(N62="",M62,MIN(M62,N62)))</f>
        <v/>
      </c>
      <c r="P62" s="34" t="str">
        <f aca="false">IF($A62="","",SUMIFS(Sales!$O$5:$O$304,Sales!$B$5:$B$304,$A62,Sales!$M$5:$M$304,$B62))</f>
        <v/>
      </c>
      <c r="Q62" s="34" t="str">
        <f aca="false">IF($A62="","",S61)</f>
        <v/>
      </c>
      <c r="R62" s="34" t="str">
        <f aca="false">IF($A62="","",MIN(O62,P62+Q62))</f>
        <v/>
      </c>
      <c r="S62" s="34" t="str">
        <f aca="false">IF($A62="","",P62+Q62-R62)</f>
        <v/>
      </c>
      <c r="T62" s="36" t="str">
        <f aca="false">IF($A62="","",O62-R62)</f>
        <v/>
      </c>
      <c r="U62" s="35" t="str">
        <f aca="false">IF($A62="","",IF(N(F62)=0,0,O62/F62))</f>
        <v/>
      </c>
    </row>
    <row r="63" customFormat="false" ht="15" hidden="false" customHeight="false" outlineLevel="0" collapsed="false">
      <c r="A63" s="32" t="str">
        <f aca="false">IF(Settings!$B$16="","",Settings!$B$16)</f>
        <v/>
      </c>
      <c r="B63" s="33" t="str">
        <f aca="false">IF($A63="","",10)</f>
        <v/>
      </c>
      <c r="C63" s="32" t="str">
        <f aca="false">IF($A63="","",INDEX(Settings!$Q$12:$Q$23,$B63))</f>
        <v/>
      </c>
      <c r="D63" s="32" t="str">
        <f aca="false">IF($A63="","",Settings!$D$16)</f>
        <v/>
      </c>
      <c r="E63" s="34" t="str">
        <f aca="false">IF($A63="","",SUMIFS(Sales!$E$5:$E$304,Sales!$B$5:$B$304,$A63,Sales!$J$5:$J$304,$B63,Sales!$K$5:$K$304,1))</f>
        <v/>
      </c>
      <c r="F63" s="34" t="str">
        <f aca="false">IF($A63="","",SUMIFS(Sales!$L$5:$L$304,Sales!$B$5:$B$304,$A63,Sales!$J$5:$J$304,$B63,Sales!$K$5:$K$304,1))</f>
        <v/>
      </c>
      <c r="G63" s="34" t="str">
        <f aca="false">IF($A63="","",N(Settings!$F$16))</f>
        <v/>
      </c>
      <c r="H63" s="35" t="str">
        <f aca="false">IF(OR($A63="",N(G63)=0),"",F63/G63)</f>
        <v/>
      </c>
      <c r="I63" s="34" t="str">
        <f aca="false">IF($A63="","",IF($D63="Flat rate",F63*N(Settings!$G$16),0))</f>
        <v/>
      </c>
      <c r="J63" s="34" t="str">
        <f aca="false">IF($A63="","",IF($D63="Tiered",MIN(F63,N(Settings!$H$16))*N(Settings!$I$16)+MAX(0,MIN(F63,N(Settings!$J$16))-N(Settings!$H$16))*N(Settings!$K$16)+MAX(0,F63-N(Settings!$J$16))*N(Settings!$L$16),0))</f>
        <v/>
      </c>
      <c r="K63" s="34" t="str">
        <f aca="false">IF($A63="","",IF($D63="Accelerator",MIN(F63,G63)*N(Settings!$G$16),0))</f>
        <v/>
      </c>
      <c r="L63" s="34" t="str">
        <f aca="false">IF($A63="","",IF($D63="Accelerator",MAX(0,F63-G63)*N(Settings!$M$16),0))</f>
        <v/>
      </c>
      <c r="M63" s="34" t="str">
        <f aca="false">IF($A63="","",I63+J63+K63+L63)</f>
        <v/>
      </c>
      <c r="N63" s="34" t="str">
        <f aca="false">IF(OR($A63="",Settings!$N$16=""),"",Settings!$N$16)</f>
        <v/>
      </c>
      <c r="O63" s="34" t="str">
        <f aca="false">IF($A63="","",IF(N63="",M63,MIN(M63,N63)))</f>
        <v/>
      </c>
      <c r="P63" s="34" t="str">
        <f aca="false">IF($A63="","",SUMIFS(Sales!$O$5:$O$304,Sales!$B$5:$B$304,$A63,Sales!$M$5:$M$304,$B63))</f>
        <v/>
      </c>
      <c r="Q63" s="34" t="str">
        <f aca="false">IF($A63="","",S62)</f>
        <v/>
      </c>
      <c r="R63" s="34" t="str">
        <f aca="false">IF($A63="","",MIN(O63,P63+Q63))</f>
        <v/>
      </c>
      <c r="S63" s="34" t="str">
        <f aca="false">IF($A63="","",P63+Q63-R63)</f>
        <v/>
      </c>
      <c r="T63" s="36" t="str">
        <f aca="false">IF($A63="","",O63-R63)</f>
        <v/>
      </c>
      <c r="U63" s="35" t="str">
        <f aca="false">IF($A63="","",IF(N(F63)=0,0,O63/F63))</f>
        <v/>
      </c>
    </row>
    <row r="64" customFormat="false" ht="15" hidden="false" customHeight="false" outlineLevel="0" collapsed="false">
      <c r="A64" s="32" t="str">
        <f aca="false">IF(Settings!$B$16="","",Settings!$B$16)</f>
        <v/>
      </c>
      <c r="B64" s="33" t="str">
        <f aca="false">IF($A64="","",11)</f>
        <v/>
      </c>
      <c r="C64" s="32" t="str">
        <f aca="false">IF($A64="","",INDEX(Settings!$Q$12:$Q$23,$B64))</f>
        <v/>
      </c>
      <c r="D64" s="32" t="str">
        <f aca="false">IF($A64="","",Settings!$D$16)</f>
        <v/>
      </c>
      <c r="E64" s="34" t="str">
        <f aca="false">IF($A64="","",SUMIFS(Sales!$E$5:$E$304,Sales!$B$5:$B$304,$A64,Sales!$J$5:$J$304,$B64,Sales!$K$5:$K$304,1))</f>
        <v/>
      </c>
      <c r="F64" s="34" t="str">
        <f aca="false">IF($A64="","",SUMIFS(Sales!$L$5:$L$304,Sales!$B$5:$B$304,$A64,Sales!$J$5:$J$304,$B64,Sales!$K$5:$K$304,1))</f>
        <v/>
      </c>
      <c r="G64" s="34" t="str">
        <f aca="false">IF($A64="","",N(Settings!$F$16))</f>
        <v/>
      </c>
      <c r="H64" s="35" t="str">
        <f aca="false">IF(OR($A64="",N(G64)=0),"",F64/G64)</f>
        <v/>
      </c>
      <c r="I64" s="34" t="str">
        <f aca="false">IF($A64="","",IF($D64="Flat rate",F64*N(Settings!$G$16),0))</f>
        <v/>
      </c>
      <c r="J64" s="34" t="str">
        <f aca="false">IF($A64="","",IF($D64="Tiered",MIN(F64,N(Settings!$H$16))*N(Settings!$I$16)+MAX(0,MIN(F64,N(Settings!$J$16))-N(Settings!$H$16))*N(Settings!$K$16)+MAX(0,F64-N(Settings!$J$16))*N(Settings!$L$16),0))</f>
        <v/>
      </c>
      <c r="K64" s="34" t="str">
        <f aca="false">IF($A64="","",IF($D64="Accelerator",MIN(F64,G64)*N(Settings!$G$16),0))</f>
        <v/>
      </c>
      <c r="L64" s="34" t="str">
        <f aca="false">IF($A64="","",IF($D64="Accelerator",MAX(0,F64-G64)*N(Settings!$M$16),0))</f>
        <v/>
      </c>
      <c r="M64" s="34" t="str">
        <f aca="false">IF($A64="","",I64+J64+K64+L64)</f>
        <v/>
      </c>
      <c r="N64" s="34" t="str">
        <f aca="false">IF(OR($A64="",Settings!$N$16=""),"",Settings!$N$16)</f>
        <v/>
      </c>
      <c r="O64" s="34" t="str">
        <f aca="false">IF($A64="","",IF(N64="",M64,MIN(M64,N64)))</f>
        <v/>
      </c>
      <c r="P64" s="34" t="str">
        <f aca="false">IF($A64="","",SUMIFS(Sales!$O$5:$O$304,Sales!$B$5:$B$304,$A64,Sales!$M$5:$M$304,$B64))</f>
        <v/>
      </c>
      <c r="Q64" s="34" t="str">
        <f aca="false">IF($A64="","",S63)</f>
        <v/>
      </c>
      <c r="R64" s="34" t="str">
        <f aca="false">IF($A64="","",MIN(O64,P64+Q64))</f>
        <v/>
      </c>
      <c r="S64" s="34" t="str">
        <f aca="false">IF($A64="","",P64+Q64-R64)</f>
        <v/>
      </c>
      <c r="T64" s="36" t="str">
        <f aca="false">IF($A64="","",O64-R64)</f>
        <v/>
      </c>
      <c r="U64" s="35" t="str">
        <f aca="false">IF($A64="","",IF(N(F64)=0,0,O64/F64))</f>
        <v/>
      </c>
    </row>
    <row r="65" customFormat="false" ht="15" hidden="false" customHeight="false" outlineLevel="0" collapsed="false">
      <c r="A65" s="37" t="str">
        <f aca="false">IF(Settings!$B$16="","",Settings!$B$16)</f>
        <v/>
      </c>
      <c r="B65" s="38" t="str">
        <f aca="false">IF($A65="","",12)</f>
        <v/>
      </c>
      <c r="C65" s="37" t="str">
        <f aca="false">IF($A65="","",INDEX(Settings!$Q$12:$Q$23,$B65))</f>
        <v/>
      </c>
      <c r="D65" s="37" t="str">
        <f aca="false">IF($A65="","",Settings!$D$16)</f>
        <v/>
      </c>
      <c r="E65" s="39" t="str">
        <f aca="false">IF($A65="","",SUMIFS(Sales!$E$5:$E$304,Sales!$B$5:$B$304,$A65,Sales!$J$5:$J$304,$B65,Sales!$K$5:$K$304,1))</f>
        <v/>
      </c>
      <c r="F65" s="39" t="str">
        <f aca="false">IF($A65="","",SUMIFS(Sales!$L$5:$L$304,Sales!$B$5:$B$304,$A65,Sales!$J$5:$J$304,$B65,Sales!$K$5:$K$304,1))</f>
        <v/>
      </c>
      <c r="G65" s="39" t="str">
        <f aca="false">IF($A65="","",N(Settings!$F$16))</f>
        <v/>
      </c>
      <c r="H65" s="40" t="str">
        <f aca="false">IF(OR($A65="",N(G65)=0),"",F65/G65)</f>
        <v/>
      </c>
      <c r="I65" s="39" t="str">
        <f aca="false">IF($A65="","",IF($D65="Flat rate",F65*N(Settings!$G$16),0))</f>
        <v/>
      </c>
      <c r="J65" s="39" t="str">
        <f aca="false">IF($A65="","",IF($D65="Tiered",MIN(F65,N(Settings!$H$16))*N(Settings!$I$16)+MAX(0,MIN(F65,N(Settings!$J$16))-N(Settings!$H$16))*N(Settings!$K$16)+MAX(0,F65-N(Settings!$J$16))*N(Settings!$L$16),0))</f>
        <v/>
      </c>
      <c r="K65" s="39" t="str">
        <f aca="false">IF($A65="","",IF($D65="Accelerator",MIN(F65,G65)*N(Settings!$G$16),0))</f>
        <v/>
      </c>
      <c r="L65" s="39" t="str">
        <f aca="false">IF($A65="","",IF($D65="Accelerator",MAX(0,F65-G65)*N(Settings!$M$16),0))</f>
        <v/>
      </c>
      <c r="M65" s="39" t="str">
        <f aca="false">IF($A65="","",I65+J65+K65+L65)</f>
        <v/>
      </c>
      <c r="N65" s="39" t="str">
        <f aca="false">IF(OR($A65="",Settings!$N$16=""),"",Settings!$N$16)</f>
        <v/>
      </c>
      <c r="O65" s="39" t="str">
        <f aca="false">IF($A65="","",IF(N65="",M65,MIN(M65,N65)))</f>
        <v/>
      </c>
      <c r="P65" s="39" t="str">
        <f aca="false">IF($A65="","",SUMIFS(Sales!$O$5:$O$304,Sales!$B$5:$B$304,$A65,Sales!$M$5:$M$304,$B65))</f>
        <v/>
      </c>
      <c r="Q65" s="39" t="str">
        <f aca="false">IF($A65="","",S64)</f>
        <v/>
      </c>
      <c r="R65" s="39" t="str">
        <f aca="false">IF($A65="","",MIN(O65,P65+Q65))</f>
        <v/>
      </c>
      <c r="S65" s="39" t="str">
        <f aca="false">IF($A65="","",P65+Q65-R65)</f>
        <v/>
      </c>
      <c r="T65" s="41" t="str">
        <f aca="false">IF($A65="","",O65-R65)</f>
        <v/>
      </c>
      <c r="U65" s="40" t="str">
        <f aca="false">IF($A65="","",IF(N(F65)=0,0,O65/F65))</f>
        <v/>
      </c>
    </row>
    <row r="66" customFormat="false" ht="15" hidden="false" customHeight="false" outlineLevel="0" collapsed="false">
      <c r="A66" s="32" t="str">
        <f aca="false">IF(Settings!$B$17="","",Settings!$B$17)</f>
        <v/>
      </c>
      <c r="B66" s="33" t="str">
        <f aca="false">IF($A66="","",1)</f>
        <v/>
      </c>
      <c r="C66" s="32" t="str">
        <f aca="false">IF($A66="","",INDEX(Settings!$Q$12:$Q$23,$B66))</f>
        <v/>
      </c>
      <c r="D66" s="32" t="str">
        <f aca="false">IF($A66="","",Settings!$D$17)</f>
        <v/>
      </c>
      <c r="E66" s="34" t="str">
        <f aca="false">IF($A66="","",SUMIFS(Sales!$E$5:$E$304,Sales!$B$5:$B$304,$A66,Sales!$J$5:$J$304,$B66,Sales!$K$5:$K$304,1))</f>
        <v/>
      </c>
      <c r="F66" s="34" t="str">
        <f aca="false">IF($A66="","",SUMIFS(Sales!$L$5:$L$304,Sales!$B$5:$B$304,$A66,Sales!$J$5:$J$304,$B66,Sales!$K$5:$K$304,1))</f>
        <v/>
      </c>
      <c r="G66" s="34" t="str">
        <f aca="false">IF($A66="","",N(Settings!$F$17))</f>
        <v/>
      </c>
      <c r="H66" s="35" t="str">
        <f aca="false">IF(OR($A66="",N(G66)=0),"",F66/G66)</f>
        <v/>
      </c>
      <c r="I66" s="34" t="str">
        <f aca="false">IF($A66="","",IF($D66="Flat rate",F66*N(Settings!$G$17),0))</f>
        <v/>
      </c>
      <c r="J66" s="34" t="str">
        <f aca="false">IF($A66="","",IF($D66="Tiered",MIN(F66,N(Settings!$H$17))*N(Settings!$I$17)+MAX(0,MIN(F66,N(Settings!$J$17))-N(Settings!$H$17))*N(Settings!$K$17)+MAX(0,F66-N(Settings!$J$17))*N(Settings!$L$17),0))</f>
        <v/>
      </c>
      <c r="K66" s="34" t="str">
        <f aca="false">IF($A66="","",IF($D66="Accelerator",MIN(F66,G66)*N(Settings!$G$17),0))</f>
        <v/>
      </c>
      <c r="L66" s="34" t="str">
        <f aca="false">IF($A66="","",IF($D66="Accelerator",MAX(0,F66-G66)*N(Settings!$M$17),0))</f>
        <v/>
      </c>
      <c r="M66" s="34" t="str">
        <f aca="false">IF($A66="","",I66+J66+K66+L66)</f>
        <v/>
      </c>
      <c r="N66" s="34" t="str">
        <f aca="false">IF(OR($A66="",Settings!$N$17=""),"",Settings!$N$17)</f>
        <v/>
      </c>
      <c r="O66" s="34" t="str">
        <f aca="false">IF($A66="","",IF(N66="",M66,MIN(M66,N66)))</f>
        <v/>
      </c>
      <c r="P66" s="34" t="str">
        <f aca="false">IF($A66="","",SUMIFS(Sales!$O$5:$O$304,Sales!$B$5:$B$304,$A66,Sales!$M$5:$M$304,$B66))</f>
        <v/>
      </c>
      <c r="Q66" s="34" t="str">
        <f aca="false">IF($A66="","",0)</f>
        <v/>
      </c>
      <c r="R66" s="34" t="str">
        <f aca="false">IF($A66="","",MIN(O66,P66+Q66))</f>
        <v/>
      </c>
      <c r="S66" s="34" t="str">
        <f aca="false">IF($A66="","",P66+Q66-R66)</f>
        <v/>
      </c>
      <c r="T66" s="36" t="str">
        <f aca="false">IF($A66="","",O66-R66)</f>
        <v/>
      </c>
      <c r="U66" s="35" t="str">
        <f aca="false">IF($A66="","",IF(N(F66)=0,0,O66/F66))</f>
        <v/>
      </c>
    </row>
    <row r="67" customFormat="false" ht="15" hidden="false" customHeight="false" outlineLevel="0" collapsed="false">
      <c r="A67" s="32" t="str">
        <f aca="false">IF(Settings!$B$17="","",Settings!$B$17)</f>
        <v/>
      </c>
      <c r="B67" s="33" t="str">
        <f aca="false">IF($A67="","",2)</f>
        <v/>
      </c>
      <c r="C67" s="32" t="str">
        <f aca="false">IF($A67="","",INDEX(Settings!$Q$12:$Q$23,$B67))</f>
        <v/>
      </c>
      <c r="D67" s="32" t="str">
        <f aca="false">IF($A67="","",Settings!$D$17)</f>
        <v/>
      </c>
      <c r="E67" s="34" t="str">
        <f aca="false">IF($A67="","",SUMIFS(Sales!$E$5:$E$304,Sales!$B$5:$B$304,$A67,Sales!$J$5:$J$304,$B67,Sales!$K$5:$K$304,1))</f>
        <v/>
      </c>
      <c r="F67" s="34" t="str">
        <f aca="false">IF($A67="","",SUMIFS(Sales!$L$5:$L$304,Sales!$B$5:$B$304,$A67,Sales!$J$5:$J$304,$B67,Sales!$K$5:$K$304,1))</f>
        <v/>
      </c>
      <c r="G67" s="34" t="str">
        <f aca="false">IF($A67="","",N(Settings!$F$17))</f>
        <v/>
      </c>
      <c r="H67" s="35" t="str">
        <f aca="false">IF(OR($A67="",N(G67)=0),"",F67/G67)</f>
        <v/>
      </c>
      <c r="I67" s="34" t="str">
        <f aca="false">IF($A67="","",IF($D67="Flat rate",F67*N(Settings!$G$17),0))</f>
        <v/>
      </c>
      <c r="J67" s="34" t="str">
        <f aca="false">IF($A67="","",IF($D67="Tiered",MIN(F67,N(Settings!$H$17))*N(Settings!$I$17)+MAX(0,MIN(F67,N(Settings!$J$17))-N(Settings!$H$17))*N(Settings!$K$17)+MAX(0,F67-N(Settings!$J$17))*N(Settings!$L$17),0))</f>
        <v/>
      </c>
      <c r="K67" s="34" t="str">
        <f aca="false">IF($A67="","",IF($D67="Accelerator",MIN(F67,G67)*N(Settings!$G$17),0))</f>
        <v/>
      </c>
      <c r="L67" s="34" t="str">
        <f aca="false">IF($A67="","",IF($D67="Accelerator",MAX(0,F67-G67)*N(Settings!$M$17),0))</f>
        <v/>
      </c>
      <c r="M67" s="34" t="str">
        <f aca="false">IF($A67="","",I67+J67+K67+L67)</f>
        <v/>
      </c>
      <c r="N67" s="34" t="str">
        <f aca="false">IF(OR($A67="",Settings!$N$17=""),"",Settings!$N$17)</f>
        <v/>
      </c>
      <c r="O67" s="34" t="str">
        <f aca="false">IF($A67="","",IF(N67="",M67,MIN(M67,N67)))</f>
        <v/>
      </c>
      <c r="P67" s="34" t="str">
        <f aca="false">IF($A67="","",SUMIFS(Sales!$O$5:$O$304,Sales!$B$5:$B$304,$A67,Sales!$M$5:$M$304,$B67))</f>
        <v/>
      </c>
      <c r="Q67" s="34" t="str">
        <f aca="false">IF($A67="","",S66)</f>
        <v/>
      </c>
      <c r="R67" s="34" t="str">
        <f aca="false">IF($A67="","",MIN(O67,P67+Q67))</f>
        <v/>
      </c>
      <c r="S67" s="34" t="str">
        <f aca="false">IF($A67="","",P67+Q67-R67)</f>
        <v/>
      </c>
      <c r="T67" s="36" t="str">
        <f aca="false">IF($A67="","",O67-R67)</f>
        <v/>
      </c>
      <c r="U67" s="35" t="str">
        <f aca="false">IF($A67="","",IF(N(F67)=0,0,O67/F67))</f>
        <v/>
      </c>
    </row>
    <row r="68" customFormat="false" ht="15" hidden="false" customHeight="false" outlineLevel="0" collapsed="false">
      <c r="A68" s="32" t="str">
        <f aca="false">IF(Settings!$B$17="","",Settings!$B$17)</f>
        <v/>
      </c>
      <c r="B68" s="33" t="str">
        <f aca="false">IF($A68="","",3)</f>
        <v/>
      </c>
      <c r="C68" s="32" t="str">
        <f aca="false">IF($A68="","",INDEX(Settings!$Q$12:$Q$23,$B68))</f>
        <v/>
      </c>
      <c r="D68" s="32" t="str">
        <f aca="false">IF($A68="","",Settings!$D$17)</f>
        <v/>
      </c>
      <c r="E68" s="34" t="str">
        <f aca="false">IF($A68="","",SUMIFS(Sales!$E$5:$E$304,Sales!$B$5:$B$304,$A68,Sales!$J$5:$J$304,$B68,Sales!$K$5:$K$304,1))</f>
        <v/>
      </c>
      <c r="F68" s="34" t="str">
        <f aca="false">IF($A68="","",SUMIFS(Sales!$L$5:$L$304,Sales!$B$5:$B$304,$A68,Sales!$J$5:$J$304,$B68,Sales!$K$5:$K$304,1))</f>
        <v/>
      </c>
      <c r="G68" s="34" t="str">
        <f aca="false">IF($A68="","",N(Settings!$F$17))</f>
        <v/>
      </c>
      <c r="H68" s="35" t="str">
        <f aca="false">IF(OR($A68="",N(G68)=0),"",F68/G68)</f>
        <v/>
      </c>
      <c r="I68" s="34" t="str">
        <f aca="false">IF($A68="","",IF($D68="Flat rate",F68*N(Settings!$G$17),0))</f>
        <v/>
      </c>
      <c r="J68" s="34" t="str">
        <f aca="false">IF($A68="","",IF($D68="Tiered",MIN(F68,N(Settings!$H$17))*N(Settings!$I$17)+MAX(0,MIN(F68,N(Settings!$J$17))-N(Settings!$H$17))*N(Settings!$K$17)+MAX(0,F68-N(Settings!$J$17))*N(Settings!$L$17),0))</f>
        <v/>
      </c>
      <c r="K68" s="34" t="str">
        <f aca="false">IF($A68="","",IF($D68="Accelerator",MIN(F68,G68)*N(Settings!$G$17),0))</f>
        <v/>
      </c>
      <c r="L68" s="34" t="str">
        <f aca="false">IF($A68="","",IF($D68="Accelerator",MAX(0,F68-G68)*N(Settings!$M$17),0))</f>
        <v/>
      </c>
      <c r="M68" s="34" t="str">
        <f aca="false">IF($A68="","",I68+J68+K68+L68)</f>
        <v/>
      </c>
      <c r="N68" s="34" t="str">
        <f aca="false">IF(OR($A68="",Settings!$N$17=""),"",Settings!$N$17)</f>
        <v/>
      </c>
      <c r="O68" s="34" t="str">
        <f aca="false">IF($A68="","",IF(N68="",M68,MIN(M68,N68)))</f>
        <v/>
      </c>
      <c r="P68" s="34" t="str">
        <f aca="false">IF($A68="","",SUMIFS(Sales!$O$5:$O$304,Sales!$B$5:$B$304,$A68,Sales!$M$5:$M$304,$B68))</f>
        <v/>
      </c>
      <c r="Q68" s="34" t="str">
        <f aca="false">IF($A68="","",S67)</f>
        <v/>
      </c>
      <c r="R68" s="34" t="str">
        <f aca="false">IF($A68="","",MIN(O68,P68+Q68))</f>
        <v/>
      </c>
      <c r="S68" s="34" t="str">
        <f aca="false">IF($A68="","",P68+Q68-R68)</f>
        <v/>
      </c>
      <c r="T68" s="36" t="str">
        <f aca="false">IF($A68="","",O68-R68)</f>
        <v/>
      </c>
      <c r="U68" s="35" t="str">
        <f aca="false">IF($A68="","",IF(N(F68)=0,0,O68/F68))</f>
        <v/>
      </c>
    </row>
    <row r="69" customFormat="false" ht="15" hidden="false" customHeight="false" outlineLevel="0" collapsed="false">
      <c r="A69" s="32" t="str">
        <f aca="false">IF(Settings!$B$17="","",Settings!$B$17)</f>
        <v/>
      </c>
      <c r="B69" s="33" t="str">
        <f aca="false">IF($A69="","",4)</f>
        <v/>
      </c>
      <c r="C69" s="32" t="str">
        <f aca="false">IF($A69="","",INDEX(Settings!$Q$12:$Q$23,$B69))</f>
        <v/>
      </c>
      <c r="D69" s="32" t="str">
        <f aca="false">IF($A69="","",Settings!$D$17)</f>
        <v/>
      </c>
      <c r="E69" s="34" t="str">
        <f aca="false">IF($A69="","",SUMIFS(Sales!$E$5:$E$304,Sales!$B$5:$B$304,$A69,Sales!$J$5:$J$304,$B69,Sales!$K$5:$K$304,1))</f>
        <v/>
      </c>
      <c r="F69" s="34" t="str">
        <f aca="false">IF($A69="","",SUMIFS(Sales!$L$5:$L$304,Sales!$B$5:$B$304,$A69,Sales!$J$5:$J$304,$B69,Sales!$K$5:$K$304,1))</f>
        <v/>
      </c>
      <c r="G69" s="34" t="str">
        <f aca="false">IF($A69="","",N(Settings!$F$17))</f>
        <v/>
      </c>
      <c r="H69" s="35" t="str">
        <f aca="false">IF(OR($A69="",N(G69)=0),"",F69/G69)</f>
        <v/>
      </c>
      <c r="I69" s="34" t="str">
        <f aca="false">IF($A69="","",IF($D69="Flat rate",F69*N(Settings!$G$17),0))</f>
        <v/>
      </c>
      <c r="J69" s="34" t="str">
        <f aca="false">IF($A69="","",IF($D69="Tiered",MIN(F69,N(Settings!$H$17))*N(Settings!$I$17)+MAX(0,MIN(F69,N(Settings!$J$17))-N(Settings!$H$17))*N(Settings!$K$17)+MAX(0,F69-N(Settings!$J$17))*N(Settings!$L$17),0))</f>
        <v/>
      </c>
      <c r="K69" s="34" t="str">
        <f aca="false">IF($A69="","",IF($D69="Accelerator",MIN(F69,G69)*N(Settings!$G$17),0))</f>
        <v/>
      </c>
      <c r="L69" s="34" t="str">
        <f aca="false">IF($A69="","",IF($D69="Accelerator",MAX(0,F69-G69)*N(Settings!$M$17),0))</f>
        <v/>
      </c>
      <c r="M69" s="34" t="str">
        <f aca="false">IF($A69="","",I69+J69+K69+L69)</f>
        <v/>
      </c>
      <c r="N69" s="34" t="str">
        <f aca="false">IF(OR($A69="",Settings!$N$17=""),"",Settings!$N$17)</f>
        <v/>
      </c>
      <c r="O69" s="34" t="str">
        <f aca="false">IF($A69="","",IF(N69="",M69,MIN(M69,N69)))</f>
        <v/>
      </c>
      <c r="P69" s="34" t="str">
        <f aca="false">IF($A69="","",SUMIFS(Sales!$O$5:$O$304,Sales!$B$5:$B$304,$A69,Sales!$M$5:$M$304,$B69))</f>
        <v/>
      </c>
      <c r="Q69" s="34" t="str">
        <f aca="false">IF($A69="","",S68)</f>
        <v/>
      </c>
      <c r="R69" s="34" t="str">
        <f aca="false">IF($A69="","",MIN(O69,P69+Q69))</f>
        <v/>
      </c>
      <c r="S69" s="34" t="str">
        <f aca="false">IF($A69="","",P69+Q69-R69)</f>
        <v/>
      </c>
      <c r="T69" s="36" t="str">
        <f aca="false">IF($A69="","",O69-R69)</f>
        <v/>
      </c>
      <c r="U69" s="35" t="str">
        <f aca="false">IF($A69="","",IF(N(F69)=0,0,O69/F69))</f>
        <v/>
      </c>
    </row>
    <row r="70" customFormat="false" ht="15" hidden="false" customHeight="false" outlineLevel="0" collapsed="false">
      <c r="A70" s="32" t="str">
        <f aca="false">IF(Settings!$B$17="","",Settings!$B$17)</f>
        <v/>
      </c>
      <c r="B70" s="33" t="str">
        <f aca="false">IF($A70="","",5)</f>
        <v/>
      </c>
      <c r="C70" s="32" t="str">
        <f aca="false">IF($A70="","",INDEX(Settings!$Q$12:$Q$23,$B70))</f>
        <v/>
      </c>
      <c r="D70" s="32" t="str">
        <f aca="false">IF($A70="","",Settings!$D$17)</f>
        <v/>
      </c>
      <c r="E70" s="34" t="str">
        <f aca="false">IF($A70="","",SUMIFS(Sales!$E$5:$E$304,Sales!$B$5:$B$304,$A70,Sales!$J$5:$J$304,$B70,Sales!$K$5:$K$304,1))</f>
        <v/>
      </c>
      <c r="F70" s="34" t="str">
        <f aca="false">IF($A70="","",SUMIFS(Sales!$L$5:$L$304,Sales!$B$5:$B$304,$A70,Sales!$J$5:$J$304,$B70,Sales!$K$5:$K$304,1))</f>
        <v/>
      </c>
      <c r="G70" s="34" t="str">
        <f aca="false">IF($A70="","",N(Settings!$F$17))</f>
        <v/>
      </c>
      <c r="H70" s="35" t="str">
        <f aca="false">IF(OR($A70="",N(G70)=0),"",F70/G70)</f>
        <v/>
      </c>
      <c r="I70" s="34" t="str">
        <f aca="false">IF($A70="","",IF($D70="Flat rate",F70*N(Settings!$G$17),0))</f>
        <v/>
      </c>
      <c r="J70" s="34" t="str">
        <f aca="false">IF($A70="","",IF($D70="Tiered",MIN(F70,N(Settings!$H$17))*N(Settings!$I$17)+MAX(0,MIN(F70,N(Settings!$J$17))-N(Settings!$H$17))*N(Settings!$K$17)+MAX(0,F70-N(Settings!$J$17))*N(Settings!$L$17),0))</f>
        <v/>
      </c>
      <c r="K70" s="34" t="str">
        <f aca="false">IF($A70="","",IF($D70="Accelerator",MIN(F70,G70)*N(Settings!$G$17),0))</f>
        <v/>
      </c>
      <c r="L70" s="34" t="str">
        <f aca="false">IF($A70="","",IF($D70="Accelerator",MAX(0,F70-G70)*N(Settings!$M$17),0))</f>
        <v/>
      </c>
      <c r="M70" s="34" t="str">
        <f aca="false">IF($A70="","",I70+J70+K70+L70)</f>
        <v/>
      </c>
      <c r="N70" s="34" t="str">
        <f aca="false">IF(OR($A70="",Settings!$N$17=""),"",Settings!$N$17)</f>
        <v/>
      </c>
      <c r="O70" s="34" t="str">
        <f aca="false">IF($A70="","",IF(N70="",M70,MIN(M70,N70)))</f>
        <v/>
      </c>
      <c r="P70" s="34" t="str">
        <f aca="false">IF($A70="","",SUMIFS(Sales!$O$5:$O$304,Sales!$B$5:$B$304,$A70,Sales!$M$5:$M$304,$B70))</f>
        <v/>
      </c>
      <c r="Q70" s="34" t="str">
        <f aca="false">IF($A70="","",S69)</f>
        <v/>
      </c>
      <c r="R70" s="34" t="str">
        <f aca="false">IF($A70="","",MIN(O70,P70+Q70))</f>
        <v/>
      </c>
      <c r="S70" s="34" t="str">
        <f aca="false">IF($A70="","",P70+Q70-R70)</f>
        <v/>
      </c>
      <c r="T70" s="36" t="str">
        <f aca="false">IF($A70="","",O70-R70)</f>
        <v/>
      </c>
      <c r="U70" s="35" t="str">
        <f aca="false">IF($A70="","",IF(N(F70)=0,0,O70/F70))</f>
        <v/>
      </c>
    </row>
    <row r="71" customFormat="false" ht="15" hidden="false" customHeight="false" outlineLevel="0" collapsed="false">
      <c r="A71" s="32" t="str">
        <f aca="false">IF(Settings!$B$17="","",Settings!$B$17)</f>
        <v/>
      </c>
      <c r="B71" s="33" t="str">
        <f aca="false">IF($A71="","",6)</f>
        <v/>
      </c>
      <c r="C71" s="32" t="str">
        <f aca="false">IF($A71="","",INDEX(Settings!$Q$12:$Q$23,$B71))</f>
        <v/>
      </c>
      <c r="D71" s="32" t="str">
        <f aca="false">IF($A71="","",Settings!$D$17)</f>
        <v/>
      </c>
      <c r="E71" s="34" t="str">
        <f aca="false">IF($A71="","",SUMIFS(Sales!$E$5:$E$304,Sales!$B$5:$B$304,$A71,Sales!$J$5:$J$304,$B71,Sales!$K$5:$K$304,1))</f>
        <v/>
      </c>
      <c r="F71" s="34" t="str">
        <f aca="false">IF($A71="","",SUMIFS(Sales!$L$5:$L$304,Sales!$B$5:$B$304,$A71,Sales!$J$5:$J$304,$B71,Sales!$K$5:$K$304,1))</f>
        <v/>
      </c>
      <c r="G71" s="34" t="str">
        <f aca="false">IF($A71="","",N(Settings!$F$17))</f>
        <v/>
      </c>
      <c r="H71" s="35" t="str">
        <f aca="false">IF(OR($A71="",N(G71)=0),"",F71/G71)</f>
        <v/>
      </c>
      <c r="I71" s="34" t="str">
        <f aca="false">IF($A71="","",IF($D71="Flat rate",F71*N(Settings!$G$17),0))</f>
        <v/>
      </c>
      <c r="J71" s="34" t="str">
        <f aca="false">IF($A71="","",IF($D71="Tiered",MIN(F71,N(Settings!$H$17))*N(Settings!$I$17)+MAX(0,MIN(F71,N(Settings!$J$17))-N(Settings!$H$17))*N(Settings!$K$17)+MAX(0,F71-N(Settings!$J$17))*N(Settings!$L$17),0))</f>
        <v/>
      </c>
      <c r="K71" s="34" t="str">
        <f aca="false">IF($A71="","",IF($D71="Accelerator",MIN(F71,G71)*N(Settings!$G$17),0))</f>
        <v/>
      </c>
      <c r="L71" s="34" t="str">
        <f aca="false">IF($A71="","",IF($D71="Accelerator",MAX(0,F71-G71)*N(Settings!$M$17),0))</f>
        <v/>
      </c>
      <c r="M71" s="34" t="str">
        <f aca="false">IF($A71="","",I71+J71+K71+L71)</f>
        <v/>
      </c>
      <c r="N71" s="34" t="str">
        <f aca="false">IF(OR($A71="",Settings!$N$17=""),"",Settings!$N$17)</f>
        <v/>
      </c>
      <c r="O71" s="34" t="str">
        <f aca="false">IF($A71="","",IF(N71="",M71,MIN(M71,N71)))</f>
        <v/>
      </c>
      <c r="P71" s="34" t="str">
        <f aca="false">IF($A71="","",SUMIFS(Sales!$O$5:$O$304,Sales!$B$5:$B$304,$A71,Sales!$M$5:$M$304,$B71))</f>
        <v/>
      </c>
      <c r="Q71" s="34" t="str">
        <f aca="false">IF($A71="","",S70)</f>
        <v/>
      </c>
      <c r="R71" s="34" t="str">
        <f aca="false">IF($A71="","",MIN(O71,P71+Q71))</f>
        <v/>
      </c>
      <c r="S71" s="34" t="str">
        <f aca="false">IF($A71="","",P71+Q71-R71)</f>
        <v/>
      </c>
      <c r="T71" s="36" t="str">
        <f aca="false">IF($A71="","",O71-R71)</f>
        <v/>
      </c>
      <c r="U71" s="35" t="str">
        <f aca="false">IF($A71="","",IF(N(F71)=0,0,O71/F71))</f>
        <v/>
      </c>
    </row>
    <row r="72" customFormat="false" ht="15" hidden="false" customHeight="false" outlineLevel="0" collapsed="false">
      <c r="A72" s="32" t="str">
        <f aca="false">IF(Settings!$B$17="","",Settings!$B$17)</f>
        <v/>
      </c>
      <c r="B72" s="33" t="str">
        <f aca="false">IF($A72="","",7)</f>
        <v/>
      </c>
      <c r="C72" s="32" t="str">
        <f aca="false">IF($A72="","",INDEX(Settings!$Q$12:$Q$23,$B72))</f>
        <v/>
      </c>
      <c r="D72" s="32" t="str">
        <f aca="false">IF($A72="","",Settings!$D$17)</f>
        <v/>
      </c>
      <c r="E72" s="34" t="str">
        <f aca="false">IF($A72="","",SUMIFS(Sales!$E$5:$E$304,Sales!$B$5:$B$304,$A72,Sales!$J$5:$J$304,$B72,Sales!$K$5:$K$304,1))</f>
        <v/>
      </c>
      <c r="F72" s="34" t="str">
        <f aca="false">IF($A72="","",SUMIFS(Sales!$L$5:$L$304,Sales!$B$5:$B$304,$A72,Sales!$J$5:$J$304,$B72,Sales!$K$5:$K$304,1))</f>
        <v/>
      </c>
      <c r="G72" s="34" t="str">
        <f aca="false">IF($A72="","",N(Settings!$F$17))</f>
        <v/>
      </c>
      <c r="H72" s="35" t="str">
        <f aca="false">IF(OR($A72="",N(G72)=0),"",F72/G72)</f>
        <v/>
      </c>
      <c r="I72" s="34" t="str">
        <f aca="false">IF($A72="","",IF($D72="Flat rate",F72*N(Settings!$G$17),0))</f>
        <v/>
      </c>
      <c r="J72" s="34" t="str">
        <f aca="false">IF($A72="","",IF($D72="Tiered",MIN(F72,N(Settings!$H$17))*N(Settings!$I$17)+MAX(0,MIN(F72,N(Settings!$J$17))-N(Settings!$H$17))*N(Settings!$K$17)+MAX(0,F72-N(Settings!$J$17))*N(Settings!$L$17),0))</f>
        <v/>
      </c>
      <c r="K72" s="34" t="str">
        <f aca="false">IF($A72="","",IF($D72="Accelerator",MIN(F72,G72)*N(Settings!$G$17),0))</f>
        <v/>
      </c>
      <c r="L72" s="34" t="str">
        <f aca="false">IF($A72="","",IF($D72="Accelerator",MAX(0,F72-G72)*N(Settings!$M$17),0))</f>
        <v/>
      </c>
      <c r="M72" s="34" t="str">
        <f aca="false">IF($A72="","",I72+J72+K72+L72)</f>
        <v/>
      </c>
      <c r="N72" s="34" t="str">
        <f aca="false">IF(OR($A72="",Settings!$N$17=""),"",Settings!$N$17)</f>
        <v/>
      </c>
      <c r="O72" s="34" t="str">
        <f aca="false">IF($A72="","",IF(N72="",M72,MIN(M72,N72)))</f>
        <v/>
      </c>
      <c r="P72" s="34" t="str">
        <f aca="false">IF($A72="","",SUMIFS(Sales!$O$5:$O$304,Sales!$B$5:$B$304,$A72,Sales!$M$5:$M$304,$B72))</f>
        <v/>
      </c>
      <c r="Q72" s="34" t="str">
        <f aca="false">IF($A72="","",S71)</f>
        <v/>
      </c>
      <c r="R72" s="34" t="str">
        <f aca="false">IF($A72="","",MIN(O72,P72+Q72))</f>
        <v/>
      </c>
      <c r="S72" s="34" t="str">
        <f aca="false">IF($A72="","",P72+Q72-R72)</f>
        <v/>
      </c>
      <c r="T72" s="36" t="str">
        <f aca="false">IF($A72="","",O72-R72)</f>
        <v/>
      </c>
      <c r="U72" s="35" t="str">
        <f aca="false">IF($A72="","",IF(N(F72)=0,0,O72/F72))</f>
        <v/>
      </c>
    </row>
    <row r="73" customFormat="false" ht="15" hidden="false" customHeight="false" outlineLevel="0" collapsed="false">
      <c r="A73" s="32" t="str">
        <f aca="false">IF(Settings!$B$17="","",Settings!$B$17)</f>
        <v/>
      </c>
      <c r="B73" s="33" t="str">
        <f aca="false">IF($A73="","",8)</f>
        <v/>
      </c>
      <c r="C73" s="32" t="str">
        <f aca="false">IF($A73="","",INDEX(Settings!$Q$12:$Q$23,$B73))</f>
        <v/>
      </c>
      <c r="D73" s="32" t="str">
        <f aca="false">IF($A73="","",Settings!$D$17)</f>
        <v/>
      </c>
      <c r="E73" s="34" t="str">
        <f aca="false">IF($A73="","",SUMIFS(Sales!$E$5:$E$304,Sales!$B$5:$B$304,$A73,Sales!$J$5:$J$304,$B73,Sales!$K$5:$K$304,1))</f>
        <v/>
      </c>
      <c r="F73" s="34" t="str">
        <f aca="false">IF($A73="","",SUMIFS(Sales!$L$5:$L$304,Sales!$B$5:$B$304,$A73,Sales!$J$5:$J$304,$B73,Sales!$K$5:$K$304,1))</f>
        <v/>
      </c>
      <c r="G73" s="34" t="str">
        <f aca="false">IF($A73="","",N(Settings!$F$17))</f>
        <v/>
      </c>
      <c r="H73" s="35" t="str">
        <f aca="false">IF(OR($A73="",N(G73)=0),"",F73/G73)</f>
        <v/>
      </c>
      <c r="I73" s="34" t="str">
        <f aca="false">IF($A73="","",IF($D73="Flat rate",F73*N(Settings!$G$17),0))</f>
        <v/>
      </c>
      <c r="J73" s="34" t="str">
        <f aca="false">IF($A73="","",IF($D73="Tiered",MIN(F73,N(Settings!$H$17))*N(Settings!$I$17)+MAX(0,MIN(F73,N(Settings!$J$17))-N(Settings!$H$17))*N(Settings!$K$17)+MAX(0,F73-N(Settings!$J$17))*N(Settings!$L$17),0))</f>
        <v/>
      </c>
      <c r="K73" s="34" t="str">
        <f aca="false">IF($A73="","",IF($D73="Accelerator",MIN(F73,G73)*N(Settings!$G$17),0))</f>
        <v/>
      </c>
      <c r="L73" s="34" t="str">
        <f aca="false">IF($A73="","",IF($D73="Accelerator",MAX(0,F73-G73)*N(Settings!$M$17),0))</f>
        <v/>
      </c>
      <c r="M73" s="34" t="str">
        <f aca="false">IF($A73="","",I73+J73+K73+L73)</f>
        <v/>
      </c>
      <c r="N73" s="34" t="str">
        <f aca="false">IF(OR($A73="",Settings!$N$17=""),"",Settings!$N$17)</f>
        <v/>
      </c>
      <c r="O73" s="34" t="str">
        <f aca="false">IF($A73="","",IF(N73="",M73,MIN(M73,N73)))</f>
        <v/>
      </c>
      <c r="P73" s="34" t="str">
        <f aca="false">IF($A73="","",SUMIFS(Sales!$O$5:$O$304,Sales!$B$5:$B$304,$A73,Sales!$M$5:$M$304,$B73))</f>
        <v/>
      </c>
      <c r="Q73" s="34" t="str">
        <f aca="false">IF($A73="","",S72)</f>
        <v/>
      </c>
      <c r="R73" s="34" t="str">
        <f aca="false">IF($A73="","",MIN(O73,P73+Q73))</f>
        <v/>
      </c>
      <c r="S73" s="34" t="str">
        <f aca="false">IF($A73="","",P73+Q73-R73)</f>
        <v/>
      </c>
      <c r="T73" s="36" t="str">
        <f aca="false">IF($A73="","",O73-R73)</f>
        <v/>
      </c>
      <c r="U73" s="35" t="str">
        <f aca="false">IF($A73="","",IF(N(F73)=0,0,O73/F73))</f>
        <v/>
      </c>
    </row>
    <row r="74" customFormat="false" ht="15" hidden="false" customHeight="false" outlineLevel="0" collapsed="false">
      <c r="A74" s="32" t="str">
        <f aca="false">IF(Settings!$B$17="","",Settings!$B$17)</f>
        <v/>
      </c>
      <c r="B74" s="33" t="str">
        <f aca="false">IF($A74="","",9)</f>
        <v/>
      </c>
      <c r="C74" s="32" t="str">
        <f aca="false">IF($A74="","",INDEX(Settings!$Q$12:$Q$23,$B74))</f>
        <v/>
      </c>
      <c r="D74" s="32" t="str">
        <f aca="false">IF($A74="","",Settings!$D$17)</f>
        <v/>
      </c>
      <c r="E74" s="34" t="str">
        <f aca="false">IF($A74="","",SUMIFS(Sales!$E$5:$E$304,Sales!$B$5:$B$304,$A74,Sales!$J$5:$J$304,$B74,Sales!$K$5:$K$304,1))</f>
        <v/>
      </c>
      <c r="F74" s="34" t="str">
        <f aca="false">IF($A74="","",SUMIFS(Sales!$L$5:$L$304,Sales!$B$5:$B$304,$A74,Sales!$J$5:$J$304,$B74,Sales!$K$5:$K$304,1))</f>
        <v/>
      </c>
      <c r="G74" s="34" t="str">
        <f aca="false">IF($A74="","",N(Settings!$F$17))</f>
        <v/>
      </c>
      <c r="H74" s="35" t="str">
        <f aca="false">IF(OR($A74="",N(G74)=0),"",F74/G74)</f>
        <v/>
      </c>
      <c r="I74" s="34" t="str">
        <f aca="false">IF($A74="","",IF($D74="Flat rate",F74*N(Settings!$G$17),0))</f>
        <v/>
      </c>
      <c r="J74" s="34" t="str">
        <f aca="false">IF($A74="","",IF($D74="Tiered",MIN(F74,N(Settings!$H$17))*N(Settings!$I$17)+MAX(0,MIN(F74,N(Settings!$J$17))-N(Settings!$H$17))*N(Settings!$K$17)+MAX(0,F74-N(Settings!$J$17))*N(Settings!$L$17),0))</f>
        <v/>
      </c>
      <c r="K74" s="34" t="str">
        <f aca="false">IF($A74="","",IF($D74="Accelerator",MIN(F74,G74)*N(Settings!$G$17),0))</f>
        <v/>
      </c>
      <c r="L74" s="34" t="str">
        <f aca="false">IF($A74="","",IF($D74="Accelerator",MAX(0,F74-G74)*N(Settings!$M$17),0))</f>
        <v/>
      </c>
      <c r="M74" s="34" t="str">
        <f aca="false">IF($A74="","",I74+J74+K74+L74)</f>
        <v/>
      </c>
      <c r="N74" s="34" t="str">
        <f aca="false">IF(OR($A74="",Settings!$N$17=""),"",Settings!$N$17)</f>
        <v/>
      </c>
      <c r="O74" s="34" t="str">
        <f aca="false">IF($A74="","",IF(N74="",M74,MIN(M74,N74)))</f>
        <v/>
      </c>
      <c r="P74" s="34" t="str">
        <f aca="false">IF($A74="","",SUMIFS(Sales!$O$5:$O$304,Sales!$B$5:$B$304,$A74,Sales!$M$5:$M$304,$B74))</f>
        <v/>
      </c>
      <c r="Q74" s="34" t="str">
        <f aca="false">IF($A74="","",S73)</f>
        <v/>
      </c>
      <c r="R74" s="34" t="str">
        <f aca="false">IF($A74="","",MIN(O74,P74+Q74))</f>
        <v/>
      </c>
      <c r="S74" s="34" t="str">
        <f aca="false">IF($A74="","",P74+Q74-R74)</f>
        <v/>
      </c>
      <c r="T74" s="36" t="str">
        <f aca="false">IF($A74="","",O74-R74)</f>
        <v/>
      </c>
      <c r="U74" s="35" t="str">
        <f aca="false">IF($A74="","",IF(N(F74)=0,0,O74/F74))</f>
        <v/>
      </c>
    </row>
    <row r="75" customFormat="false" ht="15" hidden="false" customHeight="false" outlineLevel="0" collapsed="false">
      <c r="A75" s="32" t="str">
        <f aca="false">IF(Settings!$B$17="","",Settings!$B$17)</f>
        <v/>
      </c>
      <c r="B75" s="33" t="str">
        <f aca="false">IF($A75="","",10)</f>
        <v/>
      </c>
      <c r="C75" s="32" t="str">
        <f aca="false">IF($A75="","",INDEX(Settings!$Q$12:$Q$23,$B75))</f>
        <v/>
      </c>
      <c r="D75" s="32" t="str">
        <f aca="false">IF($A75="","",Settings!$D$17)</f>
        <v/>
      </c>
      <c r="E75" s="34" t="str">
        <f aca="false">IF($A75="","",SUMIFS(Sales!$E$5:$E$304,Sales!$B$5:$B$304,$A75,Sales!$J$5:$J$304,$B75,Sales!$K$5:$K$304,1))</f>
        <v/>
      </c>
      <c r="F75" s="34" t="str">
        <f aca="false">IF($A75="","",SUMIFS(Sales!$L$5:$L$304,Sales!$B$5:$B$304,$A75,Sales!$J$5:$J$304,$B75,Sales!$K$5:$K$304,1))</f>
        <v/>
      </c>
      <c r="G75" s="34" t="str">
        <f aca="false">IF($A75="","",N(Settings!$F$17))</f>
        <v/>
      </c>
      <c r="H75" s="35" t="str">
        <f aca="false">IF(OR($A75="",N(G75)=0),"",F75/G75)</f>
        <v/>
      </c>
      <c r="I75" s="34" t="str">
        <f aca="false">IF($A75="","",IF($D75="Flat rate",F75*N(Settings!$G$17),0))</f>
        <v/>
      </c>
      <c r="J75" s="34" t="str">
        <f aca="false">IF($A75="","",IF($D75="Tiered",MIN(F75,N(Settings!$H$17))*N(Settings!$I$17)+MAX(0,MIN(F75,N(Settings!$J$17))-N(Settings!$H$17))*N(Settings!$K$17)+MAX(0,F75-N(Settings!$J$17))*N(Settings!$L$17),0))</f>
        <v/>
      </c>
      <c r="K75" s="34" t="str">
        <f aca="false">IF($A75="","",IF($D75="Accelerator",MIN(F75,G75)*N(Settings!$G$17),0))</f>
        <v/>
      </c>
      <c r="L75" s="34" t="str">
        <f aca="false">IF($A75="","",IF($D75="Accelerator",MAX(0,F75-G75)*N(Settings!$M$17),0))</f>
        <v/>
      </c>
      <c r="M75" s="34" t="str">
        <f aca="false">IF($A75="","",I75+J75+K75+L75)</f>
        <v/>
      </c>
      <c r="N75" s="34" t="str">
        <f aca="false">IF(OR($A75="",Settings!$N$17=""),"",Settings!$N$17)</f>
        <v/>
      </c>
      <c r="O75" s="34" t="str">
        <f aca="false">IF($A75="","",IF(N75="",M75,MIN(M75,N75)))</f>
        <v/>
      </c>
      <c r="P75" s="34" t="str">
        <f aca="false">IF($A75="","",SUMIFS(Sales!$O$5:$O$304,Sales!$B$5:$B$304,$A75,Sales!$M$5:$M$304,$B75))</f>
        <v/>
      </c>
      <c r="Q75" s="34" t="str">
        <f aca="false">IF($A75="","",S74)</f>
        <v/>
      </c>
      <c r="R75" s="34" t="str">
        <f aca="false">IF($A75="","",MIN(O75,P75+Q75))</f>
        <v/>
      </c>
      <c r="S75" s="34" t="str">
        <f aca="false">IF($A75="","",P75+Q75-R75)</f>
        <v/>
      </c>
      <c r="T75" s="36" t="str">
        <f aca="false">IF($A75="","",O75-R75)</f>
        <v/>
      </c>
      <c r="U75" s="35" t="str">
        <f aca="false">IF($A75="","",IF(N(F75)=0,0,O75/F75))</f>
        <v/>
      </c>
    </row>
    <row r="76" customFormat="false" ht="15" hidden="false" customHeight="false" outlineLevel="0" collapsed="false">
      <c r="A76" s="32" t="str">
        <f aca="false">IF(Settings!$B$17="","",Settings!$B$17)</f>
        <v/>
      </c>
      <c r="B76" s="33" t="str">
        <f aca="false">IF($A76="","",11)</f>
        <v/>
      </c>
      <c r="C76" s="32" t="str">
        <f aca="false">IF($A76="","",INDEX(Settings!$Q$12:$Q$23,$B76))</f>
        <v/>
      </c>
      <c r="D76" s="32" t="str">
        <f aca="false">IF($A76="","",Settings!$D$17)</f>
        <v/>
      </c>
      <c r="E76" s="34" t="str">
        <f aca="false">IF($A76="","",SUMIFS(Sales!$E$5:$E$304,Sales!$B$5:$B$304,$A76,Sales!$J$5:$J$304,$B76,Sales!$K$5:$K$304,1))</f>
        <v/>
      </c>
      <c r="F76" s="34" t="str">
        <f aca="false">IF($A76="","",SUMIFS(Sales!$L$5:$L$304,Sales!$B$5:$B$304,$A76,Sales!$J$5:$J$304,$B76,Sales!$K$5:$K$304,1))</f>
        <v/>
      </c>
      <c r="G76" s="34" t="str">
        <f aca="false">IF($A76="","",N(Settings!$F$17))</f>
        <v/>
      </c>
      <c r="H76" s="35" t="str">
        <f aca="false">IF(OR($A76="",N(G76)=0),"",F76/G76)</f>
        <v/>
      </c>
      <c r="I76" s="34" t="str">
        <f aca="false">IF($A76="","",IF($D76="Flat rate",F76*N(Settings!$G$17),0))</f>
        <v/>
      </c>
      <c r="J76" s="34" t="str">
        <f aca="false">IF($A76="","",IF($D76="Tiered",MIN(F76,N(Settings!$H$17))*N(Settings!$I$17)+MAX(0,MIN(F76,N(Settings!$J$17))-N(Settings!$H$17))*N(Settings!$K$17)+MAX(0,F76-N(Settings!$J$17))*N(Settings!$L$17),0))</f>
        <v/>
      </c>
      <c r="K76" s="34" t="str">
        <f aca="false">IF($A76="","",IF($D76="Accelerator",MIN(F76,G76)*N(Settings!$G$17),0))</f>
        <v/>
      </c>
      <c r="L76" s="34" t="str">
        <f aca="false">IF($A76="","",IF($D76="Accelerator",MAX(0,F76-G76)*N(Settings!$M$17),0))</f>
        <v/>
      </c>
      <c r="M76" s="34" t="str">
        <f aca="false">IF($A76="","",I76+J76+K76+L76)</f>
        <v/>
      </c>
      <c r="N76" s="34" t="str">
        <f aca="false">IF(OR($A76="",Settings!$N$17=""),"",Settings!$N$17)</f>
        <v/>
      </c>
      <c r="O76" s="34" t="str">
        <f aca="false">IF($A76="","",IF(N76="",M76,MIN(M76,N76)))</f>
        <v/>
      </c>
      <c r="P76" s="34" t="str">
        <f aca="false">IF($A76="","",SUMIFS(Sales!$O$5:$O$304,Sales!$B$5:$B$304,$A76,Sales!$M$5:$M$304,$B76))</f>
        <v/>
      </c>
      <c r="Q76" s="34" t="str">
        <f aca="false">IF($A76="","",S75)</f>
        <v/>
      </c>
      <c r="R76" s="34" t="str">
        <f aca="false">IF($A76="","",MIN(O76,P76+Q76))</f>
        <v/>
      </c>
      <c r="S76" s="34" t="str">
        <f aca="false">IF($A76="","",P76+Q76-R76)</f>
        <v/>
      </c>
      <c r="T76" s="36" t="str">
        <f aca="false">IF($A76="","",O76-R76)</f>
        <v/>
      </c>
      <c r="U76" s="35" t="str">
        <f aca="false">IF($A76="","",IF(N(F76)=0,0,O76/F76))</f>
        <v/>
      </c>
    </row>
    <row r="77" customFormat="false" ht="15" hidden="false" customHeight="false" outlineLevel="0" collapsed="false">
      <c r="A77" s="37" t="str">
        <f aca="false">IF(Settings!$B$17="","",Settings!$B$17)</f>
        <v/>
      </c>
      <c r="B77" s="38" t="str">
        <f aca="false">IF($A77="","",12)</f>
        <v/>
      </c>
      <c r="C77" s="37" t="str">
        <f aca="false">IF($A77="","",INDEX(Settings!$Q$12:$Q$23,$B77))</f>
        <v/>
      </c>
      <c r="D77" s="37" t="str">
        <f aca="false">IF($A77="","",Settings!$D$17)</f>
        <v/>
      </c>
      <c r="E77" s="39" t="str">
        <f aca="false">IF($A77="","",SUMIFS(Sales!$E$5:$E$304,Sales!$B$5:$B$304,$A77,Sales!$J$5:$J$304,$B77,Sales!$K$5:$K$304,1))</f>
        <v/>
      </c>
      <c r="F77" s="39" t="str">
        <f aca="false">IF($A77="","",SUMIFS(Sales!$L$5:$L$304,Sales!$B$5:$B$304,$A77,Sales!$J$5:$J$304,$B77,Sales!$K$5:$K$304,1))</f>
        <v/>
      </c>
      <c r="G77" s="39" t="str">
        <f aca="false">IF($A77="","",N(Settings!$F$17))</f>
        <v/>
      </c>
      <c r="H77" s="40" t="str">
        <f aca="false">IF(OR($A77="",N(G77)=0),"",F77/G77)</f>
        <v/>
      </c>
      <c r="I77" s="39" t="str">
        <f aca="false">IF($A77="","",IF($D77="Flat rate",F77*N(Settings!$G$17),0))</f>
        <v/>
      </c>
      <c r="J77" s="39" t="str">
        <f aca="false">IF($A77="","",IF($D77="Tiered",MIN(F77,N(Settings!$H$17))*N(Settings!$I$17)+MAX(0,MIN(F77,N(Settings!$J$17))-N(Settings!$H$17))*N(Settings!$K$17)+MAX(0,F77-N(Settings!$J$17))*N(Settings!$L$17),0))</f>
        <v/>
      </c>
      <c r="K77" s="39" t="str">
        <f aca="false">IF($A77="","",IF($D77="Accelerator",MIN(F77,G77)*N(Settings!$G$17),0))</f>
        <v/>
      </c>
      <c r="L77" s="39" t="str">
        <f aca="false">IF($A77="","",IF($D77="Accelerator",MAX(0,F77-G77)*N(Settings!$M$17),0))</f>
        <v/>
      </c>
      <c r="M77" s="39" t="str">
        <f aca="false">IF($A77="","",I77+J77+K77+L77)</f>
        <v/>
      </c>
      <c r="N77" s="39" t="str">
        <f aca="false">IF(OR($A77="",Settings!$N$17=""),"",Settings!$N$17)</f>
        <v/>
      </c>
      <c r="O77" s="39" t="str">
        <f aca="false">IF($A77="","",IF(N77="",M77,MIN(M77,N77)))</f>
        <v/>
      </c>
      <c r="P77" s="39" t="str">
        <f aca="false">IF($A77="","",SUMIFS(Sales!$O$5:$O$304,Sales!$B$5:$B$304,$A77,Sales!$M$5:$M$304,$B77))</f>
        <v/>
      </c>
      <c r="Q77" s="39" t="str">
        <f aca="false">IF($A77="","",S76)</f>
        <v/>
      </c>
      <c r="R77" s="39" t="str">
        <f aca="false">IF($A77="","",MIN(O77,P77+Q77))</f>
        <v/>
      </c>
      <c r="S77" s="39" t="str">
        <f aca="false">IF($A77="","",P77+Q77-R77)</f>
        <v/>
      </c>
      <c r="T77" s="41" t="str">
        <f aca="false">IF($A77="","",O77-R77)</f>
        <v/>
      </c>
      <c r="U77" s="40" t="str">
        <f aca="false">IF($A77="","",IF(N(F77)=0,0,O77/F77))</f>
        <v/>
      </c>
    </row>
    <row r="78" customFormat="false" ht="15" hidden="false" customHeight="false" outlineLevel="0" collapsed="false">
      <c r="A78" s="32" t="str">
        <f aca="false">IF(Settings!$B$18="","",Settings!$B$18)</f>
        <v/>
      </c>
      <c r="B78" s="33" t="str">
        <f aca="false">IF($A78="","",1)</f>
        <v/>
      </c>
      <c r="C78" s="32" t="str">
        <f aca="false">IF($A78="","",INDEX(Settings!$Q$12:$Q$23,$B78))</f>
        <v/>
      </c>
      <c r="D78" s="32" t="str">
        <f aca="false">IF($A78="","",Settings!$D$18)</f>
        <v/>
      </c>
      <c r="E78" s="34" t="str">
        <f aca="false">IF($A78="","",SUMIFS(Sales!$E$5:$E$304,Sales!$B$5:$B$304,$A78,Sales!$J$5:$J$304,$B78,Sales!$K$5:$K$304,1))</f>
        <v/>
      </c>
      <c r="F78" s="34" t="str">
        <f aca="false">IF($A78="","",SUMIFS(Sales!$L$5:$L$304,Sales!$B$5:$B$304,$A78,Sales!$J$5:$J$304,$B78,Sales!$K$5:$K$304,1))</f>
        <v/>
      </c>
      <c r="G78" s="34" t="str">
        <f aca="false">IF($A78="","",N(Settings!$F$18))</f>
        <v/>
      </c>
      <c r="H78" s="35" t="str">
        <f aca="false">IF(OR($A78="",N(G78)=0),"",F78/G78)</f>
        <v/>
      </c>
      <c r="I78" s="34" t="str">
        <f aca="false">IF($A78="","",IF($D78="Flat rate",F78*N(Settings!$G$18),0))</f>
        <v/>
      </c>
      <c r="J78" s="34" t="str">
        <f aca="false">IF($A78="","",IF($D78="Tiered",MIN(F78,N(Settings!$H$18))*N(Settings!$I$18)+MAX(0,MIN(F78,N(Settings!$J$18))-N(Settings!$H$18))*N(Settings!$K$18)+MAX(0,F78-N(Settings!$J$18))*N(Settings!$L$18),0))</f>
        <v/>
      </c>
      <c r="K78" s="34" t="str">
        <f aca="false">IF($A78="","",IF($D78="Accelerator",MIN(F78,G78)*N(Settings!$G$18),0))</f>
        <v/>
      </c>
      <c r="L78" s="34" t="str">
        <f aca="false">IF($A78="","",IF($D78="Accelerator",MAX(0,F78-G78)*N(Settings!$M$18),0))</f>
        <v/>
      </c>
      <c r="M78" s="34" t="str">
        <f aca="false">IF($A78="","",I78+J78+K78+L78)</f>
        <v/>
      </c>
      <c r="N78" s="34" t="str">
        <f aca="false">IF(OR($A78="",Settings!$N$18=""),"",Settings!$N$18)</f>
        <v/>
      </c>
      <c r="O78" s="34" t="str">
        <f aca="false">IF($A78="","",IF(N78="",M78,MIN(M78,N78)))</f>
        <v/>
      </c>
      <c r="P78" s="34" t="str">
        <f aca="false">IF($A78="","",SUMIFS(Sales!$O$5:$O$304,Sales!$B$5:$B$304,$A78,Sales!$M$5:$M$304,$B78))</f>
        <v/>
      </c>
      <c r="Q78" s="34" t="str">
        <f aca="false">IF($A78="","",0)</f>
        <v/>
      </c>
      <c r="R78" s="34" t="str">
        <f aca="false">IF($A78="","",MIN(O78,P78+Q78))</f>
        <v/>
      </c>
      <c r="S78" s="34" t="str">
        <f aca="false">IF($A78="","",P78+Q78-R78)</f>
        <v/>
      </c>
      <c r="T78" s="36" t="str">
        <f aca="false">IF($A78="","",O78-R78)</f>
        <v/>
      </c>
      <c r="U78" s="35" t="str">
        <f aca="false">IF($A78="","",IF(N(F78)=0,0,O78/F78))</f>
        <v/>
      </c>
    </row>
    <row r="79" customFormat="false" ht="15" hidden="false" customHeight="false" outlineLevel="0" collapsed="false">
      <c r="A79" s="32" t="str">
        <f aca="false">IF(Settings!$B$18="","",Settings!$B$18)</f>
        <v/>
      </c>
      <c r="B79" s="33" t="str">
        <f aca="false">IF($A79="","",2)</f>
        <v/>
      </c>
      <c r="C79" s="32" t="str">
        <f aca="false">IF($A79="","",INDEX(Settings!$Q$12:$Q$23,$B79))</f>
        <v/>
      </c>
      <c r="D79" s="32" t="str">
        <f aca="false">IF($A79="","",Settings!$D$18)</f>
        <v/>
      </c>
      <c r="E79" s="34" t="str">
        <f aca="false">IF($A79="","",SUMIFS(Sales!$E$5:$E$304,Sales!$B$5:$B$304,$A79,Sales!$J$5:$J$304,$B79,Sales!$K$5:$K$304,1))</f>
        <v/>
      </c>
      <c r="F79" s="34" t="str">
        <f aca="false">IF($A79="","",SUMIFS(Sales!$L$5:$L$304,Sales!$B$5:$B$304,$A79,Sales!$J$5:$J$304,$B79,Sales!$K$5:$K$304,1))</f>
        <v/>
      </c>
      <c r="G79" s="34" t="str">
        <f aca="false">IF($A79="","",N(Settings!$F$18))</f>
        <v/>
      </c>
      <c r="H79" s="35" t="str">
        <f aca="false">IF(OR($A79="",N(G79)=0),"",F79/G79)</f>
        <v/>
      </c>
      <c r="I79" s="34" t="str">
        <f aca="false">IF($A79="","",IF($D79="Flat rate",F79*N(Settings!$G$18),0))</f>
        <v/>
      </c>
      <c r="J79" s="34" t="str">
        <f aca="false">IF($A79="","",IF($D79="Tiered",MIN(F79,N(Settings!$H$18))*N(Settings!$I$18)+MAX(0,MIN(F79,N(Settings!$J$18))-N(Settings!$H$18))*N(Settings!$K$18)+MAX(0,F79-N(Settings!$J$18))*N(Settings!$L$18),0))</f>
        <v/>
      </c>
      <c r="K79" s="34" t="str">
        <f aca="false">IF($A79="","",IF($D79="Accelerator",MIN(F79,G79)*N(Settings!$G$18),0))</f>
        <v/>
      </c>
      <c r="L79" s="34" t="str">
        <f aca="false">IF($A79="","",IF($D79="Accelerator",MAX(0,F79-G79)*N(Settings!$M$18),0))</f>
        <v/>
      </c>
      <c r="M79" s="34" t="str">
        <f aca="false">IF($A79="","",I79+J79+K79+L79)</f>
        <v/>
      </c>
      <c r="N79" s="34" t="str">
        <f aca="false">IF(OR($A79="",Settings!$N$18=""),"",Settings!$N$18)</f>
        <v/>
      </c>
      <c r="O79" s="34" t="str">
        <f aca="false">IF($A79="","",IF(N79="",M79,MIN(M79,N79)))</f>
        <v/>
      </c>
      <c r="P79" s="34" t="str">
        <f aca="false">IF($A79="","",SUMIFS(Sales!$O$5:$O$304,Sales!$B$5:$B$304,$A79,Sales!$M$5:$M$304,$B79))</f>
        <v/>
      </c>
      <c r="Q79" s="34" t="str">
        <f aca="false">IF($A79="","",S78)</f>
        <v/>
      </c>
      <c r="R79" s="34" t="str">
        <f aca="false">IF($A79="","",MIN(O79,P79+Q79))</f>
        <v/>
      </c>
      <c r="S79" s="34" t="str">
        <f aca="false">IF($A79="","",P79+Q79-R79)</f>
        <v/>
      </c>
      <c r="T79" s="36" t="str">
        <f aca="false">IF($A79="","",O79-R79)</f>
        <v/>
      </c>
      <c r="U79" s="35" t="str">
        <f aca="false">IF($A79="","",IF(N(F79)=0,0,O79/F79))</f>
        <v/>
      </c>
    </row>
    <row r="80" customFormat="false" ht="15" hidden="false" customHeight="false" outlineLevel="0" collapsed="false">
      <c r="A80" s="32" t="str">
        <f aca="false">IF(Settings!$B$18="","",Settings!$B$18)</f>
        <v/>
      </c>
      <c r="B80" s="33" t="str">
        <f aca="false">IF($A80="","",3)</f>
        <v/>
      </c>
      <c r="C80" s="32" t="str">
        <f aca="false">IF($A80="","",INDEX(Settings!$Q$12:$Q$23,$B80))</f>
        <v/>
      </c>
      <c r="D80" s="32" t="str">
        <f aca="false">IF($A80="","",Settings!$D$18)</f>
        <v/>
      </c>
      <c r="E80" s="34" t="str">
        <f aca="false">IF($A80="","",SUMIFS(Sales!$E$5:$E$304,Sales!$B$5:$B$304,$A80,Sales!$J$5:$J$304,$B80,Sales!$K$5:$K$304,1))</f>
        <v/>
      </c>
      <c r="F80" s="34" t="str">
        <f aca="false">IF($A80="","",SUMIFS(Sales!$L$5:$L$304,Sales!$B$5:$B$304,$A80,Sales!$J$5:$J$304,$B80,Sales!$K$5:$K$304,1))</f>
        <v/>
      </c>
      <c r="G80" s="34" t="str">
        <f aca="false">IF($A80="","",N(Settings!$F$18))</f>
        <v/>
      </c>
      <c r="H80" s="35" t="str">
        <f aca="false">IF(OR($A80="",N(G80)=0),"",F80/G80)</f>
        <v/>
      </c>
      <c r="I80" s="34" t="str">
        <f aca="false">IF($A80="","",IF($D80="Flat rate",F80*N(Settings!$G$18),0))</f>
        <v/>
      </c>
      <c r="J80" s="34" t="str">
        <f aca="false">IF($A80="","",IF($D80="Tiered",MIN(F80,N(Settings!$H$18))*N(Settings!$I$18)+MAX(0,MIN(F80,N(Settings!$J$18))-N(Settings!$H$18))*N(Settings!$K$18)+MAX(0,F80-N(Settings!$J$18))*N(Settings!$L$18),0))</f>
        <v/>
      </c>
      <c r="K80" s="34" t="str">
        <f aca="false">IF($A80="","",IF($D80="Accelerator",MIN(F80,G80)*N(Settings!$G$18),0))</f>
        <v/>
      </c>
      <c r="L80" s="34" t="str">
        <f aca="false">IF($A80="","",IF($D80="Accelerator",MAX(0,F80-G80)*N(Settings!$M$18),0))</f>
        <v/>
      </c>
      <c r="M80" s="34" t="str">
        <f aca="false">IF($A80="","",I80+J80+K80+L80)</f>
        <v/>
      </c>
      <c r="N80" s="34" t="str">
        <f aca="false">IF(OR($A80="",Settings!$N$18=""),"",Settings!$N$18)</f>
        <v/>
      </c>
      <c r="O80" s="34" t="str">
        <f aca="false">IF($A80="","",IF(N80="",M80,MIN(M80,N80)))</f>
        <v/>
      </c>
      <c r="P80" s="34" t="str">
        <f aca="false">IF($A80="","",SUMIFS(Sales!$O$5:$O$304,Sales!$B$5:$B$304,$A80,Sales!$M$5:$M$304,$B80))</f>
        <v/>
      </c>
      <c r="Q80" s="34" t="str">
        <f aca="false">IF($A80="","",S79)</f>
        <v/>
      </c>
      <c r="R80" s="34" t="str">
        <f aca="false">IF($A80="","",MIN(O80,P80+Q80))</f>
        <v/>
      </c>
      <c r="S80" s="34" t="str">
        <f aca="false">IF($A80="","",P80+Q80-R80)</f>
        <v/>
      </c>
      <c r="T80" s="36" t="str">
        <f aca="false">IF($A80="","",O80-R80)</f>
        <v/>
      </c>
      <c r="U80" s="35" t="str">
        <f aca="false">IF($A80="","",IF(N(F80)=0,0,O80/F80))</f>
        <v/>
      </c>
    </row>
    <row r="81" customFormat="false" ht="15" hidden="false" customHeight="false" outlineLevel="0" collapsed="false">
      <c r="A81" s="32" t="str">
        <f aca="false">IF(Settings!$B$18="","",Settings!$B$18)</f>
        <v/>
      </c>
      <c r="B81" s="33" t="str">
        <f aca="false">IF($A81="","",4)</f>
        <v/>
      </c>
      <c r="C81" s="32" t="str">
        <f aca="false">IF($A81="","",INDEX(Settings!$Q$12:$Q$23,$B81))</f>
        <v/>
      </c>
      <c r="D81" s="32" t="str">
        <f aca="false">IF($A81="","",Settings!$D$18)</f>
        <v/>
      </c>
      <c r="E81" s="34" t="str">
        <f aca="false">IF($A81="","",SUMIFS(Sales!$E$5:$E$304,Sales!$B$5:$B$304,$A81,Sales!$J$5:$J$304,$B81,Sales!$K$5:$K$304,1))</f>
        <v/>
      </c>
      <c r="F81" s="34" t="str">
        <f aca="false">IF($A81="","",SUMIFS(Sales!$L$5:$L$304,Sales!$B$5:$B$304,$A81,Sales!$J$5:$J$304,$B81,Sales!$K$5:$K$304,1))</f>
        <v/>
      </c>
      <c r="G81" s="34" t="str">
        <f aca="false">IF($A81="","",N(Settings!$F$18))</f>
        <v/>
      </c>
      <c r="H81" s="35" t="str">
        <f aca="false">IF(OR($A81="",N(G81)=0),"",F81/G81)</f>
        <v/>
      </c>
      <c r="I81" s="34" t="str">
        <f aca="false">IF($A81="","",IF($D81="Flat rate",F81*N(Settings!$G$18),0))</f>
        <v/>
      </c>
      <c r="J81" s="34" t="str">
        <f aca="false">IF($A81="","",IF($D81="Tiered",MIN(F81,N(Settings!$H$18))*N(Settings!$I$18)+MAX(0,MIN(F81,N(Settings!$J$18))-N(Settings!$H$18))*N(Settings!$K$18)+MAX(0,F81-N(Settings!$J$18))*N(Settings!$L$18),0))</f>
        <v/>
      </c>
      <c r="K81" s="34" t="str">
        <f aca="false">IF($A81="","",IF($D81="Accelerator",MIN(F81,G81)*N(Settings!$G$18),0))</f>
        <v/>
      </c>
      <c r="L81" s="34" t="str">
        <f aca="false">IF($A81="","",IF($D81="Accelerator",MAX(0,F81-G81)*N(Settings!$M$18),0))</f>
        <v/>
      </c>
      <c r="M81" s="34" t="str">
        <f aca="false">IF($A81="","",I81+J81+K81+L81)</f>
        <v/>
      </c>
      <c r="N81" s="34" t="str">
        <f aca="false">IF(OR($A81="",Settings!$N$18=""),"",Settings!$N$18)</f>
        <v/>
      </c>
      <c r="O81" s="34" t="str">
        <f aca="false">IF($A81="","",IF(N81="",M81,MIN(M81,N81)))</f>
        <v/>
      </c>
      <c r="P81" s="34" t="str">
        <f aca="false">IF($A81="","",SUMIFS(Sales!$O$5:$O$304,Sales!$B$5:$B$304,$A81,Sales!$M$5:$M$304,$B81))</f>
        <v/>
      </c>
      <c r="Q81" s="34" t="str">
        <f aca="false">IF($A81="","",S80)</f>
        <v/>
      </c>
      <c r="R81" s="34" t="str">
        <f aca="false">IF($A81="","",MIN(O81,P81+Q81))</f>
        <v/>
      </c>
      <c r="S81" s="34" t="str">
        <f aca="false">IF($A81="","",P81+Q81-R81)</f>
        <v/>
      </c>
      <c r="T81" s="36" t="str">
        <f aca="false">IF($A81="","",O81-R81)</f>
        <v/>
      </c>
      <c r="U81" s="35" t="str">
        <f aca="false">IF($A81="","",IF(N(F81)=0,0,O81/F81))</f>
        <v/>
      </c>
    </row>
    <row r="82" customFormat="false" ht="15" hidden="false" customHeight="false" outlineLevel="0" collapsed="false">
      <c r="A82" s="32" t="str">
        <f aca="false">IF(Settings!$B$18="","",Settings!$B$18)</f>
        <v/>
      </c>
      <c r="B82" s="33" t="str">
        <f aca="false">IF($A82="","",5)</f>
        <v/>
      </c>
      <c r="C82" s="32" t="str">
        <f aca="false">IF($A82="","",INDEX(Settings!$Q$12:$Q$23,$B82))</f>
        <v/>
      </c>
      <c r="D82" s="32" t="str">
        <f aca="false">IF($A82="","",Settings!$D$18)</f>
        <v/>
      </c>
      <c r="E82" s="34" t="str">
        <f aca="false">IF($A82="","",SUMIFS(Sales!$E$5:$E$304,Sales!$B$5:$B$304,$A82,Sales!$J$5:$J$304,$B82,Sales!$K$5:$K$304,1))</f>
        <v/>
      </c>
      <c r="F82" s="34" t="str">
        <f aca="false">IF($A82="","",SUMIFS(Sales!$L$5:$L$304,Sales!$B$5:$B$304,$A82,Sales!$J$5:$J$304,$B82,Sales!$K$5:$K$304,1))</f>
        <v/>
      </c>
      <c r="G82" s="34" t="str">
        <f aca="false">IF($A82="","",N(Settings!$F$18))</f>
        <v/>
      </c>
      <c r="H82" s="35" t="str">
        <f aca="false">IF(OR($A82="",N(G82)=0),"",F82/G82)</f>
        <v/>
      </c>
      <c r="I82" s="34" t="str">
        <f aca="false">IF($A82="","",IF($D82="Flat rate",F82*N(Settings!$G$18),0))</f>
        <v/>
      </c>
      <c r="J82" s="34" t="str">
        <f aca="false">IF($A82="","",IF($D82="Tiered",MIN(F82,N(Settings!$H$18))*N(Settings!$I$18)+MAX(0,MIN(F82,N(Settings!$J$18))-N(Settings!$H$18))*N(Settings!$K$18)+MAX(0,F82-N(Settings!$J$18))*N(Settings!$L$18),0))</f>
        <v/>
      </c>
      <c r="K82" s="34" t="str">
        <f aca="false">IF($A82="","",IF($D82="Accelerator",MIN(F82,G82)*N(Settings!$G$18),0))</f>
        <v/>
      </c>
      <c r="L82" s="34" t="str">
        <f aca="false">IF($A82="","",IF($D82="Accelerator",MAX(0,F82-G82)*N(Settings!$M$18),0))</f>
        <v/>
      </c>
      <c r="M82" s="34" t="str">
        <f aca="false">IF($A82="","",I82+J82+K82+L82)</f>
        <v/>
      </c>
      <c r="N82" s="34" t="str">
        <f aca="false">IF(OR($A82="",Settings!$N$18=""),"",Settings!$N$18)</f>
        <v/>
      </c>
      <c r="O82" s="34" t="str">
        <f aca="false">IF($A82="","",IF(N82="",M82,MIN(M82,N82)))</f>
        <v/>
      </c>
      <c r="P82" s="34" t="str">
        <f aca="false">IF($A82="","",SUMIFS(Sales!$O$5:$O$304,Sales!$B$5:$B$304,$A82,Sales!$M$5:$M$304,$B82))</f>
        <v/>
      </c>
      <c r="Q82" s="34" t="str">
        <f aca="false">IF($A82="","",S81)</f>
        <v/>
      </c>
      <c r="R82" s="34" t="str">
        <f aca="false">IF($A82="","",MIN(O82,P82+Q82))</f>
        <v/>
      </c>
      <c r="S82" s="34" t="str">
        <f aca="false">IF($A82="","",P82+Q82-R82)</f>
        <v/>
      </c>
      <c r="T82" s="36" t="str">
        <f aca="false">IF($A82="","",O82-R82)</f>
        <v/>
      </c>
      <c r="U82" s="35" t="str">
        <f aca="false">IF($A82="","",IF(N(F82)=0,0,O82/F82))</f>
        <v/>
      </c>
    </row>
    <row r="83" customFormat="false" ht="15" hidden="false" customHeight="false" outlineLevel="0" collapsed="false">
      <c r="A83" s="32" t="str">
        <f aca="false">IF(Settings!$B$18="","",Settings!$B$18)</f>
        <v/>
      </c>
      <c r="B83" s="33" t="str">
        <f aca="false">IF($A83="","",6)</f>
        <v/>
      </c>
      <c r="C83" s="32" t="str">
        <f aca="false">IF($A83="","",INDEX(Settings!$Q$12:$Q$23,$B83))</f>
        <v/>
      </c>
      <c r="D83" s="32" t="str">
        <f aca="false">IF($A83="","",Settings!$D$18)</f>
        <v/>
      </c>
      <c r="E83" s="34" t="str">
        <f aca="false">IF($A83="","",SUMIFS(Sales!$E$5:$E$304,Sales!$B$5:$B$304,$A83,Sales!$J$5:$J$304,$B83,Sales!$K$5:$K$304,1))</f>
        <v/>
      </c>
      <c r="F83" s="34" t="str">
        <f aca="false">IF($A83="","",SUMIFS(Sales!$L$5:$L$304,Sales!$B$5:$B$304,$A83,Sales!$J$5:$J$304,$B83,Sales!$K$5:$K$304,1))</f>
        <v/>
      </c>
      <c r="G83" s="34" t="str">
        <f aca="false">IF($A83="","",N(Settings!$F$18))</f>
        <v/>
      </c>
      <c r="H83" s="35" t="str">
        <f aca="false">IF(OR($A83="",N(G83)=0),"",F83/G83)</f>
        <v/>
      </c>
      <c r="I83" s="34" t="str">
        <f aca="false">IF($A83="","",IF($D83="Flat rate",F83*N(Settings!$G$18),0))</f>
        <v/>
      </c>
      <c r="J83" s="34" t="str">
        <f aca="false">IF($A83="","",IF($D83="Tiered",MIN(F83,N(Settings!$H$18))*N(Settings!$I$18)+MAX(0,MIN(F83,N(Settings!$J$18))-N(Settings!$H$18))*N(Settings!$K$18)+MAX(0,F83-N(Settings!$J$18))*N(Settings!$L$18),0))</f>
        <v/>
      </c>
      <c r="K83" s="34" t="str">
        <f aca="false">IF($A83="","",IF($D83="Accelerator",MIN(F83,G83)*N(Settings!$G$18),0))</f>
        <v/>
      </c>
      <c r="L83" s="34" t="str">
        <f aca="false">IF($A83="","",IF($D83="Accelerator",MAX(0,F83-G83)*N(Settings!$M$18),0))</f>
        <v/>
      </c>
      <c r="M83" s="34" t="str">
        <f aca="false">IF($A83="","",I83+J83+K83+L83)</f>
        <v/>
      </c>
      <c r="N83" s="34" t="str">
        <f aca="false">IF(OR($A83="",Settings!$N$18=""),"",Settings!$N$18)</f>
        <v/>
      </c>
      <c r="O83" s="34" t="str">
        <f aca="false">IF($A83="","",IF(N83="",M83,MIN(M83,N83)))</f>
        <v/>
      </c>
      <c r="P83" s="34" t="str">
        <f aca="false">IF($A83="","",SUMIFS(Sales!$O$5:$O$304,Sales!$B$5:$B$304,$A83,Sales!$M$5:$M$304,$B83))</f>
        <v/>
      </c>
      <c r="Q83" s="34" t="str">
        <f aca="false">IF($A83="","",S82)</f>
        <v/>
      </c>
      <c r="R83" s="34" t="str">
        <f aca="false">IF($A83="","",MIN(O83,P83+Q83))</f>
        <v/>
      </c>
      <c r="S83" s="34" t="str">
        <f aca="false">IF($A83="","",P83+Q83-R83)</f>
        <v/>
      </c>
      <c r="T83" s="36" t="str">
        <f aca="false">IF($A83="","",O83-R83)</f>
        <v/>
      </c>
      <c r="U83" s="35" t="str">
        <f aca="false">IF($A83="","",IF(N(F83)=0,0,O83/F83))</f>
        <v/>
      </c>
    </row>
    <row r="84" customFormat="false" ht="15" hidden="false" customHeight="false" outlineLevel="0" collapsed="false">
      <c r="A84" s="32" t="str">
        <f aca="false">IF(Settings!$B$18="","",Settings!$B$18)</f>
        <v/>
      </c>
      <c r="B84" s="33" t="str">
        <f aca="false">IF($A84="","",7)</f>
        <v/>
      </c>
      <c r="C84" s="32" t="str">
        <f aca="false">IF($A84="","",INDEX(Settings!$Q$12:$Q$23,$B84))</f>
        <v/>
      </c>
      <c r="D84" s="32" t="str">
        <f aca="false">IF($A84="","",Settings!$D$18)</f>
        <v/>
      </c>
      <c r="E84" s="34" t="str">
        <f aca="false">IF($A84="","",SUMIFS(Sales!$E$5:$E$304,Sales!$B$5:$B$304,$A84,Sales!$J$5:$J$304,$B84,Sales!$K$5:$K$304,1))</f>
        <v/>
      </c>
      <c r="F84" s="34" t="str">
        <f aca="false">IF($A84="","",SUMIFS(Sales!$L$5:$L$304,Sales!$B$5:$B$304,$A84,Sales!$J$5:$J$304,$B84,Sales!$K$5:$K$304,1))</f>
        <v/>
      </c>
      <c r="G84" s="34" t="str">
        <f aca="false">IF($A84="","",N(Settings!$F$18))</f>
        <v/>
      </c>
      <c r="H84" s="35" t="str">
        <f aca="false">IF(OR($A84="",N(G84)=0),"",F84/G84)</f>
        <v/>
      </c>
      <c r="I84" s="34" t="str">
        <f aca="false">IF($A84="","",IF($D84="Flat rate",F84*N(Settings!$G$18),0))</f>
        <v/>
      </c>
      <c r="J84" s="34" t="str">
        <f aca="false">IF($A84="","",IF($D84="Tiered",MIN(F84,N(Settings!$H$18))*N(Settings!$I$18)+MAX(0,MIN(F84,N(Settings!$J$18))-N(Settings!$H$18))*N(Settings!$K$18)+MAX(0,F84-N(Settings!$J$18))*N(Settings!$L$18),0))</f>
        <v/>
      </c>
      <c r="K84" s="34" t="str">
        <f aca="false">IF($A84="","",IF($D84="Accelerator",MIN(F84,G84)*N(Settings!$G$18),0))</f>
        <v/>
      </c>
      <c r="L84" s="34" t="str">
        <f aca="false">IF($A84="","",IF($D84="Accelerator",MAX(0,F84-G84)*N(Settings!$M$18),0))</f>
        <v/>
      </c>
      <c r="M84" s="34" t="str">
        <f aca="false">IF($A84="","",I84+J84+K84+L84)</f>
        <v/>
      </c>
      <c r="N84" s="34" t="str">
        <f aca="false">IF(OR($A84="",Settings!$N$18=""),"",Settings!$N$18)</f>
        <v/>
      </c>
      <c r="O84" s="34" t="str">
        <f aca="false">IF($A84="","",IF(N84="",M84,MIN(M84,N84)))</f>
        <v/>
      </c>
      <c r="P84" s="34" t="str">
        <f aca="false">IF($A84="","",SUMIFS(Sales!$O$5:$O$304,Sales!$B$5:$B$304,$A84,Sales!$M$5:$M$304,$B84))</f>
        <v/>
      </c>
      <c r="Q84" s="34" t="str">
        <f aca="false">IF($A84="","",S83)</f>
        <v/>
      </c>
      <c r="R84" s="34" t="str">
        <f aca="false">IF($A84="","",MIN(O84,P84+Q84))</f>
        <v/>
      </c>
      <c r="S84" s="34" t="str">
        <f aca="false">IF($A84="","",P84+Q84-R84)</f>
        <v/>
      </c>
      <c r="T84" s="36" t="str">
        <f aca="false">IF($A84="","",O84-R84)</f>
        <v/>
      </c>
      <c r="U84" s="35" t="str">
        <f aca="false">IF($A84="","",IF(N(F84)=0,0,O84/F84))</f>
        <v/>
      </c>
    </row>
    <row r="85" customFormat="false" ht="15" hidden="false" customHeight="false" outlineLevel="0" collapsed="false">
      <c r="A85" s="32" t="str">
        <f aca="false">IF(Settings!$B$18="","",Settings!$B$18)</f>
        <v/>
      </c>
      <c r="B85" s="33" t="str">
        <f aca="false">IF($A85="","",8)</f>
        <v/>
      </c>
      <c r="C85" s="32" t="str">
        <f aca="false">IF($A85="","",INDEX(Settings!$Q$12:$Q$23,$B85))</f>
        <v/>
      </c>
      <c r="D85" s="32" t="str">
        <f aca="false">IF($A85="","",Settings!$D$18)</f>
        <v/>
      </c>
      <c r="E85" s="34" t="str">
        <f aca="false">IF($A85="","",SUMIFS(Sales!$E$5:$E$304,Sales!$B$5:$B$304,$A85,Sales!$J$5:$J$304,$B85,Sales!$K$5:$K$304,1))</f>
        <v/>
      </c>
      <c r="F85" s="34" t="str">
        <f aca="false">IF($A85="","",SUMIFS(Sales!$L$5:$L$304,Sales!$B$5:$B$304,$A85,Sales!$J$5:$J$304,$B85,Sales!$K$5:$K$304,1))</f>
        <v/>
      </c>
      <c r="G85" s="34" t="str">
        <f aca="false">IF($A85="","",N(Settings!$F$18))</f>
        <v/>
      </c>
      <c r="H85" s="35" t="str">
        <f aca="false">IF(OR($A85="",N(G85)=0),"",F85/G85)</f>
        <v/>
      </c>
      <c r="I85" s="34" t="str">
        <f aca="false">IF($A85="","",IF($D85="Flat rate",F85*N(Settings!$G$18),0))</f>
        <v/>
      </c>
      <c r="J85" s="34" t="str">
        <f aca="false">IF($A85="","",IF($D85="Tiered",MIN(F85,N(Settings!$H$18))*N(Settings!$I$18)+MAX(0,MIN(F85,N(Settings!$J$18))-N(Settings!$H$18))*N(Settings!$K$18)+MAX(0,F85-N(Settings!$J$18))*N(Settings!$L$18),0))</f>
        <v/>
      </c>
      <c r="K85" s="34" t="str">
        <f aca="false">IF($A85="","",IF($D85="Accelerator",MIN(F85,G85)*N(Settings!$G$18),0))</f>
        <v/>
      </c>
      <c r="L85" s="34" t="str">
        <f aca="false">IF($A85="","",IF($D85="Accelerator",MAX(0,F85-G85)*N(Settings!$M$18),0))</f>
        <v/>
      </c>
      <c r="M85" s="34" t="str">
        <f aca="false">IF($A85="","",I85+J85+K85+L85)</f>
        <v/>
      </c>
      <c r="N85" s="34" t="str">
        <f aca="false">IF(OR($A85="",Settings!$N$18=""),"",Settings!$N$18)</f>
        <v/>
      </c>
      <c r="O85" s="34" t="str">
        <f aca="false">IF($A85="","",IF(N85="",M85,MIN(M85,N85)))</f>
        <v/>
      </c>
      <c r="P85" s="34" t="str">
        <f aca="false">IF($A85="","",SUMIFS(Sales!$O$5:$O$304,Sales!$B$5:$B$304,$A85,Sales!$M$5:$M$304,$B85))</f>
        <v/>
      </c>
      <c r="Q85" s="34" t="str">
        <f aca="false">IF($A85="","",S84)</f>
        <v/>
      </c>
      <c r="R85" s="34" t="str">
        <f aca="false">IF($A85="","",MIN(O85,P85+Q85))</f>
        <v/>
      </c>
      <c r="S85" s="34" t="str">
        <f aca="false">IF($A85="","",P85+Q85-R85)</f>
        <v/>
      </c>
      <c r="T85" s="36" t="str">
        <f aca="false">IF($A85="","",O85-R85)</f>
        <v/>
      </c>
      <c r="U85" s="35" t="str">
        <f aca="false">IF($A85="","",IF(N(F85)=0,0,O85/F85))</f>
        <v/>
      </c>
    </row>
    <row r="86" customFormat="false" ht="15" hidden="false" customHeight="false" outlineLevel="0" collapsed="false">
      <c r="A86" s="32" t="str">
        <f aca="false">IF(Settings!$B$18="","",Settings!$B$18)</f>
        <v/>
      </c>
      <c r="B86" s="33" t="str">
        <f aca="false">IF($A86="","",9)</f>
        <v/>
      </c>
      <c r="C86" s="32" t="str">
        <f aca="false">IF($A86="","",INDEX(Settings!$Q$12:$Q$23,$B86))</f>
        <v/>
      </c>
      <c r="D86" s="32" t="str">
        <f aca="false">IF($A86="","",Settings!$D$18)</f>
        <v/>
      </c>
      <c r="E86" s="34" t="str">
        <f aca="false">IF($A86="","",SUMIFS(Sales!$E$5:$E$304,Sales!$B$5:$B$304,$A86,Sales!$J$5:$J$304,$B86,Sales!$K$5:$K$304,1))</f>
        <v/>
      </c>
      <c r="F86" s="34" t="str">
        <f aca="false">IF($A86="","",SUMIFS(Sales!$L$5:$L$304,Sales!$B$5:$B$304,$A86,Sales!$J$5:$J$304,$B86,Sales!$K$5:$K$304,1))</f>
        <v/>
      </c>
      <c r="G86" s="34" t="str">
        <f aca="false">IF($A86="","",N(Settings!$F$18))</f>
        <v/>
      </c>
      <c r="H86" s="35" t="str">
        <f aca="false">IF(OR($A86="",N(G86)=0),"",F86/G86)</f>
        <v/>
      </c>
      <c r="I86" s="34" t="str">
        <f aca="false">IF($A86="","",IF($D86="Flat rate",F86*N(Settings!$G$18),0))</f>
        <v/>
      </c>
      <c r="J86" s="34" t="str">
        <f aca="false">IF($A86="","",IF($D86="Tiered",MIN(F86,N(Settings!$H$18))*N(Settings!$I$18)+MAX(0,MIN(F86,N(Settings!$J$18))-N(Settings!$H$18))*N(Settings!$K$18)+MAX(0,F86-N(Settings!$J$18))*N(Settings!$L$18),0))</f>
        <v/>
      </c>
      <c r="K86" s="34" t="str">
        <f aca="false">IF($A86="","",IF($D86="Accelerator",MIN(F86,G86)*N(Settings!$G$18),0))</f>
        <v/>
      </c>
      <c r="L86" s="34" t="str">
        <f aca="false">IF($A86="","",IF($D86="Accelerator",MAX(0,F86-G86)*N(Settings!$M$18),0))</f>
        <v/>
      </c>
      <c r="M86" s="34" t="str">
        <f aca="false">IF($A86="","",I86+J86+K86+L86)</f>
        <v/>
      </c>
      <c r="N86" s="34" t="str">
        <f aca="false">IF(OR($A86="",Settings!$N$18=""),"",Settings!$N$18)</f>
        <v/>
      </c>
      <c r="O86" s="34" t="str">
        <f aca="false">IF($A86="","",IF(N86="",M86,MIN(M86,N86)))</f>
        <v/>
      </c>
      <c r="P86" s="34" t="str">
        <f aca="false">IF($A86="","",SUMIFS(Sales!$O$5:$O$304,Sales!$B$5:$B$304,$A86,Sales!$M$5:$M$304,$B86))</f>
        <v/>
      </c>
      <c r="Q86" s="34" t="str">
        <f aca="false">IF($A86="","",S85)</f>
        <v/>
      </c>
      <c r="R86" s="34" t="str">
        <f aca="false">IF($A86="","",MIN(O86,P86+Q86))</f>
        <v/>
      </c>
      <c r="S86" s="34" t="str">
        <f aca="false">IF($A86="","",P86+Q86-R86)</f>
        <v/>
      </c>
      <c r="T86" s="36" t="str">
        <f aca="false">IF($A86="","",O86-R86)</f>
        <v/>
      </c>
      <c r="U86" s="35" t="str">
        <f aca="false">IF($A86="","",IF(N(F86)=0,0,O86/F86))</f>
        <v/>
      </c>
    </row>
    <row r="87" customFormat="false" ht="15" hidden="false" customHeight="false" outlineLevel="0" collapsed="false">
      <c r="A87" s="32" t="str">
        <f aca="false">IF(Settings!$B$18="","",Settings!$B$18)</f>
        <v/>
      </c>
      <c r="B87" s="33" t="str">
        <f aca="false">IF($A87="","",10)</f>
        <v/>
      </c>
      <c r="C87" s="32" t="str">
        <f aca="false">IF($A87="","",INDEX(Settings!$Q$12:$Q$23,$B87))</f>
        <v/>
      </c>
      <c r="D87" s="32" t="str">
        <f aca="false">IF($A87="","",Settings!$D$18)</f>
        <v/>
      </c>
      <c r="E87" s="34" t="str">
        <f aca="false">IF($A87="","",SUMIFS(Sales!$E$5:$E$304,Sales!$B$5:$B$304,$A87,Sales!$J$5:$J$304,$B87,Sales!$K$5:$K$304,1))</f>
        <v/>
      </c>
      <c r="F87" s="34" t="str">
        <f aca="false">IF($A87="","",SUMIFS(Sales!$L$5:$L$304,Sales!$B$5:$B$304,$A87,Sales!$J$5:$J$304,$B87,Sales!$K$5:$K$304,1))</f>
        <v/>
      </c>
      <c r="G87" s="34" t="str">
        <f aca="false">IF($A87="","",N(Settings!$F$18))</f>
        <v/>
      </c>
      <c r="H87" s="35" t="str">
        <f aca="false">IF(OR($A87="",N(G87)=0),"",F87/G87)</f>
        <v/>
      </c>
      <c r="I87" s="34" t="str">
        <f aca="false">IF($A87="","",IF($D87="Flat rate",F87*N(Settings!$G$18),0))</f>
        <v/>
      </c>
      <c r="J87" s="34" t="str">
        <f aca="false">IF($A87="","",IF($D87="Tiered",MIN(F87,N(Settings!$H$18))*N(Settings!$I$18)+MAX(0,MIN(F87,N(Settings!$J$18))-N(Settings!$H$18))*N(Settings!$K$18)+MAX(0,F87-N(Settings!$J$18))*N(Settings!$L$18),0))</f>
        <v/>
      </c>
      <c r="K87" s="34" t="str">
        <f aca="false">IF($A87="","",IF($D87="Accelerator",MIN(F87,G87)*N(Settings!$G$18),0))</f>
        <v/>
      </c>
      <c r="L87" s="34" t="str">
        <f aca="false">IF($A87="","",IF($D87="Accelerator",MAX(0,F87-G87)*N(Settings!$M$18),0))</f>
        <v/>
      </c>
      <c r="M87" s="34" t="str">
        <f aca="false">IF($A87="","",I87+J87+K87+L87)</f>
        <v/>
      </c>
      <c r="N87" s="34" t="str">
        <f aca="false">IF(OR($A87="",Settings!$N$18=""),"",Settings!$N$18)</f>
        <v/>
      </c>
      <c r="O87" s="34" t="str">
        <f aca="false">IF($A87="","",IF(N87="",M87,MIN(M87,N87)))</f>
        <v/>
      </c>
      <c r="P87" s="34" t="str">
        <f aca="false">IF($A87="","",SUMIFS(Sales!$O$5:$O$304,Sales!$B$5:$B$304,$A87,Sales!$M$5:$M$304,$B87))</f>
        <v/>
      </c>
      <c r="Q87" s="34" t="str">
        <f aca="false">IF($A87="","",S86)</f>
        <v/>
      </c>
      <c r="R87" s="34" t="str">
        <f aca="false">IF($A87="","",MIN(O87,P87+Q87))</f>
        <v/>
      </c>
      <c r="S87" s="34" t="str">
        <f aca="false">IF($A87="","",P87+Q87-R87)</f>
        <v/>
      </c>
      <c r="T87" s="36" t="str">
        <f aca="false">IF($A87="","",O87-R87)</f>
        <v/>
      </c>
      <c r="U87" s="35" t="str">
        <f aca="false">IF($A87="","",IF(N(F87)=0,0,O87/F87))</f>
        <v/>
      </c>
    </row>
    <row r="88" customFormat="false" ht="15" hidden="false" customHeight="false" outlineLevel="0" collapsed="false">
      <c r="A88" s="32" t="str">
        <f aca="false">IF(Settings!$B$18="","",Settings!$B$18)</f>
        <v/>
      </c>
      <c r="B88" s="33" t="str">
        <f aca="false">IF($A88="","",11)</f>
        <v/>
      </c>
      <c r="C88" s="32" t="str">
        <f aca="false">IF($A88="","",INDEX(Settings!$Q$12:$Q$23,$B88))</f>
        <v/>
      </c>
      <c r="D88" s="32" t="str">
        <f aca="false">IF($A88="","",Settings!$D$18)</f>
        <v/>
      </c>
      <c r="E88" s="34" t="str">
        <f aca="false">IF($A88="","",SUMIFS(Sales!$E$5:$E$304,Sales!$B$5:$B$304,$A88,Sales!$J$5:$J$304,$B88,Sales!$K$5:$K$304,1))</f>
        <v/>
      </c>
      <c r="F88" s="34" t="str">
        <f aca="false">IF($A88="","",SUMIFS(Sales!$L$5:$L$304,Sales!$B$5:$B$304,$A88,Sales!$J$5:$J$304,$B88,Sales!$K$5:$K$304,1))</f>
        <v/>
      </c>
      <c r="G88" s="34" t="str">
        <f aca="false">IF($A88="","",N(Settings!$F$18))</f>
        <v/>
      </c>
      <c r="H88" s="35" t="str">
        <f aca="false">IF(OR($A88="",N(G88)=0),"",F88/G88)</f>
        <v/>
      </c>
      <c r="I88" s="34" t="str">
        <f aca="false">IF($A88="","",IF($D88="Flat rate",F88*N(Settings!$G$18),0))</f>
        <v/>
      </c>
      <c r="J88" s="34" t="str">
        <f aca="false">IF($A88="","",IF($D88="Tiered",MIN(F88,N(Settings!$H$18))*N(Settings!$I$18)+MAX(0,MIN(F88,N(Settings!$J$18))-N(Settings!$H$18))*N(Settings!$K$18)+MAX(0,F88-N(Settings!$J$18))*N(Settings!$L$18),0))</f>
        <v/>
      </c>
      <c r="K88" s="34" t="str">
        <f aca="false">IF($A88="","",IF($D88="Accelerator",MIN(F88,G88)*N(Settings!$G$18),0))</f>
        <v/>
      </c>
      <c r="L88" s="34" t="str">
        <f aca="false">IF($A88="","",IF($D88="Accelerator",MAX(0,F88-G88)*N(Settings!$M$18),0))</f>
        <v/>
      </c>
      <c r="M88" s="34" t="str">
        <f aca="false">IF($A88="","",I88+J88+K88+L88)</f>
        <v/>
      </c>
      <c r="N88" s="34" t="str">
        <f aca="false">IF(OR($A88="",Settings!$N$18=""),"",Settings!$N$18)</f>
        <v/>
      </c>
      <c r="O88" s="34" t="str">
        <f aca="false">IF($A88="","",IF(N88="",M88,MIN(M88,N88)))</f>
        <v/>
      </c>
      <c r="P88" s="34" t="str">
        <f aca="false">IF($A88="","",SUMIFS(Sales!$O$5:$O$304,Sales!$B$5:$B$304,$A88,Sales!$M$5:$M$304,$B88))</f>
        <v/>
      </c>
      <c r="Q88" s="34" t="str">
        <f aca="false">IF($A88="","",S87)</f>
        <v/>
      </c>
      <c r="R88" s="34" t="str">
        <f aca="false">IF($A88="","",MIN(O88,P88+Q88))</f>
        <v/>
      </c>
      <c r="S88" s="34" t="str">
        <f aca="false">IF($A88="","",P88+Q88-R88)</f>
        <v/>
      </c>
      <c r="T88" s="36" t="str">
        <f aca="false">IF($A88="","",O88-R88)</f>
        <v/>
      </c>
      <c r="U88" s="35" t="str">
        <f aca="false">IF($A88="","",IF(N(F88)=0,0,O88/F88))</f>
        <v/>
      </c>
    </row>
    <row r="89" customFormat="false" ht="15" hidden="false" customHeight="false" outlineLevel="0" collapsed="false">
      <c r="A89" s="37" t="str">
        <f aca="false">IF(Settings!$B$18="","",Settings!$B$18)</f>
        <v/>
      </c>
      <c r="B89" s="38" t="str">
        <f aca="false">IF($A89="","",12)</f>
        <v/>
      </c>
      <c r="C89" s="37" t="str">
        <f aca="false">IF($A89="","",INDEX(Settings!$Q$12:$Q$23,$B89))</f>
        <v/>
      </c>
      <c r="D89" s="37" t="str">
        <f aca="false">IF($A89="","",Settings!$D$18)</f>
        <v/>
      </c>
      <c r="E89" s="39" t="str">
        <f aca="false">IF($A89="","",SUMIFS(Sales!$E$5:$E$304,Sales!$B$5:$B$304,$A89,Sales!$J$5:$J$304,$B89,Sales!$K$5:$K$304,1))</f>
        <v/>
      </c>
      <c r="F89" s="39" t="str">
        <f aca="false">IF($A89="","",SUMIFS(Sales!$L$5:$L$304,Sales!$B$5:$B$304,$A89,Sales!$J$5:$J$304,$B89,Sales!$K$5:$K$304,1))</f>
        <v/>
      </c>
      <c r="G89" s="39" t="str">
        <f aca="false">IF($A89="","",N(Settings!$F$18))</f>
        <v/>
      </c>
      <c r="H89" s="40" t="str">
        <f aca="false">IF(OR($A89="",N(G89)=0),"",F89/G89)</f>
        <v/>
      </c>
      <c r="I89" s="39" t="str">
        <f aca="false">IF($A89="","",IF($D89="Flat rate",F89*N(Settings!$G$18),0))</f>
        <v/>
      </c>
      <c r="J89" s="39" t="str">
        <f aca="false">IF($A89="","",IF($D89="Tiered",MIN(F89,N(Settings!$H$18))*N(Settings!$I$18)+MAX(0,MIN(F89,N(Settings!$J$18))-N(Settings!$H$18))*N(Settings!$K$18)+MAX(0,F89-N(Settings!$J$18))*N(Settings!$L$18),0))</f>
        <v/>
      </c>
      <c r="K89" s="39" t="str">
        <f aca="false">IF($A89="","",IF($D89="Accelerator",MIN(F89,G89)*N(Settings!$G$18),0))</f>
        <v/>
      </c>
      <c r="L89" s="39" t="str">
        <f aca="false">IF($A89="","",IF($D89="Accelerator",MAX(0,F89-G89)*N(Settings!$M$18),0))</f>
        <v/>
      </c>
      <c r="M89" s="39" t="str">
        <f aca="false">IF($A89="","",I89+J89+K89+L89)</f>
        <v/>
      </c>
      <c r="N89" s="39" t="str">
        <f aca="false">IF(OR($A89="",Settings!$N$18=""),"",Settings!$N$18)</f>
        <v/>
      </c>
      <c r="O89" s="39" t="str">
        <f aca="false">IF($A89="","",IF(N89="",M89,MIN(M89,N89)))</f>
        <v/>
      </c>
      <c r="P89" s="39" t="str">
        <f aca="false">IF($A89="","",SUMIFS(Sales!$O$5:$O$304,Sales!$B$5:$B$304,$A89,Sales!$M$5:$M$304,$B89))</f>
        <v/>
      </c>
      <c r="Q89" s="39" t="str">
        <f aca="false">IF($A89="","",S88)</f>
        <v/>
      </c>
      <c r="R89" s="39" t="str">
        <f aca="false">IF($A89="","",MIN(O89,P89+Q89))</f>
        <v/>
      </c>
      <c r="S89" s="39" t="str">
        <f aca="false">IF($A89="","",P89+Q89-R89)</f>
        <v/>
      </c>
      <c r="T89" s="41" t="str">
        <f aca="false">IF($A89="","",O89-R89)</f>
        <v/>
      </c>
      <c r="U89" s="40" t="str">
        <f aca="false">IF($A89="","",IF(N(F89)=0,0,O89/F89))</f>
        <v/>
      </c>
    </row>
    <row r="90" customFormat="false" ht="15" hidden="false" customHeight="false" outlineLevel="0" collapsed="false">
      <c r="A90" s="32" t="str">
        <f aca="false">IF(Settings!$B$19="","",Settings!$B$19)</f>
        <v/>
      </c>
      <c r="B90" s="33" t="str">
        <f aca="false">IF($A90="","",1)</f>
        <v/>
      </c>
      <c r="C90" s="32" t="str">
        <f aca="false">IF($A90="","",INDEX(Settings!$Q$12:$Q$23,$B90))</f>
        <v/>
      </c>
      <c r="D90" s="32" t="str">
        <f aca="false">IF($A90="","",Settings!$D$19)</f>
        <v/>
      </c>
      <c r="E90" s="34" t="str">
        <f aca="false">IF($A90="","",SUMIFS(Sales!$E$5:$E$304,Sales!$B$5:$B$304,$A90,Sales!$J$5:$J$304,$B90,Sales!$K$5:$K$304,1))</f>
        <v/>
      </c>
      <c r="F90" s="34" t="str">
        <f aca="false">IF($A90="","",SUMIFS(Sales!$L$5:$L$304,Sales!$B$5:$B$304,$A90,Sales!$J$5:$J$304,$B90,Sales!$K$5:$K$304,1))</f>
        <v/>
      </c>
      <c r="G90" s="34" t="str">
        <f aca="false">IF($A90="","",N(Settings!$F$19))</f>
        <v/>
      </c>
      <c r="H90" s="35" t="str">
        <f aca="false">IF(OR($A90="",N(G90)=0),"",F90/G90)</f>
        <v/>
      </c>
      <c r="I90" s="34" t="str">
        <f aca="false">IF($A90="","",IF($D90="Flat rate",F90*N(Settings!$G$19),0))</f>
        <v/>
      </c>
      <c r="J90" s="34" t="str">
        <f aca="false">IF($A90="","",IF($D90="Tiered",MIN(F90,N(Settings!$H$19))*N(Settings!$I$19)+MAX(0,MIN(F90,N(Settings!$J$19))-N(Settings!$H$19))*N(Settings!$K$19)+MAX(0,F90-N(Settings!$J$19))*N(Settings!$L$19),0))</f>
        <v/>
      </c>
      <c r="K90" s="34" t="str">
        <f aca="false">IF($A90="","",IF($D90="Accelerator",MIN(F90,G90)*N(Settings!$G$19),0))</f>
        <v/>
      </c>
      <c r="L90" s="34" t="str">
        <f aca="false">IF($A90="","",IF($D90="Accelerator",MAX(0,F90-G90)*N(Settings!$M$19),0))</f>
        <v/>
      </c>
      <c r="M90" s="34" t="str">
        <f aca="false">IF($A90="","",I90+J90+K90+L90)</f>
        <v/>
      </c>
      <c r="N90" s="34" t="str">
        <f aca="false">IF(OR($A90="",Settings!$N$19=""),"",Settings!$N$19)</f>
        <v/>
      </c>
      <c r="O90" s="34" t="str">
        <f aca="false">IF($A90="","",IF(N90="",M90,MIN(M90,N90)))</f>
        <v/>
      </c>
      <c r="P90" s="34" t="str">
        <f aca="false">IF($A90="","",SUMIFS(Sales!$O$5:$O$304,Sales!$B$5:$B$304,$A90,Sales!$M$5:$M$304,$B90))</f>
        <v/>
      </c>
      <c r="Q90" s="34" t="str">
        <f aca="false">IF($A90="","",0)</f>
        <v/>
      </c>
      <c r="R90" s="34" t="str">
        <f aca="false">IF($A90="","",MIN(O90,P90+Q90))</f>
        <v/>
      </c>
      <c r="S90" s="34" t="str">
        <f aca="false">IF($A90="","",P90+Q90-R90)</f>
        <v/>
      </c>
      <c r="T90" s="36" t="str">
        <f aca="false">IF($A90="","",O90-R90)</f>
        <v/>
      </c>
      <c r="U90" s="35" t="str">
        <f aca="false">IF($A90="","",IF(N(F90)=0,0,O90/F90))</f>
        <v/>
      </c>
    </row>
    <row r="91" customFormat="false" ht="15" hidden="false" customHeight="false" outlineLevel="0" collapsed="false">
      <c r="A91" s="32" t="str">
        <f aca="false">IF(Settings!$B$19="","",Settings!$B$19)</f>
        <v/>
      </c>
      <c r="B91" s="33" t="str">
        <f aca="false">IF($A91="","",2)</f>
        <v/>
      </c>
      <c r="C91" s="32" t="str">
        <f aca="false">IF($A91="","",INDEX(Settings!$Q$12:$Q$23,$B91))</f>
        <v/>
      </c>
      <c r="D91" s="32" t="str">
        <f aca="false">IF($A91="","",Settings!$D$19)</f>
        <v/>
      </c>
      <c r="E91" s="34" t="str">
        <f aca="false">IF($A91="","",SUMIFS(Sales!$E$5:$E$304,Sales!$B$5:$B$304,$A91,Sales!$J$5:$J$304,$B91,Sales!$K$5:$K$304,1))</f>
        <v/>
      </c>
      <c r="F91" s="34" t="str">
        <f aca="false">IF($A91="","",SUMIFS(Sales!$L$5:$L$304,Sales!$B$5:$B$304,$A91,Sales!$J$5:$J$304,$B91,Sales!$K$5:$K$304,1))</f>
        <v/>
      </c>
      <c r="G91" s="34" t="str">
        <f aca="false">IF($A91="","",N(Settings!$F$19))</f>
        <v/>
      </c>
      <c r="H91" s="35" t="str">
        <f aca="false">IF(OR($A91="",N(G91)=0),"",F91/G91)</f>
        <v/>
      </c>
      <c r="I91" s="34" t="str">
        <f aca="false">IF($A91="","",IF($D91="Flat rate",F91*N(Settings!$G$19),0))</f>
        <v/>
      </c>
      <c r="J91" s="34" t="str">
        <f aca="false">IF($A91="","",IF($D91="Tiered",MIN(F91,N(Settings!$H$19))*N(Settings!$I$19)+MAX(0,MIN(F91,N(Settings!$J$19))-N(Settings!$H$19))*N(Settings!$K$19)+MAX(0,F91-N(Settings!$J$19))*N(Settings!$L$19),0))</f>
        <v/>
      </c>
      <c r="K91" s="34" t="str">
        <f aca="false">IF($A91="","",IF($D91="Accelerator",MIN(F91,G91)*N(Settings!$G$19),0))</f>
        <v/>
      </c>
      <c r="L91" s="34" t="str">
        <f aca="false">IF($A91="","",IF($D91="Accelerator",MAX(0,F91-G91)*N(Settings!$M$19),0))</f>
        <v/>
      </c>
      <c r="M91" s="34" t="str">
        <f aca="false">IF($A91="","",I91+J91+K91+L91)</f>
        <v/>
      </c>
      <c r="N91" s="34" t="str">
        <f aca="false">IF(OR($A91="",Settings!$N$19=""),"",Settings!$N$19)</f>
        <v/>
      </c>
      <c r="O91" s="34" t="str">
        <f aca="false">IF($A91="","",IF(N91="",M91,MIN(M91,N91)))</f>
        <v/>
      </c>
      <c r="P91" s="34" t="str">
        <f aca="false">IF($A91="","",SUMIFS(Sales!$O$5:$O$304,Sales!$B$5:$B$304,$A91,Sales!$M$5:$M$304,$B91))</f>
        <v/>
      </c>
      <c r="Q91" s="34" t="str">
        <f aca="false">IF($A91="","",S90)</f>
        <v/>
      </c>
      <c r="R91" s="34" t="str">
        <f aca="false">IF($A91="","",MIN(O91,P91+Q91))</f>
        <v/>
      </c>
      <c r="S91" s="34" t="str">
        <f aca="false">IF($A91="","",P91+Q91-R91)</f>
        <v/>
      </c>
      <c r="T91" s="36" t="str">
        <f aca="false">IF($A91="","",O91-R91)</f>
        <v/>
      </c>
      <c r="U91" s="35" t="str">
        <f aca="false">IF($A91="","",IF(N(F91)=0,0,O91/F91))</f>
        <v/>
      </c>
    </row>
    <row r="92" customFormat="false" ht="15" hidden="false" customHeight="false" outlineLevel="0" collapsed="false">
      <c r="A92" s="32" t="str">
        <f aca="false">IF(Settings!$B$19="","",Settings!$B$19)</f>
        <v/>
      </c>
      <c r="B92" s="33" t="str">
        <f aca="false">IF($A92="","",3)</f>
        <v/>
      </c>
      <c r="C92" s="32" t="str">
        <f aca="false">IF($A92="","",INDEX(Settings!$Q$12:$Q$23,$B92))</f>
        <v/>
      </c>
      <c r="D92" s="32" t="str">
        <f aca="false">IF($A92="","",Settings!$D$19)</f>
        <v/>
      </c>
      <c r="E92" s="34" t="str">
        <f aca="false">IF($A92="","",SUMIFS(Sales!$E$5:$E$304,Sales!$B$5:$B$304,$A92,Sales!$J$5:$J$304,$B92,Sales!$K$5:$K$304,1))</f>
        <v/>
      </c>
      <c r="F92" s="34" t="str">
        <f aca="false">IF($A92="","",SUMIFS(Sales!$L$5:$L$304,Sales!$B$5:$B$304,$A92,Sales!$J$5:$J$304,$B92,Sales!$K$5:$K$304,1))</f>
        <v/>
      </c>
      <c r="G92" s="34" t="str">
        <f aca="false">IF($A92="","",N(Settings!$F$19))</f>
        <v/>
      </c>
      <c r="H92" s="35" t="str">
        <f aca="false">IF(OR($A92="",N(G92)=0),"",F92/G92)</f>
        <v/>
      </c>
      <c r="I92" s="34" t="str">
        <f aca="false">IF($A92="","",IF($D92="Flat rate",F92*N(Settings!$G$19),0))</f>
        <v/>
      </c>
      <c r="J92" s="34" t="str">
        <f aca="false">IF($A92="","",IF($D92="Tiered",MIN(F92,N(Settings!$H$19))*N(Settings!$I$19)+MAX(0,MIN(F92,N(Settings!$J$19))-N(Settings!$H$19))*N(Settings!$K$19)+MAX(0,F92-N(Settings!$J$19))*N(Settings!$L$19),0))</f>
        <v/>
      </c>
      <c r="K92" s="34" t="str">
        <f aca="false">IF($A92="","",IF($D92="Accelerator",MIN(F92,G92)*N(Settings!$G$19),0))</f>
        <v/>
      </c>
      <c r="L92" s="34" t="str">
        <f aca="false">IF($A92="","",IF($D92="Accelerator",MAX(0,F92-G92)*N(Settings!$M$19),0))</f>
        <v/>
      </c>
      <c r="M92" s="34" t="str">
        <f aca="false">IF($A92="","",I92+J92+K92+L92)</f>
        <v/>
      </c>
      <c r="N92" s="34" t="str">
        <f aca="false">IF(OR($A92="",Settings!$N$19=""),"",Settings!$N$19)</f>
        <v/>
      </c>
      <c r="O92" s="34" t="str">
        <f aca="false">IF($A92="","",IF(N92="",M92,MIN(M92,N92)))</f>
        <v/>
      </c>
      <c r="P92" s="34" t="str">
        <f aca="false">IF($A92="","",SUMIFS(Sales!$O$5:$O$304,Sales!$B$5:$B$304,$A92,Sales!$M$5:$M$304,$B92))</f>
        <v/>
      </c>
      <c r="Q92" s="34" t="str">
        <f aca="false">IF($A92="","",S91)</f>
        <v/>
      </c>
      <c r="R92" s="34" t="str">
        <f aca="false">IF($A92="","",MIN(O92,P92+Q92))</f>
        <v/>
      </c>
      <c r="S92" s="34" t="str">
        <f aca="false">IF($A92="","",P92+Q92-R92)</f>
        <v/>
      </c>
      <c r="T92" s="36" t="str">
        <f aca="false">IF($A92="","",O92-R92)</f>
        <v/>
      </c>
      <c r="U92" s="35" t="str">
        <f aca="false">IF($A92="","",IF(N(F92)=0,0,O92/F92))</f>
        <v/>
      </c>
    </row>
    <row r="93" customFormat="false" ht="15" hidden="false" customHeight="false" outlineLevel="0" collapsed="false">
      <c r="A93" s="32" t="str">
        <f aca="false">IF(Settings!$B$19="","",Settings!$B$19)</f>
        <v/>
      </c>
      <c r="B93" s="33" t="str">
        <f aca="false">IF($A93="","",4)</f>
        <v/>
      </c>
      <c r="C93" s="32" t="str">
        <f aca="false">IF($A93="","",INDEX(Settings!$Q$12:$Q$23,$B93))</f>
        <v/>
      </c>
      <c r="D93" s="32" t="str">
        <f aca="false">IF($A93="","",Settings!$D$19)</f>
        <v/>
      </c>
      <c r="E93" s="34" t="str">
        <f aca="false">IF($A93="","",SUMIFS(Sales!$E$5:$E$304,Sales!$B$5:$B$304,$A93,Sales!$J$5:$J$304,$B93,Sales!$K$5:$K$304,1))</f>
        <v/>
      </c>
      <c r="F93" s="34" t="str">
        <f aca="false">IF($A93="","",SUMIFS(Sales!$L$5:$L$304,Sales!$B$5:$B$304,$A93,Sales!$J$5:$J$304,$B93,Sales!$K$5:$K$304,1))</f>
        <v/>
      </c>
      <c r="G93" s="34" t="str">
        <f aca="false">IF($A93="","",N(Settings!$F$19))</f>
        <v/>
      </c>
      <c r="H93" s="35" t="str">
        <f aca="false">IF(OR($A93="",N(G93)=0),"",F93/G93)</f>
        <v/>
      </c>
      <c r="I93" s="34" t="str">
        <f aca="false">IF($A93="","",IF($D93="Flat rate",F93*N(Settings!$G$19),0))</f>
        <v/>
      </c>
      <c r="J93" s="34" t="str">
        <f aca="false">IF($A93="","",IF($D93="Tiered",MIN(F93,N(Settings!$H$19))*N(Settings!$I$19)+MAX(0,MIN(F93,N(Settings!$J$19))-N(Settings!$H$19))*N(Settings!$K$19)+MAX(0,F93-N(Settings!$J$19))*N(Settings!$L$19),0))</f>
        <v/>
      </c>
      <c r="K93" s="34" t="str">
        <f aca="false">IF($A93="","",IF($D93="Accelerator",MIN(F93,G93)*N(Settings!$G$19),0))</f>
        <v/>
      </c>
      <c r="L93" s="34" t="str">
        <f aca="false">IF($A93="","",IF($D93="Accelerator",MAX(0,F93-G93)*N(Settings!$M$19),0))</f>
        <v/>
      </c>
      <c r="M93" s="34" t="str">
        <f aca="false">IF($A93="","",I93+J93+K93+L93)</f>
        <v/>
      </c>
      <c r="N93" s="34" t="str">
        <f aca="false">IF(OR($A93="",Settings!$N$19=""),"",Settings!$N$19)</f>
        <v/>
      </c>
      <c r="O93" s="34" t="str">
        <f aca="false">IF($A93="","",IF(N93="",M93,MIN(M93,N93)))</f>
        <v/>
      </c>
      <c r="P93" s="34" t="str">
        <f aca="false">IF($A93="","",SUMIFS(Sales!$O$5:$O$304,Sales!$B$5:$B$304,$A93,Sales!$M$5:$M$304,$B93))</f>
        <v/>
      </c>
      <c r="Q93" s="34" t="str">
        <f aca="false">IF($A93="","",S92)</f>
        <v/>
      </c>
      <c r="R93" s="34" t="str">
        <f aca="false">IF($A93="","",MIN(O93,P93+Q93))</f>
        <v/>
      </c>
      <c r="S93" s="34" t="str">
        <f aca="false">IF($A93="","",P93+Q93-R93)</f>
        <v/>
      </c>
      <c r="T93" s="36" t="str">
        <f aca="false">IF($A93="","",O93-R93)</f>
        <v/>
      </c>
      <c r="U93" s="35" t="str">
        <f aca="false">IF($A93="","",IF(N(F93)=0,0,O93/F93))</f>
        <v/>
      </c>
    </row>
    <row r="94" customFormat="false" ht="15" hidden="false" customHeight="false" outlineLevel="0" collapsed="false">
      <c r="A94" s="32" t="str">
        <f aca="false">IF(Settings!$B$19="","",Settings!$B$19)</f>
        <v/>
      </c>
      <c r="B94" s="33" t="str">
        <f aca="false">IF($A94="","",5)</f>
        <v/>
      </c>
      <c r="C94" s="32" t="str">
        <f aca="false">IF($A94="","",INDEX(Settings!$Q$12:$Q$23,$B94))</f>
        <v/>
      </c>
      <c r="D94" s="32" t="str">
        <f aca="false">IF($A94="","",Settings!$D$19)</f>
        <v/>
      </c>
      <c r="E94" s="34" t="str">
        <f aca="false">IF($A94="","",SUMIFS(Sales!$E$5:$E$304,Sales!$B$5:$B$304,$A94,Sales!$J$5:$J$304,$B94,Sales!$K$5:$K$304,1))</f>
        <v/>
      </c>
      <c r="F94" s="34" t="str">
        <f aca="false">IF($A94="","",SUMIFS(Sales!$L$5:$L$304,Sales!$B$5:$B$304,$A94,Sales!$J$5:$J$304,$B94,Sales!$K$5:$K$304,1))</f>
        <v/>
      </c>
      <c r="G94" s="34" t="str">
        <f aca="false">IF($A94="","",N(Settings!$F$19))</f>
        <v/>
      </c>
      <c r="H94" s="35" t="str">
        <f aca="false">IF(OR($A94="",N(G94)=0),"",F94/G94)</f>
        <v/>
      </c>
      <c r="I94" s="34" t="str">
        <f aca="false">IF($A94="","",IF($D94="Flat rate",F94*N(Settings!$G$19),0))</f>
        <v/>
      </c>
      <c r="J94" s="34" t="str">
        <f aca="false">IF($A94="","",IF($D94="Tiered",MIN(F94,N(Settings!$H$19))*N(Settings!$I$19)+MAX(0,MIN(F94,N(Settings!$J$19))-N(Settings!$H$19))*N(Settings!$K$19)+MAX(0,F94-N(Settings!$J$19))*N(Settings!$L$19),0))</f>
        <v/>
      </c>
      <c r="K94" s="34" t="str">
        <f aca="false">IF($A94="","",IF($D94="Accelerator",MIN(F94,G94)*N(Settings!$G$19),0))</f>
        <v/>
      </c>
      <c r="L94" s="34" t="str">
        <f aca="false">IF($A94="","",IF($D94="Accelerator",MAX(0,F94-G94)*N(Settings!$M$19),0))</f>
        <v/>
      </c>
      <c r="M94" s="34" t="str">
        <f aca="false">IF($A94="","",I94+J94+K94+L94)</f>
        <v/>
      </c>
      <c r="N94" s="34" t="str">
        <f aca="false">IF(OR($A94="",Settings!$N$19=""),"",Settings!$N$19)</f>
        <v/>
      </c>
      <c r="O94" s="34" t="str">
        <f aca="false">IF($A94="","",IF(N94="",M94,MIN(M94,N94)))</f>
        <v/>
      </c>
      <c r="P94" s="34" t="str">
        <f aca="false">IF($A94="","",SUMIFS(Sales!$O$5:$O$304,Sales!$B$5:$B$304,$A94,Sales!$M$5:$M$304,$B94))</f>
        <v/>
      </c>
      <c r="Q94" s="34" t="str">
        <f aca="false">IF($A94="","",S93)</f>
        <v/>
      </c>
      <c r="R94" s="34" t="str">
        <f aca="false">IF($A94="","",MIN(O94,P94+Q94))</f>
        <v/>
      </c>
      <c r="S94" s="34" t="str">
        <f aca="false">IF($A94="","",P94+Q94-R94)</f>
        <v/>
      </c>
      <c r="T94" s="36" t="str">
        <f aca="false">IF($A94="","",O94-R94)</f>
        <v/>
      </c>
      <c r="U94" s="35" t="str">
        <f aca="false">IF($A94="","",IF(N(F94)=0,0,O94/F94))</f>
        <v/>
      </c>
    </row>
    <row r="95" customFormat="false" ht="15" hidden="false" customHeight="false" outlineLevel="0" collapsed="false">
      <c r="A95" s="32" t="str">
        <f aca="false">IF(Settings!$B$19="","",Settings!$B$19)</f>
        <v/>
      </c>
      <c r="B95" s="33" t="str">
        <f aca="false">IF($A95="","",6)</f>
        <v/>
      </c>
      <c r="C95" s="32" t="str">
        <f aca="false">IF($A95="","",INDEX(Settings!$Q$12:$Q$23,$B95))</f>
        <v/>
      </c>
      <c r="D95" s="32" t="str">
        <f aca="false">IF($A95="","",Settings!$D$19)</f>
        <v/>
      </c>
      <c r="E95" s="34" t="str">
        <f aca="false">IF($A95="","",SUMIFS(Sales!$E$5:$E$304,Sales!$B$5:$B$304,$A95,Sales!$J$5:$J$304,$B95,Sales!$K$5:$K$304,1))</f>
        <v/>
      </c>
      <c r="F95" s="34" t="str">
        <f aca="false">IF($A95="","",SUMIFS(Sales!$L$5:$L$304,Sales!$B$5:$B$304,$A95,Sales!$J$5:$J$304,$B95,Sales!$K$5:$K$304,1))</f>
        <v/>
      </c>
      <c r="G95" s="34" t="str">
        <f aca="false">IF($A95="","",N(Settings!$F$19))</f>
        <v/>
      </c>
      <c r="H95" s="35" t="str">
        <f aca="false">IF(OR($A95="",N(G95)=0),"",F95/G95)</f>
        <v/>
      </c>
      <c r="I95" s="34" t="str">
        <f aca="false">IF($A95="","",IF($D95="Flat rate",F95*N(Settings!$G$19),0))</f>
        <v/>
      </c>
      <c r="J95" s="34" t="str">
        <f aca="false">IF($A95="","",IF($D95="Tiered",MIN(F95,N(Settings!$H$19))*N(Settings!$I$19)+MAX(0,MIN(F95,N(Settings!$J$19))-N(Settings!$H$19))*N(Settings!$K$19)+MAX(0,F95-N(Settings!$J$19))*N(Settings!$L$19),0))</f>
        <v/>
      </c>
      <c r="K95" s="34" t="str">
        <f aca="false">IF($A95="","",IF($D95="Accelerator",MIN(F95,G95)*N(Settings!$G$19),0))</f>
        <v/>
      </c>
      <c r="L95" s="34" t="str">
        <f aca="false">IF($A95="","",IF($D95="Accelerator",MAX(0,F95-G95)*N(Settings!$M$19),0))</f>
        <v/>
      </c>
      <c r="M95" s="34" t="str">
        <f aca="false">IF($A95="","",I95+J95+K95+L95)</f>
        <v/>
      </c>
      <c r="N95" s="34" t="str">
        <f aca="false">IF(OR($A95="",Settings!$N$19=""),"",Settings!$N$19)</f>
        <v/>
      </c>
      <c r="O95" s="34" t="str">
        <f aca="false">IF($A95="","",IF(N95="",M95,MIN(M95,N95)))</f>
        <v/>
      </c>
      <c r="P95" s="34" t="str">
        <f aca="false">IF($A95="","",SUMIFS(Sales!$O$5:$O$304,Sales!$B$5:$B$304,$A95,Sales!$M$5:$M$304,$B95))</f>
        <v/>
      </c>
      <c r="Q95" s="34" t="str">
        <f aca="false">IF($A95="","",S94)</f>
        <v/>
      </c>
      <c r="R95" s="34" t="str">
        <f aca="false">IF($A95="","",MIN(O95,P95+Q95))</f>
        <v/>
      </c>
      <c r="S95" s="34" t="str">
        <f aca="false">IF($A95="","",P95+Q95-R95)</f>
        <v/>
      </c>
      <c r="T95" s="36" t="str">
        <f aca="false">IF($A95="","",O95-R95)</f>
        <v/>
      </c>
      <c r="U95" s="35" t="str">
        <f aca="false">IF($A95="","",IF(N(F95)=0,0,O95/F95))</f>
        <v/>
      </c>
    </row>
    <row r="96" customFormat="false" ht="15" hidden="false" customHeight="false" outlineLevel="0" collapsed="false">
      <c r="A96" s="32" t="str">
        <f aca="false">IF(Settings!$B$19="","",Settings!$B$19)</f>
        <v/>
      </c>
      <c r="B96" s="33" t="str">
        <f aca="false">IF($A96="","",7)</f>
        <v/>
      </c>
      <c r="C96" s="32" t="str">
        <f aca="false">IF($A96="","",INDEX(Settings!$Q$12:$Q$23,$B96))</f>
        <v/>
      </c>
      <c r="D96" s="32" t="str">
        <f aca="false">IF($A96="","",Settings!$D$19)</f>
        <v/>
      </c>
      <c r="E96" s="34" t="str">
        <f aca="false">IF($A96="","",SUMIFS(Sales!$E$5:$E$304,Sales!$B$5:$B$304,$A96,Sales!$J$5:$J$304,$B96,Sales!$K$5:$K$304,1))</f>
        <v/>
      </c>
      <c r="F96" s="34" t="str">
        <f aca="false">IF($A96="","",SUMIFS(Sales!$L$5:$L$304,Sales!$B$5:$B$304,$A96,Sales!$J$5:$J$304,$B96,Sales!$K$5:$K$304,1))</f>
        <v/>
      </c>
      <c r="G96" s="34" t="str">
        <f aca="false">IF($A96="","",N(Settings!$F$19))</f>
        <v/>
      </c>
      <c r="H96" s="35" t="str">
        <f aca="false">IF(OR($A96="",N(G96)=0),"",F96/G96)</f>
        <v/>
      </c>
      <c r="I96" s="34" t="str">
        <f aca="false">IF($A96="","",IF($D96="Flat rate",F96*N(Settings!$G$19),0))</f>
        <v/>
      </c>
      <c r="J96" s="34" t="str">
        <f aca="false">IF($A96="","",IF($D96="Tiered",MIN(F96,N(Settings!$H$19))*N(Settings!$I$19)+MAX(0,MIN(F96,N(Settings!$J$19))-N(Settings!$H$19))*N(Settings!$K$19)+MAX(0,F96-N(Settings!$J$19))*N(Settings!$L$19),0))</f>
        <v/>
      </c>
      <c r="K96" s="34" t="str">
        <f aca="false">IF($A96="","",IF($D96="Accelerator",MIN(F96,G96)*N(Settings!$G$19),0))</f>
        <v/>
      </c>
      <c r="L96" s="34" t="str">
        <f aca="false">IF($A96="","",IF($D96="Accelerator",MAX(0,F96-G96)*N(Settings!$M$19),0))</f>
        <v/>
      </c>
      <c r="M96" s="34" t="str">
        <f aca="false">IF($A96="","",I96+J96+K96+L96)</f>
        <v/>
      </c>
      <c r="N96" s="34" t="str">
        <f aca="false">IF(OR($A96="",Settings!$N$19=""),"",Settings!$N$19)</f>
        <v/>
      </c>
      <c r="O96" s="34" t="str">
        <f aca="false">IF($A96="","",IF(N96="",M96,MIN(M96,N96)))</f>
        <v/>
      </c>
      <c r="P96" s="34" t="str">
        <f aca="false">IF($A96="","",SUMIFS(Sales!$O$5:$O$304,Sales!$B$5:$B$304,$A96,Sales!$M$5:$M$304,$B96))</f>
        <v/>
      </c>
      <c r="Q96" s="34" t="str">
        <f aca="false">IF($A96="","",S95)</f>
        <v/>
      </c>
      <c r="R96" s="34" t="str">
        <f aca="false">IF($A96="","",MIN(O96,P96+Q96))</f>
        <v/>
      </c>
      <c r="S96" s="34" t="str">
        <f aca="false">IF($A96="","",P96+Q96-R96)</f>
        <v/>
      </c>
      <c r="T96" s="36" t="str">
        <f aca="false">IF($A96="","",O96-R96)</f>
        <v/>
      </c>
      <c r="U96" s="35" t="str">
        <f aca="false">IF($A96="","",IF(N(F96)=0,0,O96/F96))</f>
        <v/>
      </c>
    </row>
    <row r="97" customFormat="false" ht="15" hidden="false" customHeight="false" outlineLevel="0" collapsed="false">
      <c r="A97" s="32" t="str">
        <f aca="false">IF(Settings!$B$19="","",Settings!$B$19)</f>
        <v/>
      </c>
      <c r="B97" s="33" t="str">
        <f aca="false">IF($A97="","",8)</f>
        <v/>
      </c>
      <c r="C97" s="32" t="str">
        <f aca="false">IF($A97="","",INDEX(Settings!$Q$12:$Q$23,$B97))</f>
        <v/>
      </c>
      <c r="D97" s="32" t="str">
        <f aca="false">IF($A97="","",Settings!$D$19)</f>
        <v/>
      </c>
      <c r="E97" s="34" t="str">
        <f aca="false">IF($A97="","",SUMIFS(Sales!$E$5:$E$304,Sales!$B$5:$B$304,$A97,Sales!$J$5:$J$304,$B97,Sales!$K$5:$K$304,1))</f>
        <v/>
      </c>
      <c r="F97" s="34" t="str">
        <f aca="false">IF($A97="","",SUMIFS(Sales!$L$5:$L$304,Sales!$B$5:$B$304,$A97,Sales!$J$5:$J$304,$B97,Sales!$K$5:$K$304,1))</f>
        <v/>
      </c>
      <c r="G97" s="34" t="str">
        <f aca="false">IF($A97="","",N(Settings!$F$19))</f>
        <v/>
      </c>
      <c r="H97" s="35" t="str">
        <f aca="false">IF(OR($A97="",N(G97)=0),"",F97/G97)</f>
        <v/>
      </c>
      <c r="I97" s="34" t="str">
        <f aca="false">IF($A97="","",IF($D97="Flat rate",F97*N(Settings!$G$19),0))</f>
        <v/>
      </c>
      <c r="J97" s="34" t="str">
        <f aca="false">IF($A97="","",IF($D97="Tiered",MIN(F97,N(Settings!$H$19))*N(Settings!$I$19)+MAX(0,MIN(F97,N(Settings!$J$19))-N(Settings!$H$19))*N(Settings!$K$19)+MAX(0,F97-N(Settings!$J$19))*N(Settings!$L$19),0))</f>
        <v/>
      </c>
      <c r="K97" s="34" t="str">
        <f aca="false">IF($A97="","",IF($D97="Accelerator",MIN(F97,G97)*N(Settings!$G$19),0))</f>
        <v/>
      </c>
      <c r="L97" s="34" t="str">
        <f aca="false">IF($A97="","",IF($D97="Accelerator",MAX(0,F97-G97)*N(Settings!$M$19),0))</f>
        <v/>
      </c>
      <c r="M97" s="34" t="str">
        <f aca="false">IF($A97="","",I97+J97+K97+L97)</f>
        <v/>
      </c>
      <c r="N97" s="34" t="str">
        <f aca="false">IF(OR($A97="",Settings!$N$19=""),"",Settings!$N$19)</f>
        <v/>
      </c>
      <c r="O97" s="34" t="str">
        <f aca="false">IF($A97="","",IF(N97="",M97,MIN(M97,N97)))</f>
        <v/>
      </c>
      <c r="P97" s="34" t="str">
        <f aca="false">IF($A97="","",SUMIFS(Sales!$O$5:$O$304,Sales!$B$5:$B$304,$A97,Sales!$M$5:$M$304,$B97))</f>
        <v/>
      </c>
      <c r="Q97" s="34" t="str">
        <f aca="false">IF($A97="","",S96)</f>
        <v/>
      </c>
      <c r="R97" s="34" t="str">
        <f aca="false">IF($A97="","",MIN(O97,P97+Q97))</f>
        <v/>
      </c>
      <c r="S97" s="34" t="str">
        <f aca="false">IF($A97="","",P97+Q97-R97)</f>
        <v/>
      </c>
      <c r="T97" s="36" t="str">
        <f aca="false">IF($A97="","",O97-R97)</f>
        <v/>
      </c>
      <c r="U97" s="35" t="str">
        <f aca="false">IF($A97="","",IF(N(F97)=0,0,O97/F97))</f>
        <v/>
      </c>
    </row>
    <row r="98" customFormat="false" ht="15" hidden="false" customHeight="false" outlineLevel="0" collapsed="false">
      <c r="A98" s="32" t="str">
        <f aca="false">IF(Settings!$B$19="","",Settings!$B$19)</f>
        <v/>
      </c>
      <c r="B98" s="33" t="str">
        <f aca="false">IF($A98="","",9)</f>
        <v/>
      </c>
      <c r="C98" s="32" t="str">
        <f aca="false">IF($A98="","",INDEX(Settings!$Q$12:$Q$23,$B98))</f>
        <v/>
      </c>
      <c r="D98" s="32" t="str">
        <f aca="false">IF($A98="","",Settings!$D$19)</f>
        <v/>
      </c>
      <c r="E98" s="34" t="str">
        <f aca="false">IF($A98="","",SUMIFS(Sales!$E$5:$E$304,Sales!$B$5:$B$304,$A98,Sales!$J$5:$J$304,$B98,Sales!$K$5:$K$304,1))</f>
        <v/>
      </c>
      <c r="F98" s="34" t="str">
        <f aca="false">IF($A98="","",SUMIFS(Sales!$L$5:$L$304,Sales!$B$5:$B$304,$A98,Sales!$J$5:$J$304,$B98,Sales!$K$5:$K$304,1))</f>
        <v/>
      </c>
      <c r="G98" s="34" t="str">
        <f aca="false">IF($A98="","",N(Settings!$F$19))</f>
        <v/>
      </c>
      <c r="H98" s="35" t="str">
        <f aca="false">IF(OR($A98="",N(G98)=0),"",F98/G98)</f>
        <v/>
      </c>
      <c r="I98" s="34" t="str">
        <f aca="false">IF($A98="","",IF($D98="Flat rate",F98*N(Settings!$G$19),0))</f>
        <v/>
      </c>
      <c r="J98" s="34" t="str">
        <f aca="false">IF($A98="","",IF($D98="Tiered",MIN(F98,N(Settings!$H$19))*N(Settings!$I$19)+MAX(0,MIN(F98,N(Settings!$J$19))-N(Settings!$H$19))*N(Settings!$K$19)+MAX(0,F98-N(Settings!$J$19))*N(Settings!$L$19),0))</f>
        <v/>
      </c>
      <c r="K98" s="34" t="str">
        <f aca="false">IF($A98="","",IF($D98="Accelerator",MIN(F98,G98)*N(Settings!$G$19),0))</f>
        <v/>
      </c>
      <c r="L98" s="34" t="str">
        <f aca="false">IF($A98="","",IF($D98="Accelerator",MAX(0,F98-G98)*N(Settings!$M$19),0))</f>
        <v/>
      </c>
      <c r="M98" s="34" t="str">
        <f aca="false">IF($A98="","",I98+J98+K98+L98)</f>
        <v/>
      </c>
      <c r="N98" s="34" t="str">
        <f aca="false">IF(OR($A98="",Settings!$N$19=""),"",Settings!$N$19)</f>
        <v/>
      </c>
      <c r="O98" s="34" t="str">
        <f aca="false">IF($A98="","",IF(N98="",M98,MIN(M98,N98)))</f>
        <v/>
      </c>
      <c r="P98" s="34" t="str">
        <f aca="false">IF($A98="","",SUMIFS(Sales!$O$5:$O$304,Sales!$B$5:$B$304,$A98,Sales!$M$5:$M$304,$B98))</f>
        <v/>
      </c>
      <c r="Q98" s="34" t="str">
        <f aca="false">IF($A98="","",S97)</f>
        <v/>
      </c>
      <c r="R98" s="34" t="str">
        <f aca="false">IF($A98="","",MIN(O98,P98+Q98))</f>
        <v/>
      </c>
      <c r="S98" s="34" t="str">
        <f aca="false">IF($A98="","",P98+Q98-R98)</f>
        <v/>
      </c>
      <c r="T98" s="36" t="str">
        <f aca="false">IF($A98="","",O98-R98)</f>
        <v/>
      </c>
      <c r="U98" s="35" t="str">
        <f aca="false">IF($A98="","",IF(N(F98)=0,0,O98/F98))</f>
        <v/>
      </c>
    </row>
    <row r="99" customFormat="false" ht="15" hidden="false" customHeight="false" outlineLevel="0" collapsed="false">
      <c r="A99" s="32" t="str">
        <f aca="false">IF(Settings!$B$19="","",Settings!$B$19)</f>
        <v/>
      </c>
      <c r="B99" s="33" t="str">
        <f aca="false">IF($A99="","",10)</f>
        <v/>
      </c>
      <c r="C99" s="32" t="str">
        <f aca="false">IF($A99="","",INDEX(Settings!$Q$12:$Q$23,$B99))</f>
        <v/>
      </c>
      <c r="D99" s="32" t="str">
        <f aca="false">IF($A99="","",Settings!$D$19)</f>
        <v/>
      </c>
      <c r="E99" s="34" t="str">
        <f aca="false">IF($A99="","",SUMIFS(Sales!$E$5:$E$304,Sales!$B$5:$B$304,$A99,Sales!$J$5:$J$304,$B99,Sales!$K$5:$K$304,1))</f>
        <v/>
      </c>
      <c r="F99" s="34" t="str">
        <f aca="false">IF($A99="","",SUMIFS(Sales!$L$5:$L$304,Sales!$B$5:$B$304,$A99,Sales!$J$5:$J$304,$B99,Sales!$K$5:$K$304,1))</f>
        <v/>
      </c>
      <c r="G99" s="34" t="str">
        <f aca="false">IF($A99="","",N(Settings!$F$19))</f>
        <v/>
      </c>
      <c r="H99" s="35" t="str">
        <f aca="false">IF(OR($A99="",N(G99)=0),"",F99/G99)</f>
        <v/>
      </c>
      <c r="I99" s="34" t="str">
        <f aca="false">IF($A99="","",IF($D99="Flat rate",F99*N(Settings!$G$19),0))</f>
        <v/>
      </c>
      <c r="J99" s="34" t="str">
        <f aca="false">IF($A99="","",IF($D99="Tiered",MIN(F99,N(Settings!$H$19))*N(Settings!$I$19)+MAX(0,MIN(F99,N(Settings!$J$19))-N(Settings!$H$19))*N(Settings!$K$19)+MAX(0,F99-N(Settings!$J$19))*N(Settings!$L$19),0))</f>
        <v/>
      </c>
      <c r="K99" s="34" t="str">
        <f aca="false">IF($A99="","",IF($D99="Accelerator",MIN(F99,G99)*N(Settings!$G$19),0))</f>
        <v/>
      </c>
      <c r="L99" s="34" t="str">
        <f aca="false">IF($A99="","",IF($D99="Accelerator",MAX(0,F99-G99)*N(Settings!$M$19),0))</f>
        <v/>
      </c>
      <c r="M99" s="34" t="str">
        <f aca="false">IF($A99="","",I99+J99+K99+L99)</f>
        <v/>
      </c>
      <c r="N99" s="34" t="str">
        <f aca="false">IF(OR($A99="",Settings!$N$19=""),"",Settings!$N$19)</f>
        <v/>
      </c>
      <c r="O99" s="34" t="str">
        <f aca="false">IF($A99="","",IF(N99="",M99,MIN(M99,N99)))</f>
        <v/>
      </c>
      <c r="P99" s="34" t="str">
        <f aca="false">IF($A99="","",SUMIFS(Sales!$O$5:$O$304,Sales!$B$5:$B$304,$A99,Sales!$M$5:$M$304,$B99))</f>
        <v/>
      </c>
      <c r="Q99" s="34" t="str">
        <f aca="false">IF($A99="","",S98)</f>
        <v/>
      </c>
      <c r="R99" s="34" t="str">
        <f aca="false">IF($A99="","",MIN(O99,P99+Q99))</f>
        <v/>
      </c>
      <c r="S99" s="34" t="str">
        <f aca="false">IF($A99="","",P99+Q99-R99)</f>
        <v/>
      </c>
      <c r="T99" s="36" t="str">
        <f aca="false">IF($A99="","",O99-R99)</f>
        <v/>
      </c>
      <c r="U99" s="35" t="str">
        <f aca="false">IF($A99="","",IF(N(F99)=0,0,O99/F99))</f>
        <v/>
      </c>
    </row>
    <row r="100" customFormat="false" ht="15" hidden="false" customHeight="false" outlineLevel="0" collapsed="false">
      <c r="A100" s="32" t="str">
        <f aca="false">IF(Settings!$B$19="","",Settings!$B$19)</f>
        <v/>
      </c>
      <c r="B100" s="33" t="str">
        <f aca="false">IF($A100="","",11)</f>
        <v/>
      </c>
      <c r="C100" s="32" t="str">
        <f aca="false">IF($A100="","",INDEX(Settings!$Q$12:$Q$23,$B100))</f>
        <v/>
      </c>
      <c r="D100" s="32" t="str">
        <f aca="false">IF($A100="","",Settings!$D$19)</f>
        <v/>
      </c>
      <c r="E100" s="34" t="str">
        <f aca="false">IF($A100="","",SUMIFS(Sales!$E$5:$E$304,Sales!$B$5:$B$304,$A100,Sales!$J$5:$J$304,$B100,Sales!$K$5:$K$304,1))</f>
        <v/>
      </c>
      <c r="F100" s="34" t="str">
        <f aca="false">IF($A100="","",SUMIFS(Sales!$L$5:$L$304,Sales!$B$5:$B$304,$A100,Sales!$J$5:$J$304,$B100,Sales!$K$5:$K$304,1))</f>
        <v/>
      </c>
      <c r="G100" s="34" t="str">
        <f aca="false">IF($A100="","",N(Settings!$F$19))</f>
        <v/>
      </c>
      <c r="H100" s="35" t="str">
        <f aca="false">IF(OR($A100="",N(G100)=0),"",F100/G100)</f>
        <v/>
      </c>
      <c r="I100" s="34" t="str">
        <f aca="false">IF($A100="","",IF($D100="Flat rate",F100*N(Settings!$G$19),0))</f>
        <v/>
      </c>
      <c r="J100" s="34" t="str">
        <f aca="false">IF($A100="","",IF($D100="Tiered",MIN(F100,N(Settings!$H$19))*N(Settings!$I$19)+MAX(0,MIN(F100,N(Settings!$J$19))-N(Settings!$H$19))*N(Settings!$K$19)+MAX(0,F100-N(Settings!$J$19))*N(Settings!$L$19),0))</f>
        <v/>
      </c>
      <c r="K100" s="34" t="str">
        <f aca="false">IF($A100="","",IF($D100="Accelerator",MIN(F100,G100)*N(Settings!$G$19),0))</f>
        <v/>
      </c>
      <c r="L100" s="34" t="str">
        <f aca="false">IF($A100="","",IF($D100="Accelerator",MAX(0,F100-G100)*N(Settings!$M$19),0))</f>
        <v/>
      </c>
      <c r="M100" s="34" t="str">
        <f aca="false">IF($A100="","",I100+J100+K100+L100)</f>
        <v/>
      </c>
      <c r="N100" s="34" t="str">
        <f aca="false">IF(OR($A100="",Settings!$N$19=""),"",Settings!$N$19)</f>
        <v/>
      </c>
      <c r="O100" s="34" t="str">
        <f aca="false">IF($A100="","",IF(N100="",M100,MIN(M100,N100)))</f>
        <v/>
      </c>
      <c r="P100" s="34" t="str">
        <f aca="false">IF($A100="","",SUMIFS(Sales!$O$5:$O$304,Sales!$B$5:$B$304,$A100,Sales!$M$5:$M$304,$B100))</f>
        <v/>
      </c>
      <c r="Q100" s="34" t="str">
        <f aca="false">IF($A100="","",S99)</f>
        <v/>
      </c>
      <c r="R100" s="34" t="str">
        <f aca="false">IF($A100="","",MIN(O100,P100+Q100))</f>
        <v/>
      </c>
      <c r="S100" s="34" t="str">
        <f aca="false">IF($A100="","",P100+Q100-R100)</f>
        <v/>
      </c>
      <c r="T100" s="36" t="str">
        <f aca="false">IF($A100="","",O100-R100)</f>
        <v/>
      </c>
      <c r="U100" s="35" t="str">
        <f aca="false">IF($A100="","",IF(N(F100)=0,0,O100/F100))</f>
        <v/>
      </c>
    </row>
    <row r="101" customFormat="false" ht="15" hidden="false" customHeight="false" outlineLevel="0" collapsed="false">
      <c r="A101" s="37" t="str">
        <f aca="false">IF(Settings!$B$19="","",Settings!$B$19)</f>
        <v/>
      </c>
      <c r="B101" s="38" t="str">
        <f aca="false">IF($A101="","",12)</f>
        <v/>
      </c>
      <c r="C101" s="37" t="str">
        <f aca="false">IF($A101="","",INDEX(Settings!$Q$12:$Q$23,$B101))</f>
        <v/>
      </c>
      <c r="D101" s="37" t="str">
        <f aca="false">IF($A101="","",Settings!$D$19)</f>
        <v/>
      </c>
      <c r="E101" s="39" t="str">
        <f aca="false">IF($A101="","",SUMIFS(Sales!$E$5:$E$304,Sales!$B$5:$B$304,$A101,Sales!$J$5:$J$304,$B101,Sales!$K$5:$K$304,1))</f>
        <v/>
      </c>
      <c r="F101" s="39" t="str">
        <f aca="false">IF($A101="","",SUMIFS(Sales!$L$5:$L$304,Sales!$B$5:$B$304,$A101,Sales!$J$5:$J$304,$B101,Sales!$K$5:$K$304,1))</f>
        <v/>
      </c>
      <c r="G101" s="39" t="str">
        <f aca="false">IF($A101="","",N(Settings!$F$19))</f>
        <v/>
      </c>
      <c r="H101" s="40" t="str">
        <f aca="false">IF(OR($A101="",N(G101)=0),"",F101/G101)</f>
        <v/>
      </c>
      <c r="I101" s="39" t="str">
        <f aca="false">IF($A101="","",IF($D101="Flat rate",F101*N(Settings!$G$19),0))</f>
        <v/>
      </c>
      <c r="J101" s="39" t="str">
        <f aca="false">IF($A101="","",IF($D101="Tiered",MIN(F101,N(Settings!$H$19))*N(Settings!$I$19)+MAX(0,MIN(F101,N(Settings!$J$19))-N(Settings!$H$19))*N(Settings!$K$19)+MAX(0,F101-N(Settings!$J$19))*N(Settings!$L$19),0))</f>
        <v/>
      </c>
      <c r="K101" s="39" t="str">
        <f aca="false">IF($A101="","",IF($D101="Accelerator",MIN(F101,G101)*N(Settings!$G$19),0))</f>
        <v/>
      </c>
      <c r="L101" s="39" t="str">
        <f aca="false">IF($A101="","",IF($D101="Accelerator",MAX(0,F101-G101)*N(Settings!$M$19),0))</f>
        <v/>
      </c>
      <c r="M101" s="39" t="str">
        <f aca="false">IF($A101="","",I101+J101+K101+L101)</f>
        <v/>
      </c>
      <c r="N101" s="39" t="str">
        <f aca="false">IF(OR($A101="",Settings!$N$19=""),"",Settings!$N$19)</f>
        <v/>
      </c>
      <c r="O101" s="39" t="str">
        <f aca="false">IF($A101="","",IF(N101="",M101,MIN(M101,N101)))</f>
        <v/>
      </c>
      <c r="P101" s="39" t="str">
        <f aca="false">IF($A101="","",SUMIFS(Sales!$O$5:$O$304,Sales!$B$5:$B$304,$A101,Sales!$M$5:$M$304,$B101))</f>
        <v/>
      </c>
      <c r="Q101" s="39" t="str">
        <f aca="false">IF($A101="","",S100)</f>
        <v/>
      </c>
      <c r="R101" s="39" t="str">
        <f aca="false">IF($A101="","",MIN(O101,P101+Q101))</f>
        <v/>
      </c>
      <c r="S101" s="39" t="str">
        <f aca="false">IF($A101="","",P101+Q101-R101)</f>
        <v/>
      </c>
      <c r="T101" s="41" t="str">
        <f aca="false">IF($A101="","",O101-R101)</f>
        <v/>
      </c>
      <c r="U101" s="40" t="str">
        <f aca="false">IF($A101="","",IF(N(F101)=0,0,O101/F101))</f>
        <v/>
      </c>
    </row>
    <row r="102" customFormat="false" ht="15" hidden="false" customHeight="false" outlineLevel="0" collapsed="false">
      <c r="A102" s="32" t="str">
        <f aca="false">IF(Settings!$B$20="","",Settings!$B$20)</f>
        <v/>
      </c>
      <c r="B102" s="33" t="str">
        <f aca="false">IF($A102="","",1)</f>
        <v/>
      </c>
      <c r="C102" s="32" t="str">
        <f aca="false">IF($A102="","",INDEX(Settings!$Q$12:$Q$23,$B102))</f>
        <v/>
      </c>
      <c r="D102" s="32" t="str">
        <f aca="false">IF($A102="","",Settings!$D$20)</f>
        <v/>
      </c>
      <c r="E102" s="34" t="str">
        <f aca="false">IF($A102="","",SUMIFS(Sales!$E$5:$E$304,Sales!$B$5:$B$304,$A102,Sales!$J$5:$J$304,$B102,Sales!$K$5:$K$304,1))</f>
        <v/>
      </c>
      <c r="F102" s="34" t="str">
        <f aca="false">IF($A102="","",SUMIFS(Sales!$L$5:$L$304,Sales!$B$5:$B$304,$A102,Sales!$J$5:$J$304,$B102,Sales!$K$5:$K$304,1))</f>
        <v/>
      </c>
      <c r="G102" s="34" t="str">
        <f aca="false">IF($A102="","",N(Settings!$F$20))</f>
        <v/>
      </c>
      <c r="H102" s="35" t="str">
        <f aca="false">IF(OR($A102="",N(G102)=0),"",F102/G102)</f>
        <v/>
      </c>
      <c r="I102" s="34" t="str">
        <f aca="false">IF($A102="","",IF($D102="Flat rate",F102*N(Settings!$G$20),0))</f>
        <v/>
      </c>
      <c r="J102" s="34" t="str">
        <f aca="false">IF($A102="","",IF($D102="Tiered",MIN(F102,N(Settings!$H$20))*N(Settings!$I$20)+MAX(0,MIN(F102,N(Settings!$J$20))-N(Settings!$H$20))*N(Settings!$K$20)+MAX(0,F102-N(Settings!$J$20))*N(Settings!$L$20),0))</f>
        <v/>
      </c>
      <c r="K102" s="34" t="str">
        <f aca="false">IF($A102="","",IF($D102="Accelerator",MIN(F102,G102)*N(Settings!$G$20),0))</f>
        <v/>
      </c>
      <c r="L102" s="34" t="str">
        <f aca="false">IF($A102="","",IF($D102="Accelerator",MAX(0,F102-G102)*N(Settings!$M$20),0))</f>
        <v/>
      </c>
      <c r="M102" s="34" t="str">
        <f aca="false">IF($A102="","",I102+J102+K102+L102)</f>
        <v/>
      </c>
      <c r="N102" s="34" t="str">
        <f aca="false">IF(OR($A102="",Settings!$N$20=""),"",Settings!$N$20)</f>
        <v/>
      </c>
      <c r="O102" s="34" t="str">
        <f aca="false">IF($A102="","",IF(N102="",M102,MIN(M102,N102)))</f>
        <v/>
      </c>
      <c r="P102" s="34" t="str">
        <f aca="false">IF($A102="","",SUMIFS(Sales!$O$5:$O$304,Sales!$B$5:$B$304,$A102,Sales!$M$5:$M$304,$B102))</f>
        <v/>
      </c>
      <c r="Q102" s="34" t="str">
        <f aca="false">IF($A102="","",0)</f>
        <v/>
      </c>
      <c r="R102" s="34" t="str">
        <f aca="false">IF($A102="","",MIN(O102,P102+Q102))</f>
        <v/>
      </c>
      <c r="S102" s="34" t="str">
        <f aca="false">IF($A102="","",P102+Q102-R102)</f>
        <v/>
      </c>
      <c r="T102" s="36" t="str">
        <f aca="false">IF($A102="","",O102-R102)</f>
        <v/>
      </c>
      <c r="U102" s="35" t="str">
        <f aca="false">IF($A102="","",IF(N(F102)=0,0,O102/F102))</f>
        <v/>
      </c>
    </row>
    <row r="103" customFormat="false" ht="15" hidden="false" customHeight="false" outlineLevel="0" collapsed="false">
      <c r="A103" s="32" t="str">
        <f aca="false">IF(Settings!$B$20="","",Settings!$B$20)</f>
        <v/>
      </c>
      <c r="B103" s="33" t="str">
        <f aca="false">IF($A103="","",2)</f>
        <v/>
      </c>
      <c r="C103" s="32" t="str">
        <f aca="false">IF($A103="","",INDEX(Settings!$Q$12:$Q$23,$B103))</f>
        <v/>
      </c>
      <c r="D103" s="32" t="str">
        <f aca="false">IF($A103="","",Settings!$D$20)</f>
        <v/>
      </c>
      <c r="E103" s="34" t="str">
        <f aca="false">IF($A103="","",SUMIFS(Sales!$E$5:$E$304,Sales!$B$5:$B$304,$A103,Sales!$J$5:$J$304,$B103,Sales!$K$5:$K$304,1))</f>
        <v/>
      </c>
      <c r="F103" s="34" t="str">
        <f aca="false">IF($A103="","",SUMIFS(Sales!$L$5:$L$304,Sales!$B$5:$B$304,$A103,Sales!$J$5:$J$304,$B103,Sales!$K$5:$K$304,1))</f>
        <v/>
      </c>
      <c r="G103" s="34" t="str">
        <f aca="false">IF($A103="","",N(Settings!$F$20))</f>
        <v/>
      </c>
      <c r="H103" s="35" t="str">
        <f aca="false">IF(OR($A103="",N(G103)=0),"",F103/G103)</f>
        <v/>
      </c>
      <c r="I103" s="34" t="str">
        <f aca="false">IF($A103="","",IF($D103="Flat rate",F103*N(Settings!$G$20),0))</f>
        <v/>
      </c>
      <c r="J103" s="34" t="str">
        <f aca="false">IF($A103="","",IF($D103="Tiered",MIN(F103,N(Settings!$H$20))*N(Settings!$I$20)+MAX(0,MIN(F103,N(Settings!$J$20))-N(Settings!$H$20))*N(Settings!$K$20)+MAX(0,F103-N(Settings!$J$20))*N(Settings!$L$20),0))</f>
        <v/>
      </c>
      <c r="K103" s="34" t="str">
        <f aca="false">IF($A103="","",IF($D103="Accelerator",MIN(F103,G103)*N(Settings!$G$20),0))</f>
        <v/>
      </c>
      <c r="L103" s="34" t="str">
        <f aca="false">IF($A103="","",IF($D103="Accelerator",MAX(0,F103-G103)*N(Settings!$M$20),0))</f>
        <v/>
      </c>
      <c r="M103" s="34" t="str">
        <f aca="false">IF($A103="","",I103+J103+K103+L103)</f>
        <v/>
      </c>
      <c r="N103" s="34" t="str">
        <f aca="false">IF(OR($A103="",Settings!$N$20=""),"",Settings!$N$20)</f>
        <v/>
      </c>
      <c r="O103" s="34" t="str">
        <f aca="false">IF($A103="","",IF(N103="",M103,MIN(M103,N103)))</f>
        <v/>
      </c>
      <c r="P103" s="34" t="str">
        <f aca="false">IF($A103="","",SUMIFS(Sales!$O$5:$O$304,Sales!$B$5:$B$304,$A103,Sales!$M$5:$M$304,$B103))</f>
        <v/>
      </c>
      <c r="Q103" s="34" t="str">
        <f aca="false">IF($A103="","",S102)</f>
        <v/>
      </c>
      <c r="R103" s="34" t="str">
        <f aca="false">IF($A103="","",MIN(O103,P103+Q103))</f>
        <v/>
      </c>
      <c r="S103" s="34" t="str">
        <f aca="false">IF($A103="","",P103+Q103-R103)</f>
        <v/>
      </c>
      <c r="T103" s="36" t="str">
        <f aca="false">IF($A103="","",O103-R103)</f>
        <v/>
      </c>
      <c r="U103" s="35" t="str">
        <f aca="false">IF($A103="","",IF(N(F103)=0,0,O103/F103))</f>
        <v/>
      </c>
    </row>
    <row r="104" customFormat="false" ht="15" hidden="false" customHeight="false" outlineLevel="0" collapsed="false">
      <c r="A104" s="32" t="str">
        <f aca="false">IF(Settings!$B$20="","",Settings!$B$20)</f>
        <v/>
      </c>
      <c r="B104" s="33" t="str">
        <f aca="false">IF($A104="","",3)</f>
        <v/>
      </c>
      <c r="C104" s="32" t="str">
        <f aca="false">IF($A104="","",INDEX(Settings!$Q$12:$Q$23,$B104))</f>
        <v/>
      </c>
      <c r="D104" s="32" t="str">
        <f aca="false">IF($A104="","",Settings!$D$20)</f>
        <v/>
      </c>
      <c r="E104" s="34" t="str">
        <f aca="false">IF($A104="","",SUMIFS(Sales!$E$5:$E$304,Sales!$B$5:$B$304,$A104,Sales!$J$5:$J$304,$B104,Sales!$K$5:$K$304,1))</f>
        <v/>
      </c>
      <c r="F104" s="34" t="str">
        <f aca="false">IF($A104="","",SUMIFS(Sales!$L$5:$L$304,Sales!$B$5:$B$304,$A104,Sales!$J$5:$J$304,$B104,Sales!$K$5:$K$304,1))</f>
        <v/>
      </c>
      <c r="G104" s="34" t="str">
        <f aca="false">IF($A104="","",N(Settings!$F$20))</f>
        <v/>
      </c>
      <c r="H104" s="35" t="str">
        <f aca="false">IF(OR($A104="",N(G104)=0),"",F104/G104)</f>
        <v/>
      </c>
      <c r="I104" s="34" t="str">
        <f aca="false">IF($A104="","",IF($D104="Flat rate",F104*N(Settings!$G$20),0))</f>
        <v/>
      </c>
      <c r="J104" s="34" t="str">
        <f aca="false">IF($A104="","",IF($D104="Tiered",MIN(F104,N(Settings!$H$20))*N(Settings!$I$20)+MAX(0,MIN(F104,N(Settings!$J$20))-N(Settings!$H$20))*N(Settings!$K$20)+MAX(0,F104-N(Settings!$J$20))*N(Settings!$L$20),0))</f>
        <v/>
      </c>
      <c r="K104" s="34" t="str">
        <f aca="false">IF($A104="","",IF($D104="Accelerator",MIN(F104,G104)*N(Settings!$G$20),0))</f>
        <v/>
      </c>
      <c r="L104" s="34" t="str">
        <f aca="false">IF($A104="","",IF($D104="Accelerator",MAX(0,F104-G104)*N(Settings!$M$20),0))</f>
        <v/>
      </c>
      <c r="M104" s="34" t="str">
        <f aca="false">IF($A104="","",I104+J104+K104+L104)</f>
        <v/>
      </c>
      <c r="N104" s="34" t="str">
        <f aca="false">IF(OR($A104="",Settings!$N$20=""),"",Settings!$N$20)</f>
        <v/>
      </c>
      <c r="O104" s="34" t="str">
        <f aca="false">IF($A104="","",IF(N104="",M104,MIN(M104,N104)))</f>
        <v/>
      </c>
      <c r="P104" s="34" t="str">
        <f aca="false">IF($A104="","",SUMIFS(Sales!$O$5:$O$304,Sales!$B$5:$B$304,$A104,Sales!$M$5:$M$304,$B104))</f>
        <v/>
      </c>
      <c r="Q104" s="34" t="str">
        <f aca="false">IF($A104="","",S103)</f>
        <v/>
      </c>
      <c r="R104" s="34" t="str">
        <f aca="false">IF($A104="","",MIN(O104,P104+Q104))</f>
        <v/>
      </c>
      <c r="S104" s="34" t="str">
        <f aca="false">IF($A104="","",P104+Q104-R104)</f>
        <v/>
      </c>
      <c r="T104" s="36" t="str">
        <f aca="false">IF($A104="","",O104-R104)</f>
        <v/>
      </c>
      <c r="U104" s="35" t="str">
        <f aca="false">IF($A104="","",IF(N(F104)=0,0,O104/F104))</f>
        <v/>
      </c>
    </row>
    <row r="105" customFormat="false" ht="15" hidden="false" customHeight="false" outlineLevel="0" collapsed="false">
      <c r="A105" s="32" t="str">
        <f aca="false">IF(Settings!$B$20="","",Settings!$B$20)</f>
        <v/>
      </c>
      <c r="B105" s="33" t="str">
        <f aca="false">IF($A105="","",4)</f>
        <v/>
      </c>
      <c r="C105" s="32" t="str">
        <f aca="false">IF($A105="","",INDEX(Settings!$Q$12:$Q$23,$B105))</f>
        <v/>
      </c>
      <c r="D105" s="32" t="str">
        <f aca="false">IF($A105="","",Settings!$D$20)</f>
        <v/>
      </c>
      <c r="E105" s="34" t="str">
        <f aca="false">IF($A105="","",SUMIFS(Sales!$E$5:$E$304,Sales!$B$5:$B$304,$A105,Sales!$J$5:$J$304,$B105,Sales!$K$5:$K$304,1))</f>
        <v/>
      </c>
      <c r="F105" s="34" t="str">
        <f aca="false">IF($A105="","",SUMIFS(Sales!$L$5:$L$304,Sales!$B$5:$B$304,$A105,Sales!$J$5:$J$304,$B105,Sales!$K$5:$K$304,1))</f>
        <v/>
      </c>
      <c r="G105" s="34" t="str">
        <f aca="false">IF($A105="","",N(Settings!$F$20))</f>
        <v/>
      </c>
      <c r="H105" s="35" t="str">
        <f aca="false">IF(OR($A105="",N(G105)=0),"",F105/G105)</f>
        <v/>
      </c>
      <c r="I105" s="34" t="str">
        <f aca="false">IF($A105="","",IF($D105="Flat rate",F105*N(Settings!$G$20),0))</f>
        <v/>
      </c>
      <c r="J105" s="34" t="str">
        <f aca="false">IF($A105="","",IF($D105="Tiered",MIN(F105,N(Settings!$H$20))*N(Settings!$I$20)+MAX(0,MIN(F105,N(Settings!$J$20))-N(Settings!$H$20))*N(Settings!$K$20)+MAX(0,F105-N(Settings!$J$20))*N(Settings!$L$20),0))</f>
        <v/>
      </c>
      <c r="K105" s="34" t="str">
        <f aca="false">IF($A105="","",IF($D105="Accelerator",MIN(F105,G105)*N(Settings!$G$20),0))</f>
        <v/>
      </c>
      <c r="L105" s="34" t="str">
        <f aca="false">IF($A105="","",IF($D105="Accelerator",MAX(0,F105-G105)*N(Settings!$M$20),0))</f>
        <v/>
      </c>
      <c r="M105" s="34" t="str">
        <f aca="false">IF($A105="","",I105+J105+K105+L105)</f>
        <v/>
      </c>
      <c r="N105" s="34" t="str">
        <f aca="false">IF(OR($A105="",Settings!$N$20=""),"",Settings!$N$20)</f>
        <v/>
      </c>
      <c r="O105" s="34" t="str">
        <f aca="false">IF($A105="","",IF(N105="",M105,MIN(M105,N105)))</f>
        <v/>
      </c>
      <c r="P105" s="34" t="str">
        <f aca="false">IF($A105="","",SUMIFS(Sales!$O$5:$O$304,Sales!$B$5:$B$304,$A105,Sales!$M$5:$M$304,$B105))</f>
        <v/>
      </c>
      <c r="Q105" s="34" t="str">
        <f aca="false">IF($A105="","",S104)</f>
        <v/>
      </c>
      <c r="R105" s="34" t="str">
        <f aca="false">IF($A105="","",MIN(O105,P105+Q105))</f>
        <v/>
      </c>
      <c r="S105" s="34" t="str">
        <f aca="false">IF($A105="","",P105+Q105-R105)</f>
        <v/>
      </c>
      <c r="T105" s="36" t="str">
        <f aca="false">IF($A105="","",O105-R105)</f>
        <v/>
      </c>
      <c r="U105" s="35" t="str">
        <f aca="false">IF($A105="","",IF(N(F105)=0,0,O105/F105))</f>
        <v/>
      </c>
    </row>
    <row r="106" customFormat="false" ht="15" hidden="false" customHeight="false" outlineLevel="0" collapsed="false">
      <c r="A106" s="32" t="str">
        <f aca="false">IF(Settings!$B$20="","",Settings!$B$20)</f>
        <v/>
      </c>
      <c r="B106" s="33" t="str">
        <f aca="false">IF($A106="","",5)</f>
        <v/>
      </c>
      <c r="C106" s="32" t="str">
        <f aca="false">IF($A106="","",INDEX(Settings!$Q$12:$Q$23,$B106))</f>
        <v/>
      </c>
      <c r="D106" s="32" t="str">
        <f aca="false">IF($A106="","",Settings!$D$20)</f>
        <v/>
      </c>
      <c r="E106" s="34" t="str">
        <f aca="false">IF($A106="","",SUMIFS(Sales!$E$5:$E$304,Sales!$B$5:$B$304,$A106,Sales!$J$5:$J$304,$B106,Sales!$K$5:$K$304,1))</f>
        <v/>
      </c>
      <c r="F106" s="34" t="str">
        <f aca="false">IF($A106="","",SUMIFS(Sales!$L$5:$L$304,Sales!$B$5:$B$304,$A106,Sales!$J$5:$J$304,$B106,Sales!$K$5:$K$304,1))</f>
        <v/>
      </c>
      <c r="G106" s="34" t="str">
        <f aca="false">IF($A106="","",N(Settings!$F$20))</f>
        <v/>
      </c>
      <c r="H106" s="35" t="str">
        <f aca="false">IF(OR($A106="",N(G106)=0),"",F106/G106)</f>
        <v/>
      </c>
      <c r="I106" s="34" t="str">
        <f aca="false">IF($A106="","",IF($D106="Flat rate",F106*N(Settings!$G$20),0))</f>
        <v/>
      </c>
      <c r="J106" s="34" t="str">
        <f aca="false">IF($A106="","",IF($D106="Tiered",MIN(F106,N(Settings!$H$20))*N(Settings!$I$20)+MAX(0,MIN(F106,N(Settings!$J$20))-N(Settings!$H$20))*N(Settings!$K$20)+MAX(0,F106-N(Settings!$J$20))*N(Settings!$L$20),0))</f>
        <v/>
      </c>
      <c r="K106" s="34" t="str">
        <f aca="false">IF($A106="","",IF($D106="Accelerator",MIN(F106,G106)*N(Settings!$G$20),0))</f>
        <v/>
      </c>
      <c r="L106" s="34" t="str">
        <f aca="false">IF($A106="","",IF($D106="Accelerator",MAX(0,F106-G106)*N(Settings!$M$20),0))</f>
        <v/>
      </c>
      <c r="M106" s="34" t="str">
        <f aca="false">IF($A106="","",I106+J106+K106+L106)</f>
        <v/>
      </c>
      <c r="N106" s="34" t="str">
        <f aca="false">IF(OR($A106="",Settings!$N$20=""),"",Settings!$N$20)</f>
        <v/>
      </c>
      <c r="O106" s="34" t="str">
        <f aca="false">IF($A106="","",IF(N106="",M106,MIN(M106,N106)))</f>
        <v/>
      </c>
      <c r="P106" s="34" t="str">
        <f aca="false">IF($A106="","",SUMIFS(Sales!$O$5:$O$304,Sales!$B$5:$B$304,$A106,Sales!$M$5:$M$304,$B106))</f>
        <v/>
      </c>
      <c r="Q106" s="34" t="str">
        <f aca="false">IF($A106="","",S105)</f>
        <v/>
      </c>
      <c r="R106" s="34" t="str">
        <f aca="false">IF($A106="","",MIN(O106,P106+Q106))</f>
        <v/>
      </c>
      <c r="S106" s="34" t="str">
        <f aca="false">IF($A106="","",P106+Q106-R106)</f>
        <v/>
      </c>
      <c r="T106" s="36" t="str">
        <f aca="false">IF($A106="","",O106-R106)</f>
        <v/>
      </c>
      <c r="U106" s="35" t="str">
        <f aca="false">IF($A106="","",IF(N(F106)=0,0,O106/F106))</f>
        <v/>
      </c>
    </row>
    <row r="107" customFormat="false" ht="15" hidden="false" customHeight="false" outlineLevel="0" collapsed="false">
      <c r="A107" s="32" t="str">
        <f aca="false">IF(Settings!$B$20="","",Settings!$B$20)</f>
        <v/>
      </c>
      <c r="B107" s="33" t="str">
        <f aca="false">IF($A107="","",6)</f>
        <v/>
      </c>
      <c r="C107" s="32" t="str">
        <f aca="false">IF($A107="","",INDEX(Settings!$Q$12:$Q$23,$B107))</f>
        <v/>
      </c>
      <c r="D107" s="32" t="str">
        <f aca="false">IF($A107="","",Settings!$D$20)</f>
        <v/>
      </c>
      <c r="E107" s="34" t="str">
        <f aca="false">IF($A107="","",SUMIFS(Sales!$E$5:$E$304,Sales!$B$5:$B$304,$A107,Sales!$J$5:$J$304,$B107,Sales!$K$5:$K$304,1))</f>
        <v/>
      </c>
      <c r="F107" s="34" t="str">
        <f aca="false">IF($A107="","",SUMIFS(Sales!$L$5:$L$304,Sales!$B$5:$B$304,$A107,Sales!$J$5:$J$304,$B107,Sales!$K$5:$K$304,1))</f>
        <v/>
      </c>
      <c r="G107" s="34" t="str">
        <f aca="false">IF($A107="","",N(Settings!$F$20))</f>
        <v/>
      </c>
      <c r="H107" s="35" t="str">
        <f aca="false">IF(OR($A107="",N(G107)=0),"",F107/G107)</f>
        <v/>
      </c>
      <c r="I107" s="34" t="str">
        <f aca="false">IF($A107="","",IF($D107="Flat rate",F107*N(Settings!$G$20),0))</f>
        <v/>
      </c>
      <c r="J107" s="34" t="str">
        <f aca="false">IF($A107="","",IF($D107="Tiered",MIN(F107,N(Settings!$H$20))*N(Settings!$I$20)+MAX(0,MIN(F107,N(Settings!$J$20))-N(Settings!$H$20))*N(Settings!$K$20)+MAX(0,F107-N(Settings!$J$20))*N(Settings!$L$20),0))</f>
        <v/>
      </c>
      <c r="K107" s="34" t="str">
        <f aca="false">IF($A107="","",IF($D107="Accelerator",MIN(F107,G107)*N(Settings!$G$20),0))</f>
        <v/>
      </c>
      <c r="L107" s="34" t="str">
        <f aca="false">IF($A107="","",IF($D107="Accelerator",MAX(0,F107-G107)*N(Settings!$M$20),0))</f>
        <v/>
      </c>
      <c r="M107" s="34" t="str">
        <f aca="false">IF($A107="","",I107+J107+K107+L107)</f>
        <v/>
      </c>
      <c r="N107" s="34" t="str">
        <f aca="false">IF(OR($A107="",Settings!$N$20=""),"",Settings!$N$20)</f>
        <v/>
      </c>
      <c r="O107" s="34" t="str">
        <f aca="false">IF($A107="","",IF(N107="",M107,MIN(M107,N107)))</f>
        <v/>
      </c>
      <c r="P107" s="34" t="str">
        <f aca="false">IF($A107="","",SUMIFS(Sales!$O$5:$O$304,Sales!$B$5:$B$304,$A107,Sales!$M$5:$M$304,$B107))</f>
        <v/>
      </c>
      <c r="Q107" s="34" t="str">
        <f aca="false">IF($A107="","",S106)</f>
        <v/>
      </c>
      <c r="R107" s="34" t="str">
        <f aca="false">IF($A107="","",MIN(O107,P107+Q107))</f>
        <v/>
      </c>
      <c r="S107" s="34" t="str">
        <f aca="false">IF($A107="","",P107+Q107-R107)</f>
        <v/>
      </c>
      <c r="T107" s="36" t="str">
        <f aca="false">IF($A107="","",O107-R107)</f>
        <v/>
      </c>
      <c r="U107" s="35" t="str">
        <f aca="false">IF($A107="","",IF(N(F107)=0,0,O107/F107))</f>
        <v/>
      </c>
    </row>
    <row r="108" customFormat="false" ht="15" hidden="false" customHeight="false" outlineLevel="0" collapsed="false">
      <c r="A108" s="32" t="str">
        <f aca="false">IF(Settings!$B$20="","",Settings!$B$20)</f>
        <v/>
      </c>
      <c r="B108" s="33" t="str">
        <f aca="false">IF($A108="","",7)</f>
        <v/>
      </c>
      <c r="C108" s="32" t="str">
        <f aca="false">IF($A108="","",INDEX(Settings!$Q$12:$Q$23,$B108))</f>
        <v/>
      </c>
      <c r="D108" s="32" t="str">
        <f aca="false">IF($A108="","",Settings!$D$20)</f>
        <v/>
      </c>
      <c r="E108" s="34" t="str">
        <f aca="false">IF($A108="","",SUMIFS(Sales!$E$5:$E$304,Sales!$B$5:$B$304,$A108,Sales!$J$5:$J$304,$B108,Sales!$K$5:$K$304,1))</f>
        <v/>
      </c>
      <c r="F108" s="34" t="str">
        <f aca="false">IF($A108="","",SUMIFS(Sales!$L$5:$L$304,Sales!$B$5:$B$304,$A108,Sales!$J$5:$J$304,$B108,Sales!$K$5:$K$304,1))</f>
        <v/>
      </c>
      <c r="G108" s="34" t="str">
        <f aca="false">IF($A108="","",N(Settings!$F$20))</f>
        <v/>
      </c>
      <c r="H108" s="35" t="str">
        <f aca="false">IF(OR($A108="",N(G108)=0),"",F108/G108)</f>
        <v/>
      </c>
      <c r="I108" s="34" t="str">
        <f aca="false">IF($A108="","",IF($D108="Flat rate",F108*N(Settings!$G$20),0))</f>
        <v/>
      </c>
      <c r="J108" s="34" t="str">
        <f aca="false">IF($A108="","",IF($D108="Tiered",MIN(F108,N(Settings!$H$20))*N(Settings!$I$20)+MAX(0,MIN(F108,N(Settings!$J$20))-N(Settings!$H$20))*N(Settings!$K$20)+MAX(0,F108-N(Settings!$J$20))*N(Settings!$L$20),0))</f>
        <v/>
      </c>
      <c r="K108" s="34" t="str">
        <f aca="false">IF($A108="","",IF($D108="Accelerator",MIN(F108,G108)*N(Settings!$G$20),0))</f>
        <v/>
      </c>
      <c r="L108" s="34" t="str">
        <f aca="false">IF($A108="","",IF($D108="Accelerator",MAX(0,F108-G108)*N(Settings!$M$20),0))</f>
        <v/>
      </c>
      <c r="M108" s="34" t="str">
        <f aca="false">IF($A108="","",I108+J108+K108+L108)</f>
        <v/>
      </c>
      <c r="N108" s="34" t="str">
        <f aca="false">IF(OR($A108="",Settings!$N$20=""),"",Settings!$N$20)</f>
        <v/>
      </c>
      <c r="O108" s="34" t="str">
        <f aca="false">IF($A108="","",IF(N108="",M108,MIN(M108,N108)))</f>
        <v/>
      </c>
      <c r="P108" s="34" t="str">
        <f aca="false">IF($A108="","",SUMIFS(Sales!$O$5:$O$304,Sales!$B$5:$B$304,$A108,Sales!$M$5:$M$304,$B108))</f>
        <v/>
      </c>
      <c r="Q108" s="34" t="str">
        <f aca="false">IF($A108="","",S107)</f>
        <v/>
      </c>
      <c r="R108" s="34" t="str">
        <f aca="false">IF($A108="","",MIN(O108,P108+Q108))</f>
        <v/>
      </c>
      <c r="S108" s="34" t="str">
        <f aca="false">IF($A108="","",P108+Q108-R108)</f>
        <v/>
      </c>
      <c r="T108" s="36" t="str">
        <f aca="false">IF($A108="","",O108-R108)</f>
        <v/>
      </c>
      <c r="U108" s="35" t="str">
        <f aca="false">IF($A108="","",IF(N(F108)=0,0,O108/F108))</f>
        <v/>
      </c>
    </row>
    <row r="109" customFormat="false" ht="15" hidden="false" customHeight="false" outlineLevel="0" collapsed="false">
      <c r="A109" s="32" t="str">
        <f aca="false">IF(Settings!$B$20="","",Settings!$B$20)</f>
        <v/>
      </c>
      <c r="B109" s="33" t="str">
        <f aca="false">IF($A109="","",8)</f>
        <v/>
      </c>
      <c r="C109" s="32" t="str">
        <f aca="false">IF($A109="","",INDEX(Settings!$Q$12:$Q$23,$B109))</f>
        <v/>
      </c>
      <c r="D109" s="32" t="str">
        <f aca="false">IF($A109="","",Settings!$D$20)</f>
        <v/>
      </c>
      <c r="E109" s="34" t="str">
        <f aca="false">IF($A109="","",SUMIFS(Sales!$E$5:$E$304,Sales!$B$5:$B$304,$A109,Sales!$J$5:$J$304,$B109,Sales!$K$5:$K$304,1))</f>
        <v/>
      </c>
      <c r="F109" s="34" t="str">
        <f aca="false">IF($A109="","",SUMIFS(Sales!$L$5:$L$304,Sales!$B$5:$B$304,$A109,Sales!$J$5:$J$304,$B109,Sales!$K$5:$K$304,1))</f>
        <v/>
      </c>
      <c r="G109" s="34" t="str">
        <f aca="false">IF($A109="","",N(Settings!$F$20))</f>
        <v/>
      </c>
      <c r="H109" s="35" t="str">
        <f aca="false">IF(OR($A109="",N(G109)=0),"",F109/G109)</f>
        <v/>
      </c>
      <c r="I109" s="34" t="str">
        <f aca="false">IF($A109="","",IF($D109="Flat rate",F109*N(Settings!$G$20),0))</f>
        <v/>
      </c>
      <c r="J109" s="34" t="str">
        <f aca="false">IF($A109="","",IF($D109="Tiered",MIN(F109,N(Settings!$H$20))*N(Settings!$I$20)+MAX(0,MIN(F109,N(Settings!$J$20))-N(Settings!$H$20))*N(Settings!$K$20)+MAX(0,F109-N(Settings!$J$20))*N(Settings!$L$20),0))</f>
        <v/>
      </c>
      <c r="K109" s="34" t="str">
        <f aca="false">IF($A109="","",IF($D109="Accelerator",MIN(F109,G109)*N(Settings!$G$20),0))</f>
        <v/>
      </c>
      <c r="L109" s="34" t="str">
        <f aca="false">IF($A109="","",IF($D109="Accelerator",MAX(0,F109-G109)*N(Settings!$M$20),0))</f>
        <v/>
      </c>
      <c r="M109" s="34" t="str">
        <f aca="false">IF($A109="","",I109+J109+K109+L109)</f>
        <v/>
      </c>
      <c r="N109" s="34" t="str">
        <f aca="false">IF(OR($A109="",Settings!$N$20=""),"",Settings!$N$20)</f>
        <v/>
      </c>
      <c r="O109" s="34" t="str">
        <f aca="false">IF($A109="","",IF(N109="",M109,MIN(M109,N109)))</f>
        <v/>
      </c>
      <c r="P109" s="34" t="str">
        <f aca="false">IF($A109="","",SUMIFS(Sales!$O$5:$O$304,Sales!$B$5:$B$304,$A109,Sales!$M$5:$M$304,$B109))</f>
        <v/>
      </c>
      <c r="Q109" s="34" t="str">
        <f aca="false">IF($A109="","",S108)</f>
        <v/>
      </c>
      <c r="R109" s="34" t="str">
        <f aca="false">IF($A109="","",MIN(O109,P109+Q109))</f>
        <v/>
      </c>
      <c r="S109" s="34" t="str">
        <f aca="false">IF($A109="","",P109+Q109-R109)</f>
        <v/>
      </c>
      <c r="T109" s="36" t="str">
        <f aca="false">IF($A109="","",O109-R109)</f>
        <v/>
      </c>
      <c r="U109" s="35" t="str">
        <f aca="false">IF($A109="","",IF(N(F109)=0,0,O109/F109))</f>
        <v/>
      </c>
    </row>
    <row r="110" customFormat="false" ht="15" hidden="false" customHeight="false" outlineLevel="0" collapsed="false">
      <c r="A110" s="32" t="str">
        <f aca="false">IF(Settings!$B$20="","",Settings!$B$20)</f>
        <v/>
      </c>
      <c r="B110" s="33" t="str">
        <f aca="false">IF($A110="","",9)</f>
        <v/>
      </c>
      <c r="C110" s="32" t="str">
        <f aca="false">IF($A110="","",INDEX(Settings!$Q$12:$Q$23,$B110))</f>
        <v/>
      </c>
      <c r="D110" s="32" t="str">
        <f aca="false">IF($A110="","",Settings!$D$20)</f>
        <v/>
      </c>
      <c r="E110" s="34" t="str">
        <f aca="false">IF($A110="","",SUMIFS(Sales!$E$5:$E$304,Sales!$B$5:$B$304,$A110,Sales!$J$5:$J$304,$B110,Sales!$K$5:$K$304,1))</f>
        <v/>
      </c>
      <c r="F110" s="34" t="str">
        <f aca="false">IF($A110="","",SUMIFS(Sales!$L$5:$L$304,Sales!$B$5:$B$304,$A110,Sales!$J$5:$J$304,$B110,Sales!$K$5:$K$304,1))</f>
        <v/>
      </c>
      <c r="G110" s="34" t="str">
        <f aca="false">IF($A110="","",N(Settings!$F$20))</f>
        <v/>
      </c>
      <c r="H110" s="35" t="str">
        <f aca="false">IF(OR($A110="",N(G110)=0),"",F110/G110)</f>
        <v/>
      </c>
      <c r="I110" s="34" t="str">
        <f aca="false">IF($A110="","",IF($D110="Flat rate",F110*N(Settings!$G$20),0))</f>
        <v/>
      </c>
      <c r="J110" s="34" t="str">
        <f aca="false">IF($A110="","",IF($D110="Tiered",MIN(F110,N(Settings!$H$20))*N(Settings!$I$20)+MAX(0,MIN(F110,N(Settings!$J$20))-N(Settings!$H$20))*N(Settings!$K$20)+MAX(0,F110-N(Settings!$J$20))*N(Settings!$L$20),0))</f>
        <v/>
      </c>
      <c r="K110" s="34" t="str">
        <f aca="false">IF($A110="","",IF($D110="Accelerator",MIN(F110,G110)*N(Settings!$G$20),0))</f>
        <v/>
      </c>
      <c r="L110" s="34" t="str">
        <f aca="false">IF($A110="","",IF($D110="Accelerator",MAX(0,F110-G110)*N(Settings!$M$20),0))</f>
        <v/>
      </c>
      <c r="M110" s="34" t="str">
        <f aca="false">IF($A110="","",I110+J110+K110+L110)</f>
        <v/>
      </c>
      <c r="N110" s="34" t="str">
        <f aca="false">IF(OR($A110="",Settings!$N$20=""),"",Settings!$N$20)</f>
        <v/>
      </c>
      <c r="O110" s="34" t="str">
        <f aca="false">IF($A110="","",IF(N110="",M110,MIN(M110,N110)))</f>
        <v/>
      </c>
      <c r="P110" s="34" t="str">
        <f aca="false">IF($A110="","",SUMIFS(Sales!$O$5:$O$304,Sales!$B$5:$B$304,$A110,Sales!$M$5:$M$304,$B110))</f>
        <v/>
      </c>
      <c r="Q110" s="34" t="str">
        <f aca="false">IF($A110="","",S109)</f>
        <v/>
      </c>
      <c r="R110" s="34" t="str">
        <f aca="false">IF($A110="","",MIN(O110,P110+Q110))</f>
        <v/>
      </c>
      <c r="S110" s="34" t="str">
        <f aca="false">IF($A110="","",P110+Q110-R110)</f>
        <v/>
      </c>
      <c r="T110" s="36" t="str">
        <f aca="false">IF($A110="","",O110-R110)</f>
        <v/>
      </c>
      <c r="U110" s="35" t="str">
        <f aca="false">IF($A110="","",IF(N(F110)=0,0,O110/F110))</f>
        <v/>
      </c>
    </row>
    <row r="111" customFormat="false" ht="15" hidden="false" customHeight="false" outlineLevel="0" collapsed="false">
      <c r="A111" s="32" t="str">
        <f aca="false">IF(Settings!$B$20="","",Settings!$B$20)</f>
        <v/>
      </c>
      <c r="B111" s="33" t="str">
        <f aca="false">IF($A111="","",10)</f>
        <v/>
      </c>
      <c r="C111" s="32" t="str">
        <f aca="false">IF($A111="","",INDEX(Settings!$Q$12:$Q$23,$B111))</f>
        <v/>
      </c>
      <c r="D111" s="32" t="str">
        <f aca="false">IF($A111="","",Settings!$D$20)</f>
        <v/>
      </c>
      <c r="E111" s="34" t="str">
        <f aca="false">IF($A111="","",SUMIFS(Sales!$E$5:$E$304,Sales!$B$5:$B$304,$A111,Sales!$J$5:$J$304,$B111,Sales!$K$5:$K$304,1))</f>
        <v/>
      </c>
      <c r="F111" s="34" t="str">
        <f aca="false">IF($A111="","",SUMIFS(Sales!$L$5:$L$304,Sales!$B$5:$B$304,$A111,Sales!$J$5:$J$304,$B111,Sales!$K$5:$K$304,1))</f>
        <v/>
      </c>
      <c r="G111" s="34" t="str">
        <f aca="false">IF($A111="","",N(Settings!$F$20))</f>
        <v/>
      </c>
      <c r="H111" s="35" t="str">
        <f aca="false">IF(OR($A111="",N(G111)=0),"",F111/G111)</f>
        <v/>
      </c>
      <c r="I111" s="34" t="str">
        <f aca="false">IF($A111="","",IF($D111="Flat rate",F111*N(Settings!$G$20),0))</f>
        <v/>
      </c>
      <c r="J111" s="34" t="str">
        <f aca="false">IF($A111="","",IF($D111="Tiered",MIN(F111,N(Settings!$H$20))*N(Settings!$I$20)+MAX(0,MIN(F111,N(Settings!$J$20))-N(Settings!$H$20))*N(Settings!$K$20)+MAX(0,F111-N(Settings!$J$20))*N(Settings!$L$20),0))</f>
        <v/>
      </c>
      <c r="K111" s="34" t="str">
        <f aca="false">IF($A111="","",IF($D111="Accelerator",MIN(F111,G111)*N(Settings!$G$20),0))</f>
        <v/>
      </c>
      <c r="L111" s="34" t="str">
        <f aca="false">IF($A111="","",IF($D111="Accelerator",MAX(0,F111-G111)*N(Settings!$M$20),0))</f>
        <v/>
      </c>
      <c r="M111" s="34" t="str">
        <f aca="false">IF($A111="","",I111+J111+K111+L111)</f>
        <v/>
      </c>
      <c r="N111" s="34" t="str">
        <f aca="false">IF(OR($A111="",Settings!$N$20=""),"",Settings!$N$20)</f>
        <v/>
      </c>
      <c r="O111" s="34" t="str">
        <f aca="false">IF($A111="","",IF(N111="",M111,MIN(M111,N111)))</f>
        <v/>
      </c>
      <c r="P111" s="34" t="str">
        <f aca="false">IF($A111="","",SUMIFS(Sales!$O$5:$O$304,Sales!$B$5:$B$304,$A111,Sales!$M$5:$M$304,$B111))</f>
        <v/>
      </c>
      <c r="Q111" s="34" t="str">
        <f aca="false">IF($A111="","",S110)</f>
        <v/>
      </c>
      <c r="R111" s="34" t="str">
        <f aca="false">IF($A111="","",MIN(O111,P111+Q111))</f>
        <v/>
      </c>
      <c r="S111" s="34" t="str">
        <f aca="false">IF($A111="","",P111+Q111-R111)</f>
        <v/>
      </c>
      <c r="T111" s="36" t="str">
        <f aca="false">IF($A111="","",O111-R111)</f>
        <v/>
      </c>
      <c r="U111" s="35" t="str">
        <f aca="false">IF($A111="","",IF(N(F111)=0,0,O111/F111))</f>
        <v/>
      </c>
    </row>
    <row r="112" customFormat="false" ht="15" hidden="false" customHeight="false" outlineLevel="0" collapsed="false">
      <c r="A112" s="32" t="str">
        <f aca="false">IF(Settings!$B$20="","",Settings!$B$20)</f>
        <v/>
      </c>
      <c r="B112" s="33" t="str">
        <f aca="false">IF($A112="","",11)</f>
        <v/>
      </c>
      <c r="C112" s="32" t="str">
        <f aca="false">IF($A112="","",INDEX(Settings!$Q$12:$Q$23,$B112))</f>
        <v/>
      </c>
      <c r="D112" s="32" t="str">
        <f aca="false">IF($A112="","",Settings!$D$20)</f>
        <v/>
      </c>
      <c r="E112" s="34" t="str">
        <f aca="false">IF($A112="","",SUMIFS(Sales!$E$5:$E$304,Sales!$B$5:$B$304,$A112,Sales!$J$5:$J$304,$B112,Sales!$K$5:$K$304,1))</f>
        <v/>
      </c>
      <c r="F112" s="34" t="str">
        <f aca="false">IF($A112="","",SUMIFS(Sales!$L$5:$L$304,Sales!$B$5:$B$304,$A112,Sales!$J$5:$J$304,$B112,Sales!$K$5:$K$304,1))</f>
        <v/>
      </c>
      <c r="G112" s="34" t="str">
        <f aca="false">IF($A112="","",N(Settings!$F$20))</f>
        <v/>
      </c>
      <c r="H112" s="35" t="str">
        <f aca="false">IF(OR($A112="",N(G112)=0),"",F112/G112)</f>
        <v/>
      </c>
      <c r="I112" s="34" t="str">
        <f aca="false">IF($A112="","",IF($D112="Flat rate",F112*N(Settings!$G$20),0))</f>
        <v/>
      </c>
      <c r="J112" s="34" t="str">
        <f aca="false">IF($A112="","",IF($D112="Tiered",MIN(F112,N(Settings!$H$20))*N(Settings!$I$20)+MAX(0,MIN(F112,N(Settings!$J$20))-N(Settings!$H$20))*N(Settings!$K$20)+MAX(0,F112-N(Settings!$J$20))*N(Settings!$L$20),0))</f>
        <v/>
      </c>
      <c r="K112" s="34" t="str">
        <f aca="false">IF($A112="","",IF($D112="Accelerator",MIN(F112,G112)*N(Settings!$G$20),0))</f>
        <v/>
      </c>
      <c r="L112" s="34" t="str">
        <f aca="false">IF($A112="","",IF($D112="Accelerator",MAX(0,F112-G112)*N(Settings!$M$20),0))</f>
        <v/>
      </c>
      <c r="M112" s="34" t="str">
        <f aca="false">IF($A112="","",I112+J112+K112+L112)</f>
        <v/>
      </c>
      <c r="N112" s="34" t="str">
        <f aca="false">IF(OR($A112="",Settings!$N$20=""),"",Settings!$N$20)</f>
        <v/>
      </c>
      <c r="O112" s="34" t="str">
        <f aca="false">IF($A112="","",IF(N112="",M112,MIN(M112,N112)))</f>
        <v/>
      </c>
      <c r="P112" s="34" t="str">
        <f aca="false">IF($A112="","",SUMIFS(Sales!$O$5:$O$304,Sales!$B$5:$B$304,$A112,Sales!$M$5:$M$304,$B112))</f>
        <v/>
      </c>
      <c r="Q112" s="34" t="str">
        <f aca="false">IF($A112="","",S111)</f>
        <v/>
      </c>
      <c r="R112" s="34" t="str">
        <f aca="false">IF($A112="","",MIN(O112,P112+Q112))</f>
        <v/>
      </c>
      <c r="S112" s="34" t="str">
        <f aca="false">IF($A112="","",P112+Q112-R112)</f>
        <v/>
      </c>
      <c r="T112" s="36" t="str">
        <f aca="false">IF($A112="","",O112-R112)</f>
        <v/>
      </c>
      <c r="U112" s="35" t="str">
        <f aca="false">IF($A112="","",IF(N(F112)=0,0,O112/F112))</f>
        <v/>
      </c>
    </row>
    <row r="113" customFormat="false" ht="15" hidden="false" customHeight="false" outlineLevel="0" collapsed="false">
      <c r="A113" s="37" t="str">
        <f aca="false">IF(Settings!$B$20="","",Settings!$B$20)</f>
        <v/>
      </c>
      <c r="B113" s="38" t="str">
        <f aca="false">IF($A113="","",12)</f>
        <v/>
      </c>
      <c r="C113" s="37" t="str">
        <f aca="false">IF($A113="","",INDEX(Settings!$Q$12:$Q$23,$B113))</f>
        <v/>
      </c>
      <c r="D113" s="37" t="str">
        <f aca="false">IF($A113="","",Settings!$D$20)</f>
        <v/>
      </c>
      <c r="E113" s="39" t="str">
        <f aca="false">IF($A113="","",SUMIFS(Sales!$E$5:$E$304,Sales!$B$5:$B$304,$A113,Sales!$J$5:$J$304,$B113,Sales!$K$5:$K$304,1))</f>
        <v/>
      </c>
      <c r="F113" s="39" t="str">
        <f aca="false">IF($A113="","",SUMIFS(Sales!$L$5:$L$304,Sales!$B$5:$B$304,$A113,Sales!$J$5:$J$304,$B113,Sales!$K$5:$K$304,1))</f>
        <v/>
      </c>
      <c r="G113" s="39" t="str">
        <f aca="false">IF($A113="","",N(Settings!$F$20))</f>
        <v/>
      </c>
      <c r="H113" s="40" t="str">
        <f aca="false">IF(OR($A113="",N(G113)=0),"",F113/G113)</f>
        <v/>
      </c>
      <c r="I113" s="39" t="str">
        <f aca="false">IF($A113="","",IF($D113="Flat rate",F113*N(Settings!$G$20),0))</f>
        <v/>
      </c>
      <c r="J113" s="39" t="str">
        <f aca="false">IF($A113="","",IF($D113="Tiered",MIN(F113,N(Settings!$H$20))*N(Settings!$I$20)+MAX(0,MIN(F113,N(Settings!$J$20))-N(Settings!$H$20))*N(Settings!$K$20)+MAX(0,F113-N(Settings!$J$20))*N(Settings!$L$20),0))</f>
        <v/>
      </c>
      <c r="K113" s="39" t="str">
        <f aca="false">IF($A113="","",IF($D113="Accelerator",MIN(F113,G113)*N(Settings!$G$20),0))</f>
        <v/>
      </c>
      <c r="L113" s="39" t="str">
        <f aca="false">IF($A113="","",IF($D113="Accelerator",MAX(0,F113-G113)*N(Settings!$M$20),0))</f>
        <v/>
      </c>
      <c r="M113" s="39" t="str">
        <f aca="false">IF($A113="","",I113+J113+K113+L113)</f>
        <v/>
      </c>
      <c r="N113" s="39" t="str">
        <f aca="false">IF(OR($A113="",Settings!$N$20=""),"",Settings!$N$20)</f>
        <v/>
      </c>
      <c r="O113" s="39" t="str">
        <f aca="false">IF($A113="","",IF(N113="",M113,MIN(M113,N113)))</f>
        <v/>
      </c>
      <c r="P113" s="39" t="str">
        <f aca="false">IF($A113="","",SUMIFS(Sales!$O$5:$O$304,Sales!$B$5:$B$304,$A113,Sales!$M$5:$M$304,$B113))</f>
        <v/>
      </c>
      <c r="Q113" s="39" t="str">
        <f aca="false">IF($A113="","",S112)</f>
        <v/>
      </c>
      <c r="R113" s="39" t="str">
        <f aca="false">IF($A113="","",MIN(O113,P113+Q113))</f>
        <v/>
      </c>
      <c r="S113" s="39" t="str">
        <f aca="false">IF($A113="","",P113+Q113-R113)</f>
        <v/>
      </c>
      <c r="T113" s="41" t="str">
        <f aca="false">IF($A113="","",O113-R113)</f>
        <v/>
      </c>
      <c r="U113" s="40" t="str">
        <f aca="false">IF($A113="","",IF(N(F113)=0,0,O113/F113))</f>
        <v/>
      </c>
    </row>
    <row r="114" customFormat="false" ht="15" hidden="false" customHeight="false" outlineLevel="0" collapsed="false">
      <c r="A114" s="32" t="str">
        <f aca="false">IF(Settings!$B$21="","",Settings!$B$21)</f>
        <v/>
      </c>
      <c r="B114" s="33" t="str">
        <f aca="false">IF($A114="","",1)</f>
        <v/>
      </c>
      <c r="C114" s="32" t="str">
        <f aca="false">IF($A114="","",INDEX(Settings!$Q$12:$Q$23,$B114))</f>
        <v/>
      </c>
      <c r="D114" s="32" t="str">
        <f aca="false">IF($A114="","",Settings!$D$21)</f>
        <v/>
      </c>
      <c r="E114" s="34" t="str">
        <f aca="false">IF($A114="","",SUMIFS(Sales!$E$5:$E$304,Sales!$B$5:$B$304,$A114,Sales!$J$5:$J$304,$B114,Sales!$K$5:$K$304,1))</f>
        <v/>
      </c>
      <c r="F114" s="34" t="str">
        <f aca="false">IF($A114="","",SUMIFS(Sales!$L$5:$L$304,Sales!$B$5:$B$304,$A114,Sales!$J$5:$J$304,$B114,Sales!$K$5:$K$304,1))</f>
        <v/>
      </c>
      <c r="G114" s="34" t="str">
        <f aca="false">IF($A114="","",N(Settings!$F$21))</f>
        <v/>
      </c>
      <c r="H114" s="35" t="str">
        <f aca="false">IF(OR($A114="",N(G114)=0),"",F114/G114)</f>
        <v/>
      </c>
      <c r="I114" s="34" t="str">
        <f aca="false">IF($A114="","",IF($D114="Flat rate",F114*N(Settings!$G$21),0))</f>
        <v/>
      </c>
      <c r="J114" s="34" t="str">
        <f aca="false">IF($A114="","",IF($D114="Tiered",MIN(F114,N(Settings!$H$21))*N(Settings!$I$21)+MAX(0,MIN(F114,N(Settings!$J$21))-N(Settings!$H$21))*N(Settings!$K$21)+MAX(0,F114-N(Settings!$J$21))*N(Settings!$L$21),0))</f>
        <v/>
      </c>
      <c r="K114" s="34" t="str">
        <f aca="false">IF($A114="","",IF($D114="Accelerator",MIN(F114,G114)*N(Settings!$G$21),0))</f>
        <v/>
      </c>
      <c r="L114" s="34" t="str">
        <f aca="false">IF($A114="","",IF($D114="Accelerator",MAX(0,F114-G114)*N(Settings!$M$21),0))</f>
        <v/>
      </c>
      <c r="M114" s="34" t="str">
        <f aca="false">IF($A114="","",I114+J114+K114+L114)</f>
        <v/>
      </c>
      <c r="N114" s="34" t="str">
        <f aca="false">IF(OR($A114="",Settings!$N$21=""),"",Settings!$N$21)</f>
        <v/>
      </c>
      <c r="O114" s="34" t="str">
        <f aca="false">IF($A114="","",IF(N114="",M114,MIN(M114,N114)))</f>
        <v/>
      </c>
      <c r="P114" s="34" t="str">
        <f aca="false">IF($A114="","",SUMIFS(Sales!$O$5:$O$304,Sales!$B$5:$B$304,$A114,Sales!$M$5:$M$304,$B114))</f>
        <v/>
      </c>
      <c r="Q114" s="34" t="str">
        <f aca="false">IF($A114="","",0)</f>
        <v/>
      </c>
      <c r="R114" s="34" t="str">
        <f aca="false">IF($A114="","",MIN(O114,P114+Q114))</f>
        <v/>
      </c>
      <c r="S114" s="34" t="str">
        <f aca="false">IF($A114="","",P114+Q114-R114)</f>
        <v/>
      </c>
      <c r="T114" s="36" t="str">
        <f aca="false">IF($A114="","",O114-R114)</f>
        <v/>
      </c>
      <c r="U114" s="35" t="str">
        <f aca="false">IF($A114="","",IF(N(F114)=0,0,O114/F114))</f>
        <v/>
      </c>
    </row>
    <row r="115" customFormat="false" ht="15" hidden="false" customHeight="false" outlineLevel="0" collapsed="false">
      <c r="A115" s="32" t="str">
        <f aca="false">IF(Settings!$B$21="","",Settings!$B$21)</f>
        <v/>
      </c>
      <c r="B115" s="33" t="str">
        <f aca="false">IF($A115="","",2)</f>
        <v/>
      </c>
      <c r="C115" s="32" t="str">
        <f aca="false">IF($A115="","",INDEX(Settings!$Q$12:$Q$23,$B115))</f>
        <v/>
      </c>
      <c r="D115" s="32" t="str">
        <f aca="false">IF($A115="","",Settings!$D$21)</f>
        <v/>
      </c>
      <c r="E115" s="34" t="str">
        <f aca="false">IF($A115="","",SUMIFS(Sales!$E$5:$E$304,Sales!$B$5:$B$304,$A115,Sales!$J$5:$J$304,$B115,Sales!$K$5:$K$304,1))</f>
        <v/>
      </c>
      <c r="F115" s="34" t="str">
        <f aca="false">IF($A115="","",SUMIFS(Sales!$L$5:$L$304,Sales!$B$5:$B$304,$A115,Sales!$J$5:$J$304,$B115,Sales!$K$5:$K$304,1))</f>
        <v/>
      </c>
      <c r="G115" s="34" t="str">
        <f aca="false">IF($A115="","",N(Settings!$F$21))</f>
        <v/>
      </c>
      <c r="H115" s="35" t="str">
        <f aca="false">IF(OR($A115="",N(G115)=0),"",F115/G115)</f>
        <v/>
      </c>
      <c r="I115" s="34" t="str">
        <f aca="false">IF($A115="","",IF($D115="Flat rate",F115*N(Settings!$G$21),0))</f>
        <v/>
      </c>
      <c r="J115" s="34" t="str">
        <f aca="false">IF($A115="","",IF($D115="Tiered",MIN(F115,N(Settings!$H$21))*N(Settings!$I$21)+MAX(0,MIN(F115,N(Settings!$J$21))-N(Settings!$H$21))*N(Settings!$K$21)+MAX(0,F115-N(Settings!$J$21))*N(Settings!$L$21),0))</f>
        <v/>
      </c>
      <c r="K115" s="34" t="str">
        <f aca="false">IF($A115="","",IF($D115="Accelerator",MIN(F115,G115)*N(Settings!$G$21),0))</f>
        <v/>
      </c>
      <c r="L115" s="34" t="str">
        <f aca="false">IF($A115="","",IF($D115="Accelerator",MAX(0,F115-G115)*N(Settings!$M$21),0))</f>
        <v/>
      </c>
      <c r="M115" s="34" t="str">
        <f aca="false">IF($A115="","",I115+J115+K115+L115)</f>
        <v/>
      </c>
      <c r="N115" s="34" t="str">
        <f aca="false">IF(OR($A115="",Settings!$N$21=""),"",Settings!$N$21)</f>
        <v/>
      </c>
      <c r="O115" s="34" t="str">
        <f aca="false">IF($A115="","",IF(N115="",M115,MIN(M115,N115)))</f>
        <v/>
      </c>
      <c r="P115" s="34" t="str">
        <f aca="false">IF($A115="","",SUMIFS(Sales!$O$5:$O$304,Sales!$B$5:$B$304,$A115,Sales!$M$5:$M$304,$B115))</f>
        <v/>
      </c>
      <c r="Q115" s="34" t="str">
        <f aca="false">IF($A115="","",S114)</f>
        <v/>
      </c>
      <c r="R115" s="34" t="str">
        <f aca="false">IF($A115="","",MIN(O115,P115+Q115))</f>
        <v/>
      </c>
      <c r="S115" s="34" t="str">
        <f aca="false">IF($A115="","",P115+Q115-R115)</f>
        <v/>
      </c>
      <c r="T115" s="36" t="str">
        <f aca="false">IF($A115="","",O115-R115)</f>
        <v/>
      </c>
      <c r="U115" s="35" t="str">
        <f aca="false">IF($A115="","",IF(N(F115)=0,0,O115/F115))</f>
        <v/>
      </c>
    </row>
    <row r="116" customFormat="false" ht="15" hidden="false" customHeight="false" outlineLevel="0" collapsed="false">
      <c r="A116" s="32" t="str">
        <f aca="false">IF(Settings!$B$21="","",Settings!$B$21)</f>
        <v/>
      </c>
      <c r="B116" s="33" t="str">
        <f aca="false">IF($A116="","",3)</f>
        <v/>
      </c>
      <c r="C116" s="32" t="str">
        <f aca="false">IF($A116="","",INDEX(Settings!$Q$12:$Q$23,$B116))</f>
        <v/>
      </c>
      <c r="D116" s="32" t="str">
        <f aca="false">IF($A116="","",Settings!$D$21)</f>
        <v/>
      </c>
      <c r="E116" s="34" t="str">
        <f aca="false">IF($A116="","",SUMIFS(Sales!$E$5:$E$304,Sales!$B$5:$B$304,$A116,Sales!$J$5:$J$304,$B116,Sales!$K$5:$K$304,1))</f>
        <v/>
      </c>
      <c r="F116" s="34" t="str">
        <f aca="false">IF($A116="","",SUMIFS(Sales!$L$5:$L$304,Sales!$B$5:$B$304,$A116,Sales!$J$5:$J$304,$B116,Sales!$K$5:$K$304,1))</f>
        <v/>
      </c>
      <c r="G116" s="34" t="str">
        <f aca="false">IF($A116="","",N(Settings!$F$21))</f>
        <v/>
      </c>
      <c r="H116" s="35" t="str">
        <f aca="false">IF(OR($A116="",N(G116)=0),"",F116/G116)</f>
        <v/>
      </c>
      <c r="I116" s="34" t="str">
        <f aca="false">IF($A116="","",IF($D116="Flat rate",F116*N(Settings!$G$21),0))</f>
        <v/>
      </c>
      <c r="J116" s="34" t="str">
        <f aca="false">IF($A116="","",IF($D116="Tiered",MIN(F116,N(Settings!$H$21))*N(Settings!$I$21)+MAX(0,MIN(F116,N(Settings!$J$21))-N(Settings!$H$21))*N(Settings!$K$21)+MAX(0,F116-N(Settings!$J$21))*N(Settings!$L$21),0))</f>
        <v/>
      </c>
      <c r="K116" s="34" t="str">
        <f aca="false">IF($A116="","",IF($D116="Accelerator",MIN(F116,G116)*N(Settings!$G$21),0))</f>
        <v/>
      </c>
      <c r="L116" s="34" t="str">
        <f aca="false">IF($A116="","",IF($D116="Accelerator",MAX(0,F116-G116)*N(Settings!$M$21),0))</f>
        <v/>
      </c>
      <c r="M116" s="34" t="str">
        <f aca="false">IF($A116="","",I116+J116+K116+L116)</f>
        <v/>
      </c>
      <c r="N116" s="34" t="str">
        <f aca="false">IF(OR($A116="",Settings!$N$21=""),"",Settings!$N$21)</f>
        <v/>
      </c>
      <c r="O116" s="34" t="str">
        <f aca="false">IF($A116="","",IF(N116="",M116,MIN(M116,N116)))</f>
        <v/>
      </c>
      <c r="P116" s="34" t="str">
        <f aca="false">IF($A116="","",SUMIFS(Sales!$O$5:$O$304,Sales!$B$5:$B$304,$A116,Sales!$M$5:$M$304,$B116))</f>
        <v/>
      </c>
      <c r="Q116" s="34" t="str">
        <f aca="false">IF($A116="","",S115)</f>
        <v/>
      </c>
      <c r="R116" s="34" t="str">
        <f aca="false">IF($A116="","",MIN(O116,P116+Q116))</f>
        <v/>
      </c>
      <c r="S116" s="34" t="str">
        <f aca="false">IF($A116="","",P116+Q116-R116)</f>
        <v/>
      </c>
      <c r="T116" s="36" t="str">
        <f aca="false">IF($A116="","",O116-R116)</f>
        <v/>
      </c>
      <c r="U116" s="35" t="str">
        <f aca="false">IF($A116="","",IF(N(F116)=0,0,O116/F116))</f>
        <v/>
      </c>
    </row>
    <row r="117" customFormat="false" ht="15" hidden="false" customHeight="false" outlineLevel="0" collapsed="false">
      <c r="A117" s="32" t="str">
        <f aca="false">IF(Settings!$B$21="","",Settings!$B$21)</f>
        <v/>
      </c>
      <c r="B117" s="33" t="str">
        <f aca="false">IF($A117="","",4)</f>
        <v/>
      </c>
      <c r="C117" s="32" t="str">
        <f aca="false">IF($A117="","",INDEX(Settings!$Q$12:$Q$23,$B117))</f>
        <v/>
      </c>
      <c r="D117" s="32" t="str">
        <f aca="false">IF($A117="","",Settings!$D$21)</f>
        <v/>
      </c>
      <c r="E117" s="34" t="str">
        <f aca="false">IF($A117="","",SUMIFS(Sales!$E$5:$E$304,Sales!$B$5:$B$304,$A117,Sales!$J$5:$J$304,$B117,Sales!$K$5:$K$304,1))</f>
        <v/>
      </c>
      <c r="F117" s="34" t="str">
        <f aca="false">IF($A117="","",SUMIFS(Sales!$L$5:$L$304,Sales!$B$5:$B$304,$A117,Sales!$J$5:$J$304,$B117,Sales!$K$5:$K$304,1))</f>
        <v/>
      </c>
      <c r="G117" s="34" t="str">
        <f aca="false">IF($A117="","",N(Settings!$F$21))</f>
        <v/>
      </c>
      <c r="H117" s="35" t="str">
        <f aca="false">IF(OR($A117="",N(G117)=0),"",F117/G117)</f>
        <v/>
      </c>
      <c r="I117" s="34" t="str">
        <f aca="false">IF($A117="","",IF($D117="Flat rate",F117*N(Settings!$G$21),0))</f>
        <v/>
      </c>
      <c r="J117" s="34" t="str">
        <f aca="false">IF($A117="","",IF($D117="Tiered",MIN(F117,N(Settings!$H$21))*N(Settings!$I$21)+MAX(0,MIN(F117,N(Settings!$J$21))-N(Settings!$H$21))*N(Settings!$K$21)+MAX(0,F117-N(Settings!$J$21))*N(Settings!$L$21),0))</f>
        <v/>
      </c>
      <c r="K117" s="34" t="str">
        <f aca="false">IF($A117="","",IF($D117="Accelerator",MIN(F117,G117)*N(Settings!$G$21),0))</f>
        <v/>
      </c>
      <c r="L117" s="34" t="str">
        <f aca="false">IF($A117="","",IF($D117="Accelerator",MAX(0,F117-G117)*N(Settings!$M$21),0))</f>
        <v/>
      </c>
      <c r="M117" s="34" t="str">
        <f aca="false">IF($A117="","",I117+J117+K117+L117)</f>
        <v/>
      </c>
      <c r="N117" s="34" t="str">
        <f aca="false">IF(OR($A117="",Settings!$N$21=""),"",Settings!$N$21)</f>
        <v/>
      </c>
      <c r="O117" s="34" t="str">
        <f aca="false">IF($A117="","",IF(N117="",M117,MIN(M117,N117)))</f>
        <v/>
      </c>
      <c r="P117" s="34" t="str">
        <f aca="false">IF($A117="","",SUMIFS(Sales!$O$5:$O$304,Sales!$B$5:$B$304,$A117,Sales!$M$5:$M$304,$B117))</f>
        <v/>
      </c>
      <c r="Q117" s="34" t="str">
        <f aca="false">IF($A117="","",S116)</f>
        <v/>
      </c>
      <c r="R117" s="34" t="str">
        <f aca="false">IF($A117="","",MIN(O117,P117+Q117))</f>
        <v/>
      </c>
      <c r="S117" s="34" t="str">
        <f aca="false">IF($A117="","",P117+Q117-R117)</f>
        <v/>
      </c>
      <c r="T117" s="36" t="str">
        <f aca="false">IF($A117="","",O117-R117)</f>
        <v/>
      </c>
      <c r="U117" s="35" t="str">
        <f aca="false">IF($A117="","",IF(N(F117)=0,0,O117/F117))</f>
        <v/>
      </c>
    </row>
    <row r="118" customFormat="false" ht="15" hidden="false" customHeight="false" outlineLevel="0" collapsed="false">
      <c r="A118" s="32" t="str">
        <f aca="false">IF(Settings!$B$21="","",Settings!$B$21)</f>
        <v/>
      </c>
      <c r="B118" s="33" t="str">
        <f aca="false">IF($A118="","",5)</f>
        <v/>
      </c>
      <c r="C118" s="32" t="str">
        <f aca="false">IF($A118="","",INDEX(Settings!$Q$12:$Q$23,$B118))</f>
        <v/>
      </c>
      <c r="D118" s="32" t="str">
        <f aca="false">IF($A118="","",Settings!$D$21)</f>
        <v/>
      </c>
      <c r="E118" s="34" t="str">
        <f aca="false">IF($A118="","",SUMIFS(Sales!$E$5:$E$304,Sales!$B$5:$B$304,$A118,Sales!$J$5:$J$304,$B118,Sales!$K$5:$K$304,1))</f>
        <v/>
      </c>
      <c r="F118" s="34" t="str">
        <f aca="false">IF($A118="","",SUMIFS(Sales!$L$5:$L$304,Sales!$B$5:$B$304,$A118,Sales!$J$5:$J$304,$B118,Sales!$K$5:$K$304,1))</f>
        <v/>
      </c>
      <c r="G118" s="34" t="str">
        <f aca="false">IF($A118="","",N(Settings!$F$21))</f>
        <v/>
      </c>
      <c r="H118" s="35" t="str">
        <f aca="false">IF(OR($A118="",N(G118)=0),"",F118/G118)</f>
        <v/>
      </c>
      <c r="I118" s="34" t="str">
        <f aca="false">IF($A118="","",IF($D118="Flat rate",F118*N(Settings!$G$21),0))</f>
        <v/>
      </c>
      <c r="J118" s="34" t="str">
        <f aca="false">IF($A118="","",IF($D118="Tiered",MIN(F118,N(Settings!$H$21))*N(Settings!$I$21)+MAX(0,MIN(F118,N(Settings!$J$21))-N(Settings!$H$21))*N(Settings!$K$21)+MAX(0,F118-N(Settings!$J$21))*N(Settings!$L$21),0))</f>
        <v/>
      </c>
      <c r="K118" s="34" t="str">
        <f aca="false">IF($A118="","",IF($D118="Accelerator",MIN(F118,G118)*N(Settings!$G$21),0))</f>
        <v/>
      </c>
      <c r="L118" s="34" t="str">
        <f aca="false">IF($A118="","",IF($D118="Accelerator",MAX(0,F118-G118)*N(Settings!$M$21),0))</f>
        <v/>
      </c>
      <c r="M118" s="34" t="str">
        <f aca="false">IF($A118="","",I118+J118+K118+L118)</f>
        <v/>
      </c>
      <c r="N118" s="34" t="str">
        <f aca="false">IF(OR($A118="",Settings!$N$21=""),"",Settings!$N$21)</f>
        <v/>
      </c>
      <c r="O118" s="34" t="str">
        <f aca="false">IF($A118="","",IF(N118="",M118,MIN(M118,N118)))</f>
        <v/>
      </c>
      <c r="P118" s="34" t="str">
        <f aca="false">IF($A118="","",SUMIFS(Sales!$O$5:$O$304,Sales!$B$5:$B$304,$A118,Sales!$M$5:$M$304,$B118))</f>
        <v/>
      </c>
      <c r="Q118" s="34" t="str">
        <f aca="false">IF($A118="","",S117)</f>
        <v/>
      </c>
      <c r="R118" s="34" t="str">
        <f aca="false">IF($A118="","",MIN(O118,P118+Q118))</f>
        <v/>
      </c>
      <c r="S118" s="34" t="str">
        <f aca="false">IF($A118="","",P118+Q118-R118)</f>
        <v/>
      </c>
      <c r="T118" s="36" t="str">
        <f aca="false">IF($A118="","",O118-R118)</f>
        <v/>
      </c>
      <c r="U118" s="35" t="str">
        <f aca="false">IF($A118="","",IF(N(F118)=0,0,O118/F118))</f>
        <v/>
      </c>
    </row>
    <row r="119" customFormat="false" ht="15" hidden="false" customHeight="false" outlineLevel="0" collapsed="false">
      <c r="A119" s="32" t="str">
        <f aca="false">IF(Settings!$B$21="","",Settings!$B$21)</f>
        <v/>
      </c>
      <c r="B119" s="33" t="str">
        <f aca="false">IF($A119="","",6)</f>
        <v/>
      </c>
      <c r="C119" s="32" t="str">
        <f aca="false">IF($A119="","",INDEX(Settings!$Q$12:$Q$23,$B119))</f>
        <v/>
      </c>
      <c r="D119" s="32" t="str">
        <f aca="false">IF($A119="","",Settings!$D$21)</f>
        <v/>
      </c>
      <c r="E119" s="34" t="str">
        <f aca="false">IF($A119="","",SUMIFS(Sales!$E$5:$E$304,Sales!$B$5:$B$304,$A119,Sales!$J$5:$J$304,$B119,Sales!$K$5:$K$304,1))</f>
        <v/>
      </c>
      <c r="F119" s="34" t="str">
        <f aca="false">IF($A119="","",SUMIFS(Sales!$L$5:$L$304,Sales!$B$5:$B$304,$A119,Sales!$J$5:$J$304,$B119,Sales!$K$5:$K$304,1))</f>
        <v/>
      </c>
      <c r="G119" s="34" t="str">
        <f aca="false">IF($A119="","",N(Settings!$F$21))</f>
        <v/>
      </c>
      <c r="H119" s="35" t="str">
        <f aca="false">IF(OR($A119="",N(G119)=0),"",F119/G119)</f>
        <v/>
      </c>
      <c r="I119" s="34" t="str">
        <f aca="false">IF($A119="","",IF($D119="Flat rate",F119*N(Settings!$G$21),0))</f>
        <v/>
      </c>
      <c r="J119" s="34" t="str">
        <f aca="false">IF($A119="","",IF($D119="Tiered",MIN(F119,N(Settings!$H$21))*N(Settings!$I$21)+MAX(0,MIN(F119,N(Settings!$J$21))-N(Settings!$H$21))*N(Settings!$K$21)+MAX(0,F119-N(Settings!$J$21))*N(Settings!$L$21),0))</f>
        <v/>
      </c>
      <c r="K119" s="34" t="str">
        <f aca="false">IF($A119="","",IF($D119="Accelerator",MIN(F119,G119)*N(Settings!$G$21),0))</f>
        <v/>
      </c>
      <c r="L119" s="34" t="str">
        <f aca="false">IF($A119="","",IF($D119="Accelerator",MAX(0,F119-G119)*N(Settings!$M$21),0))</f>
        <v/>
      </c>
      <c r="M119" s="34" t="str">
        <f aca="false">IF($A119="","",I119+J119+K119+L119)</f>
        <v/>
      </c>
      <c r="N119" s="34" t="str">
        <f aca="false">IF(OR($A119="",Settings!$N$21=""),"",Settings!$N$21)</f>
        <v/>
      </c>
      <c r="O119" s="34" t="str">
        <f aca="false">IF($A119="","",IF(N119="",M119,MIN(M119,N119)))</f>
        <v/>
      </c>
      <c r="P119" s="34" t="str">
        <f aca="false">IF($A119="","",SUMIFS(Sales!$O$5:$O$304,Sales!$B$5:$B$304,$A119,Sales!$M$5:$M$304,$B119))</f>
        <v/>
      </c>
      <c r="Q119" s="34" t="str">
        <f aca="false">IF($A119="","",S118)</f>
        <v/>
      </c>
      <c r="R119" s="34" t="str">
        <f aca="false">IF($A119="","",MIN(O119,P119+Q119))</f>
        <v/>
      </c>
      <c r="S119" s="34" t="str">
        <f aca="false">IF($A119="","",P119+Q119-R119)</f>
        <v/>
      </c>
      <c r="T119" s="36" t="str">
        <f aca="false">IF($A119="","",O119-R119)</f>
        <v/>
      </c>
      <c r="U119" s="35" t="str">
        <f aca="false">IF($A119="","",IF(N(F119)=0,0,O119/F119))</f>
        <v/>
      </c>
    </row>
    <row r="120" customFormat="false" ht="15" hidden="false" customHeight="false" outlineLevel="0" collapsed="false">
      <c r="A120" s="32" t="str">
        <f aca="false">IF(Settings!$B$21="","",Settings!$B$21)</f>
        <v/>
      </c>
      <c r="B120" s="33" t="str">
        <f aca="false">IF($A120="","",7)</f>
        <v/>
      </c>
      <c r="C120" s="32" t="str">
        <f aca="false">IF($A120="","",INDEX(Settings!$Q$12:$Q$23,$B120))</f>
        <v/>
      </c>
      <c r="D120" s="32" t="str">
        <f aca="false">IF($A120="","",Settings!$D$21)</f>
        <v/>
      </c>
      <c r="E120" s="34" t="str">
        <f aca="false">IF($A120="","",SUMIFS(Sales!$E$5:$E$304,Sales!$B$5:$B$304,$A120,Sales!$J$5:$J$304,$B120,Sales!$K$5:$K$304,1))</f>
        <v/>
      </c>
      <c r="F120" s="34" t="str">
        <f aca="false">IF($A120="","",SUMIFS(Sales!$L$5:$L$304,Sales!$B$5:$B$304,$A120,Sales!$J$5:$J$304,$B120,Sales!$K$5:$K$304,1))</f>
        <v/>
      </c>
      <c r="G120" s="34" t="str">
        <f aca="false">IF($A120="","",N(Settings!$F$21))</f>
        <v/>
      </c>
      <c r="H120" s="35" t="str">
        <f aca="false">IF(OR($A120="",N(G120)=0),"",F120/G120)</f>
        <v/>
      </c>
      <c r="I120" s="34" t="str">
        <f aca="false">IF($A120="","",IF($D120="Flat rate",F120*N(Settings!$G$21),0))</f>
        <v/>
      </c>
      <c r="J120" s="34" t="str">
        <f aca="false">IF($A120="","",IF($D120="Tiered",MIN(F120,N(Settings!$H$21))*N(Settings!$I$21)+MAX(0,MIN(F120,N(Settings!$J$21))-N(Settings!$H$21))*N(Settings!$K$21)+MAX(0,F120-N(Settings!$J$21))*N(Settings!$L$21),0))</f>
        <v/>
      </c>
      <c r="K120" s="34" t="str">
        <f aca="false">IF($A120="","",IF($D120="Accelerator",MIN(F120,G120)*N(Settings!$G$21),0))</f>
        <v/>
      </c>
      <c r="L120" s="34" t="str">
        <f aca="false">IF($A120="","",IF($D120="Accelerator",MAX(0,F120-G120)*N(Settings!$M$21),0))</f>
        <v/>
      </c>
      <c r="M120" s="34" t="str">
        <f aca="false">IF($A120="","",I120+J120+K120+L120)</f>
        <v/>
      </c>
      <c r="N120" s="34" t="str">
        <f aca="false">IF(OR($A120="",Settings!$N$21=""),"",Settings!$N$21)</f>
        <v/>
      </c>
      <c r="O120" s="34" t="str">
        <f aca="false">IF($A120="","",IF(N120="",M120,MIN(M120,N120)))</f>
        <v/>
      </c>
      <c r="P120" s="34" t="str">
        <f aca="false">IF($A120="","",SUMIFS(Sales!$O$5:$O$304,Sales!$B$5:$B$304,$A120,Sales!$M$5:$M$304,$B120))</f>
        <v/>
      </c>
      <c r="Q120" s="34" t="str">
        <f aca="false">IF($A120="","",S119)</f>
        <v/>
      </c>
      <c r="R120" s="34" t="str">
        <f aca="false">IF($A120="","",MIN(O120,P120+Q120))</f>
        <v/>
      </c>
      <c r="S120" s="34" t="str">
        <f aca="false">IF($A120="","",P120+Q120-R120)</f>
        <v/>
      </c>
      <c r="T120" s="36" t="str">
        <f aca="false">IF($A120="","",O120-R120)</f>
        <v/>
      </c>
      <c r="U120" s="35" t="str">
        <f aca="false">IF($A120="","",IF(N(F120)=0,0,O120/F120))</f>
        <v/>
      </c>
    </row>
    <row r="121" customFormat="false" ht="15" hidden="false" customHeight="false" outlineLevel="0" collapsed="false">
      <c r="A121" s="32" t="str">
        <f aca="false">IF(Settings!$B$21="","",Settings!$B$21)</f>
        <v/>
      </c>
      <c r="B121" s="33" t="str">
        <f aca="false">IF($A121="","",8)</f>
        <v/>
      </c>
      <c r="C121" s="32" t="str">
        <f aca="false">IF($A121="","",INDEX(Settings!$Q$12:$Q$23,$B121))</f>
        <v/>
      </c>
      <c r="D121" s="32" t="str">
        <f aca="false">IF($A121="","",Settings!$D$21)</f>
        <v/>
      </c>
      <c r="E121" s="34" t="str">
        <f aca="false">IF($A121="","",SUMIFS(Sales!$E$5:$E$304,Sales!$B$5:$B$304,$A121,Sales!$J$5:$J$304,$B121,Sales!$K$5:$K$304,1))</f>
        <v/>
      </c>
      <c r="F121" s="34" t="str">
        <f aca="false">IF($A121="","",SUMIFS(Sales!$L$5:$L$304,Sales!$B$5:$B$304,$A121,Sales!$J$5:$J$304,$B121,Sales!$K$5:$K$304,1))</f>
        <v/>
      </c>
      <c r="G121" s="34" t="str">
        <f aca="false">IF($A121="","",N(Settings!$F$21))</f>
        <v/>
      </c>
      <c r="H121" s="35" t="str">
        <f aca="false">IF(OR($A121="",N(G121)=0),"",F121/G121)</f>
        <v/>
      </c>
      <c r="I121" s="34" t="str">
        <f aca="false">IF($A121="","",IF($D121="Flat rate",F121*N(Settings!$G$21),0))</f>
        <v/>
      </c>
      <c r="J121" s="34" t="str">
        <f aca="false">IF($A121="","",IF($D121="Tiered",MIN(F121,N(Settings!$H$21))*N(Settings!$I$21)+MAX(0,MIN(F121,N(Settings!$J$21))-N(Settings!$H$21))*N(Settings!$K$21)+MAX(0,F121-N(Settings!$J$21))*N(Settings!$L$21),0))</f>
        <v/>
      </c>
      <c r="K121" s="34" t="str">
        <f aca="false">IF($A121="","",IF($D121="Accelerator",MIN(F121,G121)*N(Settings!$G$21),0))</f>
        <v/>
      </c>
      <c r="L121" s="34" t="str">
        <f aca="false">IF($A121="","",IF($D121="Accelerator",MAX(0,F121-G121)*N(Settings!$M$21),0))</f>
        <v/>
      </c>
      <c r="M121" s="34" t="str">
        <f aca="false">IF($A121="","",I121+J121+K121+L121)</f>
        <v/>
      </c>
      <c r="N121" s="34" t="str">
        <f aca="false">IF(OR($A121="",Settings!$N$21=""),"",Settings!$N$21)</f>
        <v/>
      </c>
      <c r="O121" s="34" t="str">
        <f aca="false">IF($A121="","",IF(N121="",M121,MIN(M121,N121)))</f>
        <v/>
      </c>
      <c r="P121" s="34" t="str">
        <f aca="false">IF($A121="","",SUMIFS(Sales!$O$5:$O$304,Sales!$B$5:$B$304,$A121,Sales!$M$5:$M$304,$B121))</f>
        <v/>
      </c>
      <c r="Q121" s="34" t="str">
        <f aca="false">IF($A121="","",S120)</f>
        <v/>
      </c>
      <c r="R121" s="34" t="str">
        <f aca="false">IF($A121="","",MIN(O121,P121+Q121))</f>
        <v/>
      </c>
      <c r="S121" s="34" t="str">
        <f aca="false">IF($A121="","",P121+Q121-R121)</f>
        <v/>
      </c>
      <c r="T121" s="36" t="str">
        <f aca="false">IF($A121="","",O121-R121)</f>
        <v/>
      </c>
      <c r="U121" s="35" t="str">
        <f aca="false">IF($A121="","",IF(N(F121)=0,0,O121/F121))</f>
        <v/>
      </c>
    </row>
    <row r="122" customFormat="false" ht="15" hidden="false" customHeight="false" outlineLevel="0" collapsed="false">
      <c r="A122" s="32" t="str">
        <f aca="false">IF(Settings!$B$21="","",Settings!$B$21)</f>
        <v/>
      </c>
      <c r="B122" s="33" t="str">
        <f aca="false">IF($A122="","",9)</f>
        <v/>
      </c>
      <c r="C122" s="32" t="str">
        <f aca="false">IF($A122="","",INDEX(Settings!$Q$12:$Q$23,$B122))</f>
        <v/>
      </c>
      <c r="D122" s="32" t="str">
        <f aca="false">IF($A122="","",Settings!$D$21)</f>
        <v/>
      </c>
      <c r="E122" s="34" t="str">
        <f aca="false">IF($A122="","",SUMIFS(Sales!$E$5:$E$304,Sales!$B$5:$B$304,$A122,Sales!$J$5:$J$304,$B122,Sales!$K$5:$K$304,1))</f>
        <v/>
      </c>
      <c r="F122" s="34" t="str">
        <f aca="false">IF($A122="","",SUMIFS(Sales!$L$5:$L$304,Sales!$B$5:$B$304,$A122,Sales!$J$5:$J$304,$B122,Sales!$K$5:$K$304,1))</f>
        <v/>
      </c>
      <c r="G122" s="34" t="str">
        <f aca="false">IF($A122="","",N(Settings!$F$21))</f>
        <v/>
      </c>
      <c r="H122" s="35" t="str">
        <f aca="false">IF(OR($A122="",N(G122)=0),"",F122/G122)</f>
        <v/>
      </c>
      <c r="I122" s="34" t="str">
        <f aca="false">IF($A122="","",IF($D122="Flat rate",F122*N(Settings!$G$21),0))</f>
        <v/>
      </c>
      <c r="J122" s="34" t="str">
        <f aca="false">IF($A122="","",IF($D122="Tiered",MIN(F122,N(Settings!$H$21))*N(Settings!$I$21)+MAX(0,MIN(F122,N(Settings!$J$21))-N(Settings!$H$21))*N(Settings!$K$21)+MAX(0,F122-N(Settings!$J$21))*N(Settings!$L$21),0))</f>
        <v/>
      </c>
      <c r="K122" s="34" t="str">
        <f aca="false">IF($A122="","",IF($D122="Accelerator",MIN(F122,G122)*N(Settings!$G$21),0))</f>
        <v/>
      </c>
      <c r="L122" s="34" t="str">
        <f aca="false">IF($A122="","",IF($D122="Accelerator",MAX(0,F122-G122)*N(Settings!$M$21),0))</f>
        <v/>
      </c>
      <c r="M122" s="34" t="str">
        <f aca="false">IF($A122="","",I122+J122+K122+L122)</f>
        <v/>
      </c>
      <c r="N122" s="34" t="str">
        <f aca="false">IF(OR($A122="",Settings!$N$21=""),"",Settings!$N$21)</f>
        <v/>
      </c>
      <c r="O122" s="34" t="str">
        <f aca="false">IF($A122="","",IF(N122="",M122,MIN(M122,N122)))</f>
        <v/>
      </c>
      <c r="P122" s="34" t="str">
        <f aca="false">IF($A122="","",SUMIFS(Sales!$O$5:$O$304,Sales!$B$5:$B$304,$A122,Sales!$M$5:$M$304,$B122))</f>
        <v/>
      </c>
      <c r="Q122" s="34" t="str">
        <f aca="false">IF($A122="","",S121)</f>
        <v/>
      </c>
      <c r="R122" s="34" t="str">
        <f aca="false">IF($A122="","",MIN(O122,P122+Q122))</f>
        <v/>
      </c>
      <c r="S122" s="34" t="str">
        <f aca="false">IF($A122="","",P122+Q122-R122)</f>
        <v/>
      </c>
      <c r="T122" s="36" t="str">
        <f aca="false">IF($A122="","",O122-R122)</f>
        <v/>
      </c>
      <c r="U122" s="35" t="str">
        <f aca="false">IF($A122="","",IF(N(F122)=0,0,O122/F122))</f>
        <v/>
      </c>
    </row>
    <row r="123" customFormat="false" ht="15" hidden="false" customHeight="false" outlineLevel="0" collapsed="false">
      <c r="A123" s="32" t="str">
        <f aca="false">IF(Settings!$B$21="","",Settings!$B$21)</f>
        <v/>
      </c>
      <c r="B123" s="33" t="str">
        <f aca="false">IF($A123="","",10)</f>
        <v/>
      </c>
      <c r="C123" s="32" t="str">
        <f aca="false">IF($A123="","",INDEX(Settings!$Q$12:$Q$23,$B123))</f>
        <v/>
      </c>
      <c r="D123" s="32" t="str">
        <f aca="false">IF($A123="","",Settings!$D$21)</f>
        <v/>
      </c>
      <c r="E123" s="34" t="str">
        <f aca="false">IF($A123="","",SUMIFS(Sales!$E$5:$E$304,Sales!$B$5:$B$304,$A123,Sales!$J$5:$J$304,$B123,Sales!$K$5:$K$304,1))</f>
        <v/>
      </c>
      <c r="F123" s="34" t="str">
        <f aca="false">IF($A123="","",SUMIFS(Sales!$L$5:$L$304,Sales!$B$5:$B$304,$A123,Sales!$J$5:$J$304,$B123,Sales!$K$5:$K$304,1))</f>
        <v/>
      </c>
      <c r="G123" s="34" t="str">
        <f aca="false">IF($A123="","",N(Settings!$F$21))</f>
        <v/>
      </c>
      <c r="H123" s="35" t="str">
        <f aca="false">IF(OR($A123="",N(G123)=0),"",F123/G123)</f>
        <v/>
      </c>
      <c r="I123" s="34" t="str">
        <f aca="false">IF($A123="","",IF($D123="Flat rate",F123*N(Settings!$G$21),0))</f>
        <v/>
      </c>
      <c r="J123" s="34" t="str">
        <f aca="false">IF($A123="","",IF($D123="Tiered",MIN(F123,N(Settings!$H$21))*N(Settings!$I$21)+MAX(0,MIN(F123,N(Settings!$J$21))-N(Settings!$H$21))*N(Settings!$K$21)+MAX(0,F123-N(Settings!$J$21))*N(Settings!$L$21),0))</f>
        <v/>
      </c>
      <c r="K123" s="34" t="str">
        <f aca="false">IF($A123="","",IF($D123="Accelerator",MIN(F123,G123)*N(Settings!$G$21),0))</f>
        <v/>
      </c>
      <c r="L123" s="34" t="str">
        <f aca="false">IF($A123="","",IF($D123="Accelerator",MAX(0,F123-G123)*N(Settings!$M$21),0))</f>
        <v/>
      </c>
      <c r="M123" s="34" t="str">
        <f aca="false">IF($A123="","",I123+J123+K123+L123)</f>
        <v/>
      </c>
      <c r="N123" s="34" t="str">
        <f aca="false">IF(OR($A123="",Settings!$N$21=""),"",Settings!$N$21)</f>
        <v/>
      </c>
      <c r="O123" s="34" t="str">
        <f aca="false">IF($A123="","",IF(N123="",M123,MIN(M123,N123)))</f>
        <v/>
      </c>
      <c r="P123" s="34" t="str">
        <f aca="false">IF($A123="","",SUMIFS(Sales!$O$5:$O$304,Sales!$B$5:$B$304,$A123,Sales!$M$5:$M$304,$B123))</f>
        <v/>
      </c>
      <c r="Q123" s="34" t="str">
        <f aca="false">IF($A123="","",S122)</f>
        <v/>
      </c>
      <c r="R123" s="34" t="str">
        <f aca="false">IF($A123="","",MIN(O123,P123+Q123))</f>
        <v/>
      </c>
      <c r="S123" s="34" t="str">
        <f aca="false">IF($A123="","",P123+Q123-R123)</f>
        <v/>
      </c>
      <c r="T123" s="36" t="str">
        <f aca="false">IF($A123="","",O123-R123)</f>
        <v/>
      </c>
      <c r="U123" s="35" t="str">
        <f aca="false">IF($A123="","",IF(N(F123)=0,0,O123/F123))</f>
        <v/>
      </c>
    </row>
    <row r="124" customFormat="false" ht="15" hidden="false" customHeight="false" outlineLevel="0" collapsed="false">
      <c r="A124" s="32" t="str">
        <f aca="false">IF(Settings!$B$21="","",Settings!$B$21)</f>
        <v/>
      </c>
      <c r="B124" s="33" t="str">
        <f aca="false">IF($A124="","",11)</f>
        <v/>
      </c>
      <c r="C124" s="32" t="str">
        <f aca="false">IF($A124="","",INDEX(Settings!$Q$12:$Q$23,$B124))</f>
        <v/>
      </c>
      <c r="D124" s="32" t="str">
        <f aca="false">IF($A124="","",Settings!$D$21)</f>
        <v/>
      </c>
      <c r="E124" s="34" t="str">
        <f aca="false">IF($A124="","",SUMIFS(Sales!$E$5:$E$304,Sales!$B$5:$B$304,$A124,Sales!$J$5:$J$304,$B124,Sales!$K$5:$K$304,1))</f>
        <v/>
      </c>
      <c r="F124" s="34" t="str">
        <f aca="false">IF($A124="","",SUMIFS(Sales!$L$5:$L$304,Sales!$B$5:$B$304,$A124,Sales!$J$5:$J$304,$B124,Sales!$K$5:$K$304,1))</f>
        <v/>
      </c>
      <c r="G124" s="34" t="str">
        <f aca="false">IF($A124="","",N(Settings!$F$21))</f>
        <v/>
      </c>
      <c r="H124" s="35" t="str">
        <f aca="false">IF(OR($A124="",N(G124)=0),"",F124/G124)</f>
        <v/>
      </c>
      <c r="I124" s="34" t="str">
        <f aca="false">IF($A124="","",IF($D124="Flat rate",F124*N(Settings!$G$21),0))</f>
        <v/>
      </c>
      <c r="J124" s="34" t="str">
        <f aca="false">IF($A124="","",IF($D124="Tiered",MIN(F124,N(Settings!$H$21))*N(Settings!$I$21)+MAX(0,MIN(F124,N(Settings!$J$21))-N(Settings!$H$21))*N(Settings!$K$21)+MAX(0,F124-N(Settings!$J$21))*N(Settings!$L$21),0))</f>
        <v/>
      </c>
      <c r="K124" s="34" t="str">
        <f aca="false">IF($A124="","",IF($D124="Accelerator",MIN(F124,G124)*N(Settings!$G$21),0))</f>
        <v/>
      </c>
      <c r="L124" s="34" t="str">
        <f aca="false">IF($A124="","",IF($D124="Accelerator",MAX(0,F124-G124)*N(Settings!$M$21),0))</f>
        <v/>
      </c>
      <c r="M124" s="34" t="str">
        <f aca="false">IF($A124="","",I124+J124+K124+L124)</f>
        <v/>
      </c>
      <c r="N124" s="34" t="str">
        <f aca="false">IF(OR($A124="",Settings!$N$21=""),"",Settings!$N$21)</f>
        <v/>
      </c>
      <c r="O124" s="34" t="str">
        <f aca="false">IF($A124="","",IF(N124="",M124,MIN(M124,N124)))</f>
        <v/>
      </c>
      <c r="P124" s="34" t="str">
        <f aca="false">IF($A124="","",SUMIFS(Sales!$O$5:$O$304,Sales!$B$5:$B$304,$A124,Sales!$M$5:$M$304,$B124))</f>
        <v/>
      </c>
      <c r="Q124" s="34" t="str">
        <f aca="false">IF($A124="","",S123)</f>
        <v/>
      </c>
      <c r="R124" s="34" t="str">
        <f aca="false">IF($A124="","",MIN(O124,P124+Q124))</f>
        <v/>
      </c>
      <c r="S124" s="34" t="str">
        <f aca="false">IF($A124="","",P124+Q124-R124)</f>
        <v/>
      </c>
      <c r="T124" s="36" t="str">
        <f aca="false">IF($A124="","",O124-R124)</f>
        <v/>
      </c>
      <c r="U124" s="35" t="str">
        <f aca="false">IF($A124="","",IF(N(F124)=0,0,O124/F124))</f>
        <v/>
      </c>
    </row>
    <row r="125" customFormat="false" ht="15" hidden="false" customHeight="false" outlineLevel="0" collapsed="false">
      <c r="A125" s="37" t="str">
        <f aca="false">IF(Settings!$B$21="","",Settings!$B$21)</f>
        <v/>
      </c>
      <c r="B125" s="38" t="str">
        <f aca="false">IF($A125="","",12)</f>
        <v/>
      </c>
      <c r="C125" s="37" t="str">
        <f aca="false">IF($A125="","",INDEX(Settings!$Q$12:$Q$23,$B125))</f>
        <v/>
      </c>
      <c r="D125" s="37" t="str">
        <f aca="false">IF($A125="","",Settings!$D$21)</f>
        <v/>
      </c>
      <c r="E125" s="39" t="str">
        <f aca="false">IF($A125="","",SUMIFS(Sales!$E$5:$E$304,Sales!$B$5:$B$304,$A125,Sales!$J$5:$J$304,$B125,Sales!$K$5:$K$304,1))</f>
        <v/>
      </c>
      <c r="F125" s="39" t="str">
        <f aca="false">IF($A125="","",SUMIFS(Sales!$L$5:$L$304,Sales!$B$5:$B$304,$A125,Sales!$J$5:$J$304,$B125,Sales!$K$5:$K$304,1))</f>
        <v/>
      </c>
      <c r="G125" s="39" t="str">
        <f aca="false">IF($A125="","",N(Settings!$F$21))</f>
        <v/>
      </c>
      <c r="H125" s="40" t="str">
        <f aca="false">IF(OR($A125="",N(G125)=0),"",F125/G125)</f>
        <v/>
      </c>
      <c r="I125" s="39" t="str">
        <f aca="false">IF($A125="","",IF($D125="Flat rate",F125*N(Settings!$G$21),0))</f>
        <v/>
      </c>
      <c r="J125" s="39" t="str">
        <f aca="false">IF($A125="","",IF($D125="Tiered",MIN(F125,N(Settings!$H$21))*N(Settings!$I$21)+MAX(0,MIN(F125,N(Settings!$J$21))-N(Settings!$H$21))*N(Settings!$K$21)+MAX(0,F125-N(Settings!$J$21))*N(Settings!$L$21),0))</f>
        <v/>
      </c>
      <c r="K125" s="39" t="str">
        <f aca="false">IF($A125="","",IF($D125="Accelerator",MIN(F125,G125)*N(Settings!$G$21),0))</f>
        <v/>
      </c>
      <c r="L125" s="39" t="str">
        <f aca="false">IF($A125="","",IF($D125="Accelerator",MAX(0,F125-G125)*N(Settings!$M$21),0))</f>
        <v/>
      </c>
      <c r="M125" s="39" t="str">
        <f aca="false">IF($A125="","",I125+J125+K125+L125)</f>
        <v/>
      </c>
      <c r="N125" s="39" t="str">
        <f aca="false">IF(OR($A125="",Settings!$N$21=""),"",Settings!$N$21)</f>
        <v/>
      </c>
      <c r="O125" s="39" t="str">
        <f aca="false">IF($A125="","",IF(N125="",M125,MIN(M125,N125)))</f>
        <v/>
      </c>
      <c r="P125" s="39" t="str">
        <f aca="false">IF($A125="","",SUMIFS(Sales!$O$5:$O$304,Sales!$B$5:$B$304,$A125,Sales!$M$5:$M$304,$B125))</f>
        <v/>
      </c>
      <c r="Q125" s="39" t="str">
        <f aca="false">IF($A125="","",S124)</f>
        <v/>
      </c>
      <c r="R125" s="39" t="str">
        <f aca="false">IF($A125="","",MIN(O125,P125+Q125))</f>
        <v/>
      </c>
      <c r="S125" s="39" t="str">
        <f aca="false">IF($A125="","",P125+Q125-R125)</f>
        <v/>
      </c>
      <c r="T125" s="41" t="str">
        <f aca="false">IF($A125="","",O125-R125)</f>
        <v/>
      </c>
      <c r="U125" s="40" t="str">
        <f aca="false">IF($A125="","",IF(N(F125)=0,0,O125/F125))</f>
        <v/>
      </c>
    </row>
  </sheetData>
  <autoFilter ref="A5:U125"/>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2"/>
    <col collapsed="false" customWidth="true" hidden="false" outlineLevel="0" max="3" min="3" style="0" width="15"/>
    <col collapsed="false" customWidth="true" hidden="false" outlineLevel="0" max="4" min="4" style="0" width="30"/>
    <col collapsed="false" customWidth="true" hidden="false" outlineLevel="0" max="5" min="5" style="0" width="15"/>
    <col collapsed="false" customWidth="true" hidden="false" outlineLevel="0" max="6" min="6" style="0" width="16"/>
  </cols>
  <sheetData>
    <row r="1" customFormat="false" ht="30" hidden="false" customHeight="true" outlineLevel="0" collapsed="false">
      <c r="A1" s="17" t="s">
        <v>181</v>
      </c>
    </row>
    <row r="2" customFormat="false" ht="15" hidden="false" customHeight="false" outlineLevel="0" collapsed="false">
      <c r="A2" s="18" t="str">
        <f aca="false">CONCATENATE("Payroll month: ",Settings!$C$5," ",Settings!$C$4)</f>
        <v>Payroll month: March 2026</v>
      </c>
    </row>
    <row r="3" customFormat="false" ht="39.75" hidden="false" customHeight="true" outlineLevel="0" collapsed="false">
      <c r="A3" s="42" t="s">
        <v>182</v>
      </c>
      <c r="B3" s="42"/>
      <c r="C3" s="42"/>
      <c r="D3" s="42"/>
      <c r="E3" s="42"/>
      <c r="F3" s="42"/>
    </row>
    <row r="4" customFormat="false" ht="15" hidden="false" customHeight="false" outlineLevel="0" collapsed="false">
      <c r="A4" s="20" t="s">
        <v>183</v>
      </c>
    </row>
    <row r="6" customFormat="false" ht="30" hidden="false" customHeight="true" outlineLevel="0" collapsed="false">
      <c r="A6" s="22" t="s">
        <v>68</v>
      </c>
      <c r="B6" s="22" t="s">
        <v>184</v>
      </c>
      <c r="C6" s="22" t="s">
        <v>185</v>
      </c>
      <c r="D6" s="22" t="s">
        <v>186</v>
      </c>
      <c r="E6" s="22" t="s">
        <v>114</v>
      </c>
      <c r="F6" s="22" t="s">
        <v>187</v>
      </c>
    </row>
    <row r="7" customFormat="false" ht="15" hidden="false" customHeight="false" outlineLevel="0" collapsed="false">
      <c r="A7" s="43" t="n">
        <f aca="false">IF(Settings!$B$12="","",Settings!$C$12)</f>
        <v>101</v>
      </c>
      <c r="B7" s="32" t="str">
        <f aca="false">IF(Settings!$B$12="","",Settings!$B$12)</f>
        <v>Anna Holm</v>
      </c>
      <c r="C7" s="44" t="str">
        <f aca="false">IF($B7="","",IF(Settings!$C$7="","Enter pay code",Settings!$C$7))</f>
        <v>Enter pay code</v>
      </c>
      <c r="D7" s="32" t="str">
        <f aca="false">IF($B7="","","Commission "&amp;Settings!$C$5&amp;" "&amp;Settings!$C$4)</f>
        <v>Commission March 2026</v>
      </c>
      <c r="E7" s="45" t="n">
        <f aca="false">IF($B7="","",INDEX(Calculation!$T$6:$T$125,0*12+Settings!$C$6))</f>
        <v>9900</v>
      </c>
      <c r="F7" s="46" t="n">
        <f aca="false">IF($B7="","",DATE(Settings!$C$4,Settings!$C$6,1))</f>
        <v>46082</v>
      </c>
    </row>
    <row r="8" customFormat="false" ht="15" hidden="false" customHeight="false" outlineLevel="0" collapsed="false">
      <c r="A8" s="43" t="n">
        <f aca="false">IF(Settings!$B$13="","",Settings!$C$13)</f>
        <v>102</v>
      </c>
      <c r="B8" s="32" t="str">
        <f aca="false">IF(Settings!$B$13="","",Settings!$B$13)</f>
        <v>Bo Jensen</v>
      </c>
      <c r="C8" s="44" t="str">
        <f aca="false">IF($B8="","",IF(Settings!$C$7="","Enter pay code",Settings!$C$7))</f>
        <v>Enter pay code</v>
      </c>
      <c r="D8" s="32" t="str">
        <f aca="false">IF($B8="","","Commission "&amp;Settings!$C$5&amp;" "&amp;Settings!$C$4)</f>
        <v>Commission March 2026</v>
      </c>
      <c r="E8" s="45" t="n">
        <f aca="false">IF($B8="","",INDEX(Calculation!$T$6:$T$125,1*12+Settings!$C$6))</f>
        <v>25000</v>
      </c>
      <c r="F8" s="46" t="n">
        <f aca="false">IF($B8="","",DATE(Settings!$C$4,Settings!$C$6,1))</f>
        <v>46082</v>
      </c>
    </row>
    <row r="9" customFormat="false" ht="15" hidden="false" customHeight="false" outlineLevel="0" collapsed="false">
      <c r="A9" s="43" t="n">
        <f aca="false">IF(Settings!$B$14="","",Settings!$C$14)</f>
        <v>103</v>
      </c>
      <c r="B9" s="32" t="str">
        <f aca="false">IF(Settings!$B$14="","",Settings!$B$14)</f>
        <v>Camilla Nørgaard</v>
      </c>
      <c r="C9" s="44" t="str">
        <f aca="false">IF($B9="","",IF(Settings!$C$7="","Enter pay code",Settings!$C$7))</f>
        <v>Enter pay code</v>
      </c>
      <c r="D9" s="32" t="str">
        <f aca="false">IF($B9="","","Commission "&amp;Settings!$C$5&amp;" "&amp;Settings!$C$4)</f>
        <v>Commission March 2026</v>
      </c>
      <c r="E9" s="45" t="n">
        <f aca="false">IF($B9="","",INDEX(Calculation!$T$6:$T$125,2*12+Settings!$C$6))</f>
        <v>28000</v>
      </c>
      <c r="F9" s="46" t="n">
        <f aca="false">IF($B9="","",DATE(Settings!$C$4,Settings!$C$6,1))</f>
        <v>46082</v>
      </c>
    </row>
    <row r="10" customFormat="false" ht="15" hidden="false" customHeight="false" outlineLevel="0" collapsed="false">
      <c r="A10" s="33" t="str">
        <f aca="false">IF(Settings!$B$15="","",Settings!$C$15)</f>
        <v/>
      </c>
      <c r="B10" s="32" t="str">
        <f aca="false">IF(Settings!$B$15="","",Settings!$B$15)</f>
        <v/>
      </c>
      <c r="C10" s="44" t="str">
        <f aca="false">IF($B10="","",IF(Settings!$C$7="","Enter pay code",Settings!$C$7))</f>
        <v/>
      </c>
      <c r="D10" s="32" t="str">
        <f aca="false">IF($B10="","","Commission "&amp;Settings!$C$5&amp;" "&amp;Settings!$C$4)</f>
        <v/>
      </c>
      <c r="E10" s="45" t="str">
        <f aca="false">IF($B10="","",INDEX(Calculation!$T$6:$T$125,3*12+Settings!$C$6))</f>
        <v/>
      </c>
      <c r="F10" s="46" t="str">
        <f aca="false">IF($B10="","",DATE(Settings!$C$4,Settings!$C$6,1))</f>
        <v/>
      </c>
    </row>
    <row r="11" customFormat="false" ht="15" hidden="false" customHeight="false" outlineLevel="0" collapsed="false">
      <c r="A11" s="33" t="str">
        <f aca="false">IF(Settings!$B$16="","",Settings!$C$16)</f>
        <v/>
      </c>
      <c r="B11" s="32" t="str">
        <f aca="false">IF(Settings!$B$16="","",Settings!$B$16)</f>
        <v/>
      </c>
      <c r="C11" s="44" t="str">
        <f aca="false">IF($B11="","",IF(Settings!$C$7="","Enter pay code",Settings!$C$7))</f>
        <v/>
      </c>
      <c r="D11" s="32" t="str">
        <f aca="false">IF($B11="","","Commission "&amp;Settings!$C$5&amp;" "&amp;Settings!$C$4)</f>
        <v/>
      </c>
      <c r="E11" s="45" t="str">
        <f aca="false">IF($B11="","",INDEX(Calculation!$T$6:$T$125,4*12+Settings!$C$6))</f>
        <v/>
      </c>
      <c r="F11" s="46" t="str">
        <f aca="false">IF($B11="","",DATE(Settings!$C$4,Settings!$C$6,1))</f>
        <v/>
      </c>
    </row>
    <row r="12" customFormat="false" ht="15" hidden="false" customHeight="false" outlineLevel="0" collapsed="false">
      <c r="A12" s="33" t="str">
        <f aca="false">IF(Settings!$B$17="","",Settings!$C$17)</f>
        <v/>
      </c>
      <c r="B12" s="32" t="str">
        <f aca="false">IF(Settings!$B$17="","",Settings!$B$17)</f>
        <v/>
      </c>
      <c r="C12" s="44" t="str">
        <f aca="false">IF($B12="","",IF(Settings!$C$7="","Enter pay code",Settings!$C$7))</f>
        <v/>
      </c>
      <c r="D12" s="32" t="str">
        <f aca="false">IF($B12="","","Commission "&amp;Settings!$C$5&amp;" "&amp;Settings!$C$4)</f>
        <v/>
      </c>
      <c r="E12" s="45" t="str">
        <f aca="false">IF($B12="","",INDEX(Calculation!$T$6:$T$125,5*12+Settings!$C$6))</f>
        <v/>
      </c>
      <c r="F12" s="46" t="str">
        <f aca="false">IF($B12="","",DATE(Settings!$C$4,Settings!$C$6,1))</f>
        <v/>
      </c>
    </row>
    <row r="13" customFormat="false" ht="15" hidden="false" customHeight="false" outlineLevel="0" collapsed="false">
      <c r="A13" s="33" t="str">
        <f aca="false">IF(Settings!$B$18="","",Settings!$C$18)</f>
        <v/>
      </c>
      <c r="B13" s="32" t="str">
        <f aca="false">IF(Settings!$B$18="","",Settings!$B$18)</f>
        <v/>
      </c>
      <c r="C13" s="44" t="str">
        <f aca="false">IF($B13="","",IF(Settings!$C$7="","Enter pay code",Settings!$C$7))</f>
        <v/>
      </c>
      <c r="D13" s="32" t="str">
        <f aca="false">IF($B13="","","Commission "&amp;Settings!$C$5&amp;" "&amp;Settings!$C$4)</f>
        <v/>
      </c>
      <c r="E13" s="45" t="str">
        <f aca="false">IF($B13="","",INDEX(Calculation!$T$6:$T$125,6*12+Settings!$C$6))</f>
        <v/>
      </c>
      <c r="F13" s="46" t="str">
        <f aca="false">IF($B13="","",DATE(Settings!$C$4,Settings!$C$6,1))</f>
        <v/>
      </c>
    </row>
    <row r="14" customFormat="false" ht="15" hidden="false" customHeight="false" outlineLevel="0" collapsed="false">
      <c r="A14" s="33" t="str">
        <f aca="false">IF(Settings!$B$19="","",Settings!$C$19)</f>
        <v/>
      </c>
      <c r="B14" s="32" t="str">
        <f aca="false">IF(Settings!$B$19="","",Settings!$B$19)</f>
        <v/>
      </c>
      <c r="C14" s="44" t="str">
        <f aca="false">IF($B14="","",IF(Settings!$C$7="","Enter pay code",Settings!$C$7))</f>
        <v/>
      </c>
      <c r="D14" s="32" t="str">
        <f aca="false">IF($B14="","","Commission "&amp;Settings!$C$5&amp;" "&amp;Settings!$C$4)</f>
        <v/>
      </c>
      <c r="E14" s="45" t="str">
        <f aca="false">IF($B14="","",INDEX(Calculation!$T$6:$T$125,7*12+Settings!$C$6))</f>
        <v/>
      </c>
      <c r="F14" s="46" t="str">
        <f aca="false">IF($B14="","",DATE(Settings!$C$4,Settings!$C$6,1))</f>
        <v/>
      </c>
    </row>
    <row r="15" customFormat="false" ht="15" hidden="false" customHeight="false" outlineLevel="0" collapsed="false">
      <c r="A15" s="33" t="str">
        <f aca="false">IF(Settings!$B$20="","",Settings!$C$20)</f>
        <v/>
      </c>
      <c r="B15" s="32" t="str">
        <f aca="false">IF(Settings!$B$20="","",Settings!$B$20)</f>
        <v/>
      </c>
      <c r="C15" s="44" t="str">
        <f aca="false">IF($B15="","",IF(Settings!$C$7="","Enter pay code",Settings!$C$7))</f>
        <v/>
      </c>
      <c r="D15" s="32" t="str">
        <f aca="false">IF($B15="","","Commission "&amp;Settings!$C$5&amp;" "&amp;Settings!$C$4)</f>
        <v/>
      </c>
      <c r="E15" s="45" t="str">
        <f aca="false">IF($B15="","",INDEX(Calculation!$T$6:$T$125,8*12+Settings!$C$6))</f>
        <v/>
      </c>
      <c r="F15" s="46" t="str">
        <f aca="false">IF($B15="","",DATE(Settings!$C$4,Settings!$C$6,1))</f>
        <v/>
      </c>
    </row>
    <row r="16" customFormat="false" ht="15" hidden="false" customHeight="false" outlineLevel="0" collapsed="false">
      <c r="A16" s="33" t="str">
        <f aca="false">IF(Settings!$B$21="","",Settings!$C$21)</f>
        <v/>
      </c>
      <c r="B16" s="32" t="str">
        <f aca="false">IF(Settings!$B$21="","",Settings!$B$21)</f>
        <v/>
      </c>
      <c r="C16" s="44" t="str">
        <f aca="false">IF($B16="","",IF(Settings!$C$7="","Enter pay code",Settings!$C$7))</f>
        <v/>
      </c>
      <c r="D16" s="32" t="str">
        <f aca="false">IF($B16="","","Commission "&amp;Settings!$C$5&amp;" "&amp;Settings!$C$4)</f>
        <v/>
      </c>
      <c r="E16" s="45" t="str">
        <f aca="false">IF($B16="","",INDEX(Calculation!$T$6:$T$125,9*12+Settings!$C$6))</f>
        <v/>
      </c>
      <c r="F16" s="46" t="str">
        <f aca="false">IF($B16="","",DATE(Settings!$C$4,Settings!$C$6,1))</f>
        <v/>
      </c>
    </row>
    <row r="17" customFormat="false" ht="15" hidden="false" customHeight="false" outlineLevel="0" collapsed="false">
      <c r="A17" s="47"/>
      <c r="B17" s="47"/>
      <c r="C17" s="47"/>
      <c r="D17" s="48" t="s">
        <v>188</v>
      </c>
      <c r="E17" s="49" t="n">
        <f aca="false">SUM(E7:E16)</f>
        <v>62900</v>
      </c>
      <c r="F17" s="47"/>
    </row>
    <row r="19" customFormat="false" ht="15" hidden="false" customHeight="false" outlineLevel="0" collapsed="false">
      <c r="A19" s="20" t="s">
        <v>189</v>
      </c>
    </row>
  </sheetData>
  <mergeCells count="1">
    <mergeCell ref="A3:F3"/>
  </mergeCells>
  <conditionalFormatting sqref="C7:C16">
    <cfRule type="cellIs" priority="2" operator="equal" aboveAverage="0" equalAverage="0" bottom="0" percent="0" rank="0" text="" dxfId="7">
      <formula>"Enter pay code"</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5"/>
    <col collapsed="false" customWidth="true" hidden="false" outlineLevel="0" max="3" min="3" style="0" width="22"/>
    <col collapsed="false" customWidth="true" hidden="false" outlineLevel="0" max="4" min="4" style="0" width="13"/>
    <col collapsed="false" customWidth="true" hidden="false" outlineLevel="0" max="6" min="5" style="0" width="15"/>
    <col collapsed="false" customWidth="true" hidden="false" outlineLevel="0" max="7" min="7" style="0" width="16"/>
    <col collapsed="false" customWidth="true" hidden="false" outlineLevel="0" max="8" min="8" style="0" width="3"/>
    <col collapsed="false" customWidth="true" hidden="false" outlineLevel="0" max="9" min="9" style="0" width="22"/>
    <col collapsed="false" customWidth="true" hidden="false" outlineLevel="0" max="10" min="10" style="0" width="10"/>
  </cols>
  <sheetData>
    <row r="1" customFormat="false" ht="39.75" hidden="false" customHeight="true" outlineLevel="0" collapsed="false">
      <c r="G1" s="1" t="s">
        <v>190</v>
      </c>
    </row>
    <row r="2" customFormat="false" ht="36" hidden="false" customHeight="true" outlineLevel="0" collapsed="false">
      <c r="B2" s="50" t="s">
        <v>191</v>
      </c>
    </row>
    <row r="3" customFormat="false" ht="15" hidden="false" customHeight="false" outlineLevel="0" collapsed="false">
      <c r="B3" s="51" t="str">
        <f aca="false">Settings!$C$8</f>
        <v>Example ApS</v>
      </c>
    </row>
    <row r="4" customFormat="false" ht="25.5" hidden="false" customHeight="true" outlineLevel="0" collapsed="false">
      <c r="B4" s="52" t="str">
        <f aca="false">IF(C6="","",C6&amp;"  ·  "&amp;C7&amp;" "&amp;D7)</f>
        <v>Anna Holm  ·  March 2026</v>
      </c>
      <c r="C4" s="53"/>
      <c r="D4" s="53"/>
      <c r="E4" s="53"/>
      <c r="F4" s="53"/>
      <c r="G4" s="53"/>
    </row>
    <row r="5" customFormat="false" ht="21.75" hidden="false" customHeight="true" outlineLevel="0" collapsed="false">
      <c r="B5" s="54" t="s">
        <v>192</v>
      </c>
    </row>
    <row r="6" customFormat="false" ht="15" hidden="false" customHeight="false" outlineLevel="0" collapsed="false">
      <c r="B6" s="18" t="s">
        <v>67</v>
      </c>
      <c r="C6" s="10" t="s">
        <v>83</v>
      </c>
      <c r="I6" s="55" t="s">
        <v>193</v>
      </c>
    </row>
    <row r="7" customFormat="false" ht="15" hidden="false" customHeight="false" outlineLevel="0" collapsed="false">
      <c r="B7" s="18" t="s">
        <v>117</v>
      </c>
      <c r="C7" s="10" t="str">
        <f aca="false">Settings!$C$5</f>
        <v>March</v>
      </c>
      <c r="D7" s="56" t="n">
        <f aca="false">Settings!$C$4</f>
        <v>2026</v>
      </c>
    </row>
    <row r="8" customFormat="false" ht="15" hidden="false" customHeight="false" outlineLevel="0" collapsed="false">
      <c r="C8" s="57" t="n">
        <f aca="false">IFERROR(MATCH(C7,Settings!$Q$12:$Q$23,0),0)</f>
        <v>3</v>
      </c>
      <c r="I8" s="55" t="s">
        <v>167</v>
      </c>
      <c r="J8" s="55" t="n">
        <f aca="false">C8</f>
        <v>3</v>
      </c>
    </row>
    <row r="9" customFormat="false" ht="15" hidden="false" customHeight="false" outlineLevel="0" collapsed="false">
      <c r="B9" s="18" t="s">
        <v>68</v>
      </c>
      <c r="C9" s="58" t="n">
        <f aca="false">IFERROR(INDEX(Settings!$C$12:$C$21,MATCH(C6,Settings!$B$12:$B$21,0)),"")</f>
        <v>101</v>
      </c>
      <c r="I9" s="55" t="s">
        <v>194</v>
      </c>
      <c r="J9" s="55" t="n">
        <f aca="false">IFERROR((MATCH(C6,Settings!$B$12:$B$21,0)-1)*12+C8,0)</f>
        <v>3</v>
      </c>
    </row>
    <row r="10" customFormat="false" ht="15" hidden="false" customHeight="false" outlineLevel="0" collapsed="false">
      <c r="B10" s="18" t="s">
        <v>69</v>
      </c>
      <c r="C10" s="59" t="str">
        <f aca="false">IFERROR(INDEX(Settings!$D$12:$D$21,MATCH(C6,Settings!$B$12:$B$21,0)),"")</f>
        <v>Flat rate</v>
      </c>
    </row>
    <row r="11" customFormat="false" ht="15" hidden="false" customHeight="false" outlineLevel="0" collapsed="false">
      <c r="B11" s="18" t="s">
        <v>31</v>
      </c>
      <c r="C11" s="59" t="str">
        <f aca="false">IFERROR(INDEX(Settings!$E$12:$E$21,MATCH(C6,Settings!$B$12:$B$21,0)),"")</f>
        <v>Revenue</v>
      </c>
    </row>
    <row r="13" customFormat="false" ht="15" hidden="false" customHeight="false" outlineLevel="0" collapsed="false">
      <c r="B13" s="7" t="s">
        <v>195</v>
      </c>
    </row>
    <row r="14" customFormat="false" ht="15" hidden="false" customHeight="false" outlineLevel="0" collapsed="false">
      <c r="B14" s="32" t="s">
        <v>196</v>
      </c>
      <c r="C14" s="32"/>
      <c r="D14" s="32"/>
      <c r="E14" s="60" t="n">
        <f aca="false">IF($J$9=0,"",INDEX(Calculation!$E$6:$E$125,$J$9))</f>
        <v>225000</v>
      </c>
    </row>
    <row r="15" customFormat="false" ht="15" hidden="false" customHeight="false" outlineLevel="0" collapsed="false">
      <c r="B15" s="32" t="s">
        <v>197</v>
      </c>
      <c r="C15" s="32"/>
      <c r="D15" s="32"/>
      <c r="E15" s="60" t="n">
        <f aca="false">IF($J$9=0,"",INDEX(Calculation!$F$6:$F$125,$J$9))</f>
        <v>225000</v>
      </c>
    </row>
    <row r="16" customFormat="false" ht="15" hidden="false" customHeight="false" outlineLevel="0" collapsed="false">
      <c r="B16" s="32" t="s">
        <v>70</v>
      </c>
      <c r="C16" s="32"/>
      <c r="D16" s="32"/>
      <c r="E16" s="60" t="n">
        <f aca="false">IF($J$9=0,"",INDEX(Calculation!$G$6:$G$125,$J$9))</f>
        <v>250000</v>
      </c>
    </row>
    <row r="17" customFormat="false" ht="15" hidden="false" customHeight="false" outlineLevel="0" collapsed="false">
      <c r="B17" s="32" t="s">
        <v>33</v>
      </c>
      <c r="C17" s="32"/>
      <c r="D17" s="32"/>
      <c r="E17" s="61" t="n">
        <f aca="false">IF($J$9=0,"",INDEX(Calculation!$H$6:$H$125,$J$9))</f>
        <v>0.9</v>
      </c>
    </row>
    <row r="18" customFormat="false" ht="15" hidden="false" customHeight="false" outlineLevel="0" collapsed="false">
      <c r="B18" s="32" t="s">
        <v>174</v>
      </c>
      <c r="C18" s="32"/>
      <c r="D18" s="32"/>
      <c r="E18" s="60" t="n">
        <f aca="false">IF($J$9=0,"",INDEX(Calculation!$M$6:$M$125,$J$9))</f>
        <v>13500</v>
      </c>
    </row>
    <row r="19" customFormat="false" ht="15" hidden="false" customHeight="false" outlineLevel="0" collapsed="false">
      <c r="B19" s="32" t="s">
        <v>198</v>
      </c>
      <c r="C19" s="32"/>
      <c r="D19" s="32"/>
      <c r="E19" s="60" t="n">
        <f aca="false">IF($J$9=0,"",INDEX(Calculation!$L$6:$L$125,$J$9))</f>
        <v>0</v>
      </c>
    </row>
    <row r="20" customFormat="false" ht="15" hidden="false" customHeight="false" outlineLevel="0" collapsed="false">
      <c r="B20" s="32" t="s">
        <v>35</v>
      </c>
      <c r="C20" s="32"/>
      <c r="D20" s="32"/>
      <c r="E20" s="62" t="str">
        <f aca="false">IF($J$9=0,"",IF(INDEX(Calculation!$N$6:$N$125,$J$9)="","No cap",INDEX(Calculation!$N$6:$N$125,$J$9)))</f>
        <v>No cap</v>
      </c>
    </row>
    <row r="21" customFormat="false" ht="15" hidden="false" customHeight="false" outlineLevel="0" collapsed="false">
      <c r="B21" s="32" t="s">
        <v>175</v>
      </c>
      <c r="C21" s="32"/>
      <c r="D21" s="32"/>
      <c r="E21" s="60" t="n">
        <f aca="false">IF($J$9=0,"",INDEX(Calculation!$O$6:$O$125,$J$9))</f>
        <v>13500</v>
      </c>
    </row>
    <row r="22" customFormat="false" ht="15" hidden="false" customHeight="false" outlineLevel="0" collapsed="false">
      <c r="B22" s="32" t="s">
        <v>178</v>
      </c>
      <c r="C22" s="32"/>
      <c r="D22" s="32"/>
      <c r="E22" s="60" t="n">
        <f aca="false">IF($J$9=0,"",-INDEX(Calculation!$R$6:$R$125,$J$9))</f>
        <v>-3600</v>
      </c>
    </row>
    <row r="23" customFormat="false" ht="15" hidden="false" customHeight="false" outlineLevel="0" collapsed="false">
      <c r="B23" s="48" t="s">
        <v>199</v>
      </c>
      <c r="C23" s="48"/>
      <c r="D23" s="48"/>
      <c r="E23" s="63" t="n">
        <f aca="false">IF($J$9=0,"",INDEX(Calculation!$T$6:$T$125,$J$9))</f>
        <v>9900</v>
      </c>
    </row>
    <row r="24" customFormat="false" ht="15" hidden="false" customHeight="false" outlineLevel="0" collapsed="false">
      <c r="B24" s="32" t="s">
        <v>200</v>
      </c>
      <c r="C24" s="32"/>
      <c r="D24" s="32"/>
      <c r="E24" s="60" t="n">
        <f aca="false">IF($J$9=0,"",INDEX(Calculation!$S$6:$S$125,$J$9))</f>
        <v>0</v>
      </c>
    </row>
    <row r="26" customFormat="false" ht="15" hidden="false" customHeight="false" outlineLevel="0" collapsed="false">
      <c r="B26" s="7" t="s">
        <v>201</v>
      </c>
    </row>
    <row r="27" customFormat="false" ht="27.75" hidden="false" customHeight="true" outlineLevel="0" collapsed="false">
      <c r="B27" s="22" t="s">
        <v>111</v>
      </c>
      <c r="C27" s="22" t="s">
        <v>112</v>
      </c>
      <c r="D27" s="22" t="s">
        <v>113</v>
      </c>
      <c r="E27" s="22" t="s">
        <v>114</v>
      </c>
      <c r="F27" s="22" t="s">
        <v>31</v>
      </c>
      <c r="G27" s="22" t="s">
        <v>202</v>
      </c>
    </row>
    <row r="28" customFormat="false" ht="15" hidden="false" customHeight="false" outlineLevel="0" collapsed="false">
      <c r="B28" s="64" t="n">
        <f aca="false">IFERROR(INDEX(Sales!$A$5:$A$304,MATCH(1,Sales!$Q$5:$Q$304,0)),"")</f>
        <v>46084</v>
      </c>
      <c r="C28" s="32" t="str">
        <f aca="false">IFERROR(INDEX(Sales!$C$5:$C$304,MATCH(1,Sales!$Q$5:$Q$304,0)),"")</f>
        <v>Birkely Tandklinik</v>
      </c>
      <c r="D28" s="32" t="str">
        <f aca="false">IFERROR(INDEX(Sales!$D$5:$D$304,MATCH(1,Sales!$Q$5:$Q$304,0)),"")</f>
        <v>D-1013</v>
      </c>
      <c r="E28" s="34" t="n">
        <f aca="false">IFERROR(INDEX(Sales!$E$5:$E$304,MATCH(1,Sales!$Q$5:$Q$304,0)),"")</f>
        <v>130000</v>
      </c>
      <c r="F28" s="34" t="n">
        <f aca="false">IFERROR(INDEX(Sales!$L$5:$L$304,MATCH(1,Sales!$Q$5:$Q$304,0)),"")</f>
        <v>130000</v>
      </c>
      <c r="G28" s="34" t="n">
        <f aca="false">IF(F28="","",F28*INDEX(Calculation!$U$6:$U$125,$J$9))</f>
        <v>7800</v>
      </c>
    </row>
    <row r="29" customFormat="false" ht="15" hidden="false" customHeight="false" outlineLevel="0" collapsed="false">
      <c r="B29" s="64" t="n">
        <f aca="false">IFERROR(INDEX(Sales!$A$5:$A$304,MATCH(2,Sales!$Q$5:$Q$304,0)),"")</f>
        <v>46107</v>
      </c>
      <c r="C29" s="32" t="str">
        <f aca="false">IFERROR(INDEX(Sales!$C$5:$C$304,MATCH(2,Sales!$Q$5:$Q$304,0)),"")</f>
        <v>Fyrtårnet Event ApS</v>
      </c>
      <c r="D29" s="32" t="str">
        <f aca="false">IFERROR(INDEX(Sales!$D$5:$D$304,MATCH(2,Sales!$Q$5:$Q$304,0)),"")</f>
        <v>D-1019</v>
      </c>
      <c r="E29" s="34" t="n">
        <f aca="false">IFERROR(INDEX(Sales!$E$5:$E$304,MATCH(2,Sales!$Q$5:$Q$304,0)),"")</f>
        <v>95000</v>
      </c>
      <c r="F29" s="34" t="n">
        <f aca="false">IFERROR(INDEX(Sales!$L$5:$L$304,MATCH(2,Sales!$Q$5:$Q$304,0)),"")</f>
        <v>95000</v>
      </c>
      <c r="G29" s="34" t="n">
        <f aca="false">IF(F29="","",F29*INDEX(Calculation!$U$6:$U$125,$J$9))</f>
        <v>5700</v>
      </c>
    </row>
    <row r="30" customFormat="false" ht="15" hidden="false" customHeight="false" outlineLevel="0" collapsed="false">
      <c r="B30" s="64" t="str">
        <f aca="false">IFERROR(INDEX(Sales!$A$5:$A$304,MATCH(3,Sales!$Q$5:$Q$304,0)),"")</f>
        <v/>
      </c>
      <c r="C30" s="32" t="str">
        <f aca="false">IFERROR(INDEX(Sales!$C$5:$C$304,MATCH(3,Sales!$Q$5:$Q$304,0)),"")</f>
        <v/>
      </c>
      <c r="D30" s="32" t="str">
        <f aca="false">IFERROR(INDEX(Sales!$D$5:$D$304,MATCH(3,Sales!$Q$5:$Q$304,0)),"")</f>
        <v/>
      </c>
      <c r="E30" s="34" t="str">
        <f aca="false">IFERROR(INDEX(Sales!$E$5:$E$304,MATCH(3,Sales!$Q$5:$Q$304,0)),"")</f>
        <v/>
      </c>
      <c r="F30" s="34" t="str">
        <f aca="false">IFERROR(INDEX(Sales!$L$5:$L$304,MATCH(3,Sales!$Q$5:$Q$304,0)),"")</f>
        <v/>
      </c>
      <c r="G30" s="34" t="str">
        <f aca="false">IF(F30="","",F30*INDEX(Calculation!$U$6:$U$125,$J$9))</f>
        <v/>
      </c>
    </row>
    <row r="31" customFormat="false" ht="15" hidden="false" customHeight="false" outlineLevel="0" collapsed="false">
      <c r="B31" s="64" t="str">
        <f aca="false">IFERROR(INDEX(Sales!$A$5:$A$304,MATCH(4,Sales!$Q$5:$Q$304,0)),"")</f>
        <v/>
      </c>
      <c r="C31" s="32" t="str">
        <f aca="false">IFERROR(INDEX(Sales!$C$5:$C$304,MATCH(4,Sales!$Q$5:$Q$304,0)),"")</f>
        <v/>
      </c>
      <c r="D31" s="32" t="str">
        <f aca="false">IFERROR(INDEX(Sales!$D$5:$D$304,MATCH(4,Sales!$Q$5:$Q$304,0)),"")</f>
        <v/>
      </c>
      <c r="E31" s="34" t="str">
        <f aca="false">IFERROR(INDEX(Sales!$E$5:$E$304,MATCH(4,Sales!$Q$5:$Q$304,0)),"")</f>
        <v/>
      </c>
      <c r="F31" s="34" t="str">
        <f aca="false">IFERROR(INDEX(Sales!$L$5:$L$304,MATCH(4,Sales!$Q$5:$Q$304,0)),"")</f>
        <v/>
      </c>
      <c r="G31" s="34" t="str">
        <f aca="false">IF(F31="","",F31*INDEX(Calculation!$U$6:$U$125,$J$9))</f>
        <v/>
      </c>
    </row>
    <row r="32" customFormat="false" ht="15" hidden="false" customHeight="false" outlineLevel="0" collapsed="false">
      <c r="B32" s="64" t="str">
        <f aca="false">IFERROR(INDEX(Sales!$A$5:$A$304,MATCH(5,Sales!$Q$5:$Q$304,0)),"")</f>
        <v/>
      </c>
      <c r="C32" s="32" t="str">
        <f aca="false">IFERROR(INDEX(Sales!$C$5:$C$304,MATCH(5,Sales!$Q$5:$Q$304,0)),"")</f>
        <v/>
      </c>
      <c r="D32" s="32" t="str">
        <f aca="false">IFERROR(INDEX(Sales!$D$5:$D$304,MATCH(5,Sales!$Q$5:$Q$304,0)),"")</f>
        <v/>
      </c>
      <c r="E32" s="34" t="str">
        <f aca="false">IFERROR(INDEX(Sales!$E$5:$E$304,MATCH(5,Sales!$Q$5:$Q$304,0)),"")</f>
        <v/>
      </c>
      <c r="F32" s="34" t="str">
        <f aca="false">IFERROR(INDEX(Sales!$L$5:$L$304,MATCH(5,Sales!$Q$5:$Q$304,0)),"")</f>
        <v/>
      </c>
      <c r="G32" s="34" t="str">
        <f aca="false">IF(F32="","",F32*INDEX(Calculation!$U$6:$U$125,$J$9))</f>
        <v/>
      </c>
    </row>
    <row r="33" customFormat="false" ht="15" hidden="false" customHeight="false" outlineLevel="0" collapsed="false">
      <c r="B33" s="64" t="str">
        <f aca="false">IFERROR(INDEX(Sales!$A$5:$A$304,MATCH(6,Sales!$Q$5:$Q$304,0)),"")</f>
        <v/>
      </c>
      <c r="C33" s="32" t="str">
        <f aca="false">IFERROR(INDEX(Sales!$C$5:$C$304,MATCH(6,Sales!$Q$5:$Q$304,0)),"")</f>
        <v/>
      </c>
      <c r="D33" s="32" t="str">
        <f aca="false">IFERROR(INDEX(Sales!$D$5:$D$304,MATCH(6,Sales!$Q$5:$Q$304,0)),"")</f>
        <v/>
      </c>
      <c r="E33" s="34" t="str">
        <f aca="false">IFERROR(INDEX(Sales!$E$5:$E$304,MATCH(6,Sales!$Q$5:$Q$304,0)),"")</f>
        <v/>
      </c>
      <c r="F33" s="34" t="str">
        <f aca="false">IFERROR(INDEX(Sales!$L$5:$L$304,MATCH(6,Sales!$Q$5:$Q$304,0)),"")</f>
        <v/>
      </c>
      <c r="G33" s="34" t="str">
        <f aca="false">IF(F33="","",F33*INDEX(Calculation!$U$6:$U$125,$J$9))</f>
        <v/>
      </c>
    </row>
    <row r="34" customFormat="false" ht="15" hidden="false" customHeight="false" outlineLevel="0" collapsed="false">
      <c r="B34" s="64" t="str">
        <f aca="false">IFERROR(INDEX(Sales!$A$5:$A$304,MATCH(7,Sales!$Q$5:$Q$304,0)),"")</f>
        <v/>
      </c>
      <c r="C34" s="32" t="str">
        <f aca="false">IFERROR(INDEX(Sales!$C$5:$C$304,MATCH(7,Sales!$Q$5:$Q$304,0)),"")</f>
        <v/>
      </c>
      <c r="D34" s="32" t="str">
        <f aca="false">IFERROR(INDEX(Sales!$D$5:$D$304,MATCH(7,Sales!$Q$5:$Q$304,0)),"")</f>
        <v/>
      </c>
      <c r="E34" s="34" t="str">
        <f aca="false">IFERROR(INDEX(Sales!$E$5:$E$304,MATCH(7,Sales!$Q$5:$Q$304,0)),"")</f>
        <v/>
      </c>
      <c r="F34" s="34" t="str">
        <f aca="false">IFERROR(INDEX(Sales!$L$5:$L$304,MATCH(7,Sales!$Q$5:$Q$304,0)),"")</f>
        <v/>
      </c>
      <c r="G34" s="34" t="str">
        <f aca="false">IF(F34="","",F34*INDEX(Calculation!$U$6:$U$125,$J$9))</f>
        <v/>
      </c>
    </row>
    <row r="35" customFormat="false" ht="15" hidden="false" customHeight="false" outlineLevel="0" collapsed="false">
      <c r="B35" s="64" t="str">
        <f aca="false">IFERROR(INDEX(Sales!$A$5:$A$304,MATCH(8,Sales!$Q$5:$Q$304,0)),"")</f>
        <v/>
      </c>
      <c r="C35" s="32" t="str">
        <f aca="false">IFERROR(INDEX(Sales!$C$5:$C$304,MATCH(8,Sales!$Q$5:$Q$304,0)),"")</f>
        <v/>
      </c>
      <c r="D35" s="32" t="str">
        <f aca="false">IFERROR(INDEX(Sales!$D$5:$D$304,MATCH(8,Sales!$Q$5:$Q$304,0)),"")</f>
        <v/>
      </c>
      <c r="E35" s="34" t="str">
        <f aca="false">IFERROR(INDEX(Sales!$E$5:$E$304,MATCH(8,Sales!$Q$5:$Q$304,0)),"")</f>
        <v/>
      </c>
      <c r="F35" s="34" t="str">
        <f aca="false">IFERROR(INDEX(Sales!$L$5:$L$304,MATCH(8,Sales!$Q$5:$Q$304,0)),"")</f>
        <v/>
      </c>
      <c r="G35" s="34" t="str">
        <f aca="false">IF(F35="","",F35*INDEX(Calculation!$U$6:$U$125,$J$9))</f>
        <v/>
      </c>
    </row>
    <row r="36" customFormat="false" ht="15" hidden="false" customHeight="false" outlineLevel="0" collapsed="false">
      <c r="B36" s="64" t="str">
        <f aca="false">IFERROR(INDEX(Sales!$A$5:$A$304,MATCH(9,Sales!$Q$5:$Q$304,0)),"")</f>
        <v/>
      </c>
      <c r="C36" s="32" t="str">
        <f aca="false">IFERROR(INDEX(Sales!$C$5:$C$304,MATCH(9,Sales!$Q$5:$Q$304,0)),"")</f>
        <v/>
      </c>
      <c r="D36" s="32" t="str">
        <f aca="false">IFERROR(INDEX(Sales!$D$5:$D$304,MATCH(9,Sales!$Q$5:$Q$304,0)),"")</f>
        <v/>
      </c>
      <c r="E36" s="34" t="str">
        <f aca="false">IFERROR(INDEX(Sales!$E$5:$E$304,MATCH(9,Sales!$Q$5:$Q$304,0)),"")</f>
        <v/>
      </c>
      <c r="F36" s="34" t="str">
        <f aca="false">IFERROR(INDEX(Sales!$L$5:$L$304,MATCH(9,Sales!$Q$5:$Q$304,0)),"")</f>
        <v/>
      </c>
      <c r="G36" s="34" t="str">
        <f aca="false">IF(F36="","",F36*INDEX(Calculation!$U$6:$U$125,$J$9))</f>
        <v/>
      </c>
    </row>
    <row r="37" customFormat="false" ht="15" hidden="false" customHeight="false" outlineLevel="0" collapsed="false">
      <c r="B37" s="64" t="str">
        <f aca="false">IFERROR(INDEX(Sales!$A$5:$A$304,MATCH(10,Sales!$Q$5:$Q$304,0)),"")</f>
        <v/>
      </c>
      <c r="C37" s="32" t="str">
        <f aca="false">IFERROR(INDEX(Sales!$C$5:$C$304,MATCH(10,Sales!$Q$5:$Q$304,0)),"")</f>
        <v/>
      </c>
      <c r="D37" s="32" t="str">
        <f aca="false">IFERROR(INDEX(Sales!$D$5:$D$304,MATCH(10,Sales!$Q$5:$Q$304,0)),"")</f>
        <v/>
      </c>
      <c r="E37" s="34" t="str">
        <f aca="false">IFERROR(INDEX(Sales!$E$5:$E$304,MATCH(10,Sales!$Q$5:$Q$304,0)),"")</f>
        <v/>
      </c>
      <c r="F37" s="34" t="str">
        <f aca="false">IFERROR(INDEX(Sales!$L$5:$L$304,MATCH(10,Sales!$Q$5:$Q$304,0)),"")</f>
        <v/>
      </c>
      <c r="G37" s="34" t="str">
        <f aca="false">IF(F37="","",F37*INDEX(Calculation!$U$6:$U$125,$J$9))</f>
        <v/>
      </c>
    </row>
    <row r="38" customFormat="false" ht="15" hidden="false" customHeight="false" outlineLevel="0" collapsed="false">
      <c r="B38" s="64" t="str">
        <f aca="false">IFERROR(INDEX(Sales!$A$5:$A$304,MATCH(11,Sales!$Q$5:$Q$304,0)),"")</f>
        <v/>
      </c>
      <c r="C38" s="32" t="str">
        <f aca="false">IFERROR(INDEX(Sales!$C$5:$C$304,MATCH(11,Sales!$Q$5:$Q$304,0)),"")</f>
        <v/>
      </c>
      <c r="D38" s="32" t="str">
        <f aca="false">IFERROR(INDEX(Sales!$D$5:$D$304,MATCH(11,Sales!$Q$5:$Q$304,0)),"")</f>
        <v/>
      </c>
      <c r="E38" s="34" t="str">
        <f aca="false">IFERROR(INDEX(Sales!$E$5:$E$304,MATCH(11,Sales!$Q$5:$Q$304,0)),"")</f>
        <v/>
      </c>
      <c r="F38" s="34" t="str">
        <f aca="false">IFERROR(INDEX(Sales!$L$5:$L$304,MATCH(11,Sales!$Q$5:$Q$304,0)),"")</f>
        <v/>
      </c>
      <c r="G38" s="34" t="str">
        <f aca="false">IF(F38="","",F38*INDEX(Calculation!$U$6:$U$125,$J$9))</f>
        <v/>
      </c>
    </row>
    <row r="39" customFormat="false" ht="15" hidden="false" customHeight="false" outlineLevel="0" collapsed="false">
      <c r="B39" s="64" t="str">
        <f aca="false">IFERROR(INDEX(Sales!$A$5:$A$304,MATCH(12,Sales!$Q$5:$Q$304,0)),"")</f>
        <v/>
      </c>
      <c r="C39" s="32" t="str">
        <f aca="false">IFERROR(INDEX(Sales!$C$5:$C$304,MATCH(12,Sales!$Q$5:$Q$304,0)),"")</f>
        <v/>
      </c>
      <c r="D39" s="32" t="str">
        <f aca="false">IFERROR(INDEX(Sales!$D$5:$D$304,MATCH(12,Sales!$Q$5:$Q$304,0)),"")</f>
        <v/>
      </c>
      <c r="E39" s="34" t="str">
        <f aca="false">IFERROR(INDEX(Sales!$E$5:$E$304,MATCH(12,Sales!$Q$5:$Q$304,0)),"")</f>
        <v/>
      </c>
      <c r="F39" s="34" t="str">
        <f aca="false">IFERROR(INDEX(Sales!$L$5:$L$304,MATCH(12,Sales!$Q$5:$Q$304,0)),"")</f>
        <v/>
      </c>
      <c r="G39" s="34" t="str">
        <f aca="false">IF(F39="","",F39*INDEX(Calculation!$U$6:$U$125,$J$9))</f>
        <v/>
      </c>
    </row>
    <row r="40" customFormat="false" ht="15" hidden="false" customHeight="false" outlineLevel="0" collapsed="false">
      <c r="B40" s="64" t="str">
        <f aca="false">IFERROR(INDEX(Sales!$A$5:$A$304,MATCH(13,Sales!$Q$5:$Q$304,0)),"")</f>
        <v/>
      </c>
      <c r="C40" s="32" t="str">
        <f aca="false">IFERROR(INDEX(Sales!$C$5:$C$304,MATCH(13,Sales!$Q$5:$Q$304,0)),"")</f>
        <v/>
      </c>
      <c r="D40" s="32" t="str">
        <f aca="false">IFERROR(INDEX(Sales!$D$5:$D$304,MATCH(13,Sales!$Q$5:$Q$304,0)),"")</f>
        <v/>
      </c>
      <c r="E40" s="34" t="str">
        <f aca="false">IFERROR(INDEX(Sales!$E$5:$E$304,MATCH(13,Sales!$Q$5:$Q$304,0)),"")</f>
        <v/>
      </c>
      <c r="F40" s="34" t="str">
        <f aca="false">IFERROR(INDEX(Sales!$L$5:$L$304,MATCH(13,Sales!$Q$5:$Q$304,0)),"")</f>
        <v/>
      </c>
      <c r="G40" s="34" t="str">
        <f aca="false">IF(F40="","",F40*INDEX(Calculation!$U$6:$U$125,$J$9))</f>
        <v/>
      </c>
    </row>
    <row r="41" customFormat="false" ht="15" hidden="false" customHeight="false" outlineLevel="0" collapsed="false">
      <c r="B41" s="64" t="str">
        <f aca="false">IFERROR(INDEX(Sales!$A$5:$A$304,MATCH(14,Sales!$Q$5:$Q$304,0)),"")</f>
        <v/>
      </c>
      <c r="C41" s="32" t="str">
        <f aca="false">IFERROR(INDEX(Sales!$C$5:$C$304,MATCH(14,Sales!$Q$5:$Q$304,0)),"")</f>
        <v/>
      </c>
      <c r="D41" s="32" t="str">
        <f aca="false">IFERROR(INDEX(Sales!$D$5:$D$304,MATCH(14,Sales!$Q$5:$Q$304,0)),"")</f>
        <v/>
      </c>
      <c r="E41" s="34" t="str">
        <f aca="false">IFERROR(INDEX(Sales!$E$5:$E$304,MATCH(14,Sales!$Q$5:$Q$304,0)),"")</f>
        <v/>
      </c>
      <c r="F41" s="34" t="str">
        <f aca="false">IFERROR(INDEX(Sales!$L$5:$L$304,MATCH(14,Sales!$Q$5:$Q$304,0)),"")</f>
        <v/>
      </c>
      <c r="G41" s="34" t="str">
        <f aca="false">IF(F41="","",F41*INDEX(Calculation!$U$6:$U$125,$J$9))</f>
        <v/>
      </c>
    </row>
    <row r="42" customFormat="false" ht="15" hidden="false" customHeight="false" outlineLevel="0" collapsed="false">
      <c r="B42" s="64" t="str">
        <f aca="false">IFERROR(INDEX(Sales!$A$5:$A$304,MATCH(15,Sales!$Q$5:$Q$304,0)),"")</f>
        <v/>
      </c>
      <c r="C42" s="32" t="str">
        <f aca="false">IFERROR(INDEX(Sales!$C$5:$C$304,MATCH(15,Sales!$Q$5:$Q$304,0)),"")</f>
        <v/>
      </c>
      <c r="D42" s="32" t="str">
        <f aca="false">IFERROR(INDEX(Sales!$D$5:$D$304,MATCH(15,Sales!$Q$5:$Q$304,0)),"")</f>
        <v/>
      </c>
      <c r="E42" s="34" t="str">
        <f aca="false">IFERROR(INDEX(Sales!$E$5:$E$304,MATCH(15,Sales!$Q$5:$Q$304,0)),"")</f>
        <v/>
      </c>
      <c r="F42" s="34" t="str">
        <f aca="false">IFERROR(INDEX(Sales!$L$5:$L$304,MATCH(15,Sales!$Q$5:$Q$304,0)),"")</f>
        <v/>
      </c>
      <c r="G42" s="34" t="str">
        <f aca="false">IF(F42="","",F42*INDEX(Calculation!$U$6:$U$125,$J$9))</f>
        <v/>
      </c>
    </row>
    <row r="43" customFormat="false" ht="15" hidden="false" customHeight="false" outlineLevel="0" collapsed="false">
      <c r="B43" s="64" t="str">
        <f aca="false">IFERROR(INDEX(Sales!$A$5:$A$304,MATCH(16,Sales!$Q$5:$Q$304,0)),"")</f>
        <v/>
      </c>
      <c r="C43" s="32" t="str">
        <f aca="false">IFERROR(INDEX(Sales!$C$5:$C$304,MATCH(16,Sales!$Q$5:$Q$304,0)),"")</f>
        <v/>
      </c>
      <c r="D43" s="32" t="str">
        <f aca="false">IFERROR(INDEX(Sales!$D$5:$D$304,MATCH(16,Sales!$Q$5:$Q$304,0)),"")</f>
        <v/>
      </c>
      <c r="E43" s="34" t="str">
        <f aca="false">IFERROR(INDEX(Sales!$E$5:$E$304,MATCH(16,Sales!$Q$5:$Q$304,0)),"")</f>
        <v/>
      </c>
      <c r="F43" s="34" t="str">
        <f aca="false">IFERROR(INDEX(Sales!$L$5:$L$304,MATCH(16,Sales!$Q$5:$Q$304,0)),"")</f>
        <v/>
      </c>
      <c r="G43" s="34" t="str">
        <f aca="false">IF(F43="","",F43*INDEX(Calculation!$U$6:$U$125,$J$9))</f>
        <v/>
      </c>
    </row>
    <row r="44" customFormat="false" ht="15" hidden="false" customHeight="false" outlineLevel="0" collapsed="false">
      <c r="B44" s="64" t="str">
        <f aca="false">IFERROR(INDEX(Sales!$A$5:$A$304,MATCH(17,Sales!$Q$5:$Q$304,0)),"")</f>
        <v/>
      </c>
      <c r="C44" s="32" t="str">
        <f aca="false">IFERROR(INDEX(Sales!$C$5:$C$304,MATCH(17,Sales!$Q$5:$Q$304,0)),"")</f>
        <v/>
      </c>
      <c r="D44" s="32" t="str">
        <f aca="false">IFERROR(INDEX(Sales!$D$5:$D$304,MATCH(17,Sales!$Q$5:$Q$304,0)),"")</f>
        <v/>
      </c>
      <c r="E44" s="34" t="str">
        <f aca="false">IFERROR(INDEX(Sales!$E$5:$E$304,MATCH(17,Sales!$Q$5:$Q$304,0)),"")</f>
        <v/>
      </c>
      <c r="F44" s="34" t="str">
        <f aca="false">IFERROR(INDEX(Sales!$L$5:$L$304,MATCH(17,Sales!$Q$5:$Q$304,0)),"")</f>
        <v/>
      </c>
      <c r="G44" s="34" t="str">
        <f aca="false">IF(F44="","",F44*INDEX(Calculation!$U$6:$U$125,$J$9))</f>
        <v/>
      </c>
    </row>
    <row r="45" customFormat="false" ht="15" hidden="false" customHeight="false" outlineLevel="0" collapsed="false">
      <c r="B45" s="64" t="str">
        <f aca="false">IFERROR(INDEX(Sales!$A$5:$A$304,MATCH(18,Sales!$Q$5:$Q$304,0)),"")</f>
        <v/>
      </c>
      <c r="C45" s="32" t="str">
        <f aca="false">IFERROR(INDEX(Sales!$C$5:$C$304,MATCH(18,Sales!$Q$5:$Q$304,0)),"")</f>
        <v/>
      </c>
      <c r="D45" s="32" t="str">
        <f aca="false">IFERROR(INDEX(Sales!$D$5:$D$304,MATCH(18,Sales!$Q$5:$Q$304,0)),"")</f>
        <v/>
      </c>
      <c r="E45" s="34" t="str">
        <f aca="false">IFERROR(INDEX(Sales!$E$5:$E$304,MATCH(18,Sales!$Q$5:$Q$304,0)),"")</f>
        <v/>
      </c>
      <c r="F45" s="34" t="str">
        <f aca="false">IFERROR(INDEX(Sales!$L$5:$L$304,MATCH(18,Sales!$Q$5:$Q$304,0)),"")</f>
        <v/>
      </c>
      <c r="G45" s="34" t="str">
        <f aca="false">IF(F45="","",F45*INDEX(Calculation!$U$6:$U$125,$J$9))</f>
        <v/>
      </c>
    </row>
    <row r="46" customFormat="false" ht="15" hidden="false" customHeight="false" outlineLevel="0" collapsed="false">
      <c r="B46" s="64" t="str">
        <f aca="false">IFERROR(INDEX(Sales!$A$5:$A$304,MATCH(19,Sales!$Q$5:$Q$304,0)),"")</f>
        <v/>
      </c>
      <c r="C46" s="32" t="str">
        <f aca="false">IFERROR(INDEX(Sales!$C$5:$C$304,MATCH(19,Sales!$Q$5:$Q$304,0)),"")</f>
        <v/>
      </c>
      <c r="D46" s="32" t="str">
        <f aca="false">IFERROR(INDEX(Sales!$D$5:$D$304,MATCH(19,Sales!$Q$5:$Q$304,0)),"")</f>
        <v/>
      </c>
      <c r="E46" s="34" t="str">
        <f aca="false">IFERROR(INDEX(Sales!$E$5:$E$304,MATCH(19,Sales!$Q$5:$Q$304,0)),"")</f>
        <v/>
      </c>
      <c r="F46" s="34" t="str">
        <f aca="false">IFERROR(INDEX(Sales!$L$5:$L$304,MATCH(19,Sales!$Q$5:$Q$304,0)),"")</f>
        <v/>
      </c>
      <c r="G46" s="34" t="str">
        <f aca="false">IF(F46="","",F46*INDEX(Calculation!$U$6:$U$125,$J$9))</f>
        <v/>
      </c>
    </row>
    <row r="47" customFormat="false" ht="15" hidden="false" customHeight="false" outlineLevel="0" collapsed="false">
      <c r="B47" s="64" t="str">
        <f aca="false">IFERROR(INDEX(Sales!$A$5:$A$304,MATCH(20,Sales!$Q$5:$Q$304,0)),"")</f>
        <v/>
      </c>
      <c r="C47" s="32" t="str">
        <f aca="false">IFERROR(INDEX(Sales!$C$5:$C$304,MATCH(20,Sales!$Q$5:$Q$304,0)),"")</f>
        <v/>
      </c>
      <c r="D47" s="32" t="str">
        <f aca="false">IFERROR(INDEX(Sales!$D$5:$D$304,MATCH(20,Sales!$Q$5:$Q$304,0)),"")</f>
        <v/>
      </c>
      <c r="E47" s="34" t="str">
        <f aca="false">IFERROR(INDEX(Sales!$E$5:$E$304,MATCH(20,Sales!$Q$5:$Q$304,0)),"")</f>
        <v/>
      </c>
      <c r="F47" s="34" t="str">
        <f aca="false">IFERROR(INDEX(Sales!$L$5:$L$304,MATCH(20,Sales!$Q$5:$Q$304,0)),"")</f>
        <v/>
      </c>
      <c r="G47" s="34" t="str">
        <f aca="false">IF(F47="","",F47*INDEX(Calculation!$U$6:$U$125,$J$9))</f>
        <v/>
      </c>
    </row>
    <row r="48" customFormat="false" ht="15" hidden="false" customHeight="false" outlineLevel="0" collapsed="false">
      <c r="B48" s="48" t="s">
        <v>188</v>
      </c>
      <c r="C48" s="47"/>
      <c r="D48" s="47"/>
      <c r="E48" s="63" t="n">
        <f aca="false">SUM(E28:E47)</f>
        <v>225000</v>
      </c>
      <c r="F48" s="63" t="n">
        <f aca="false">SUM(F28:F47)</f>
        <v>225000</v>
      </c>
      <c r="G48" s="63" t="n">
        <f aca="false">SUM(G28:G47)</f>
        <v>13500</v>
      </c>
    </row>
    <row r="49" customFormat="false" ht="15" hidden="false" customHeight="false" outlineLevel="0" collapsed="false">
      <c r="B49" s="20" t="s">
        <v>203</v>
      </c>
    </row>
    <row r="51" customFormat="false" ht="15" hidden="false" customHeight="false" outlineLevel="0" collapsed="false">
      <c r="B51" s="7" t="s">
        <v>204</v>
      </c>
    </row>
    <row r="52" customFormat="false" ht="27.75" hidden="false" customHeight="true" outlineLevel="0" collapsed="false">
      <c r="B52" s="22" t="s">
        <v>91</v>
      </c>
      <c r="C52" s="22" t="s">
        <v>112</v>
      </c>
      <c r="D52" s="22" t="s">
        <v>113</v>
      </c>
      <c r="E52" s="22" t="s">
        <v>205</v>
      </c>
      <c r="F52" s="22" t="s">
        <v>31</v>
      </c>
      <c r="G52" s="22" t="s">
        <v>115</v>
      </c>
    </row>
    <row r="53" customFormat="false" ht="15" hidden="false" customHeight="false" outlineLevel="0" collapsed="false">
      <c r="B53" s="64" t="n">
        <f aca="false">IFERROR(INDEX(Sales!$I$5:$I$304,MATCH(1,Sales!$S$5:$S$304,0)),"")</f>
        <v>46093</v>
      </c>
      <c r="C53" s="32" t="str">
        <f aca="false">IFERROR(INDEX(Sales!$C$5:$C$304,MATCH(1,Sales!$S$5:$S$304,0)),"")</f>
        <v>Kystlinjen ApS</v>
      </c>
      <c r="D53" s="32" t="str">
        <f aca="false">IFERROR(INDEX(Sales!$D$5:$D$304,MATCH(1,Sales!$S$5:$S$304,0)),"")</f>
        <v>D-1004</v>
      </c>
      <c r="E53" s="32" t="str">
        <f aca="false">IFERROR(INDEX(Settings!$Q$12:$Q$23,INDEX(Sales!$J$5:$J$304,MATCH(1,Sales!$S$5:$S$304,0))),IFERROR(IF(INDEX(Sales!$D$5:$D$304,MATCH(1,Sales!$S$5:$S$304,0))&lt;&gt;"","Previous year",""),""))</f>
        <v>January</v>
      </c>
      <c r="F53" s="34" t="n">
        <f aca="false">IFERROR(INDEX(Sales!$L$5:$L$304,MATCH(1,Sales!$S$5:$S$304,0)),"")</f>
        <v>60000</v>
      </c>
      <c r="G53" s="34" t="n">
        <f aca="false">IFERROR(INDEX(Sales!$O$5:$O$304,MATCH(1,Sales!$S$5:$S$304,0)),"")</f>
        <v>3600</v>
      </c>
    </row>
    <row r="54" customFormat="false" ht="15" hidden="false" customHeight="false" outlineLevel="0" collapsed="false">
      <c r="B54" s="64" t="str">
        <f aca="false">IFERROR(INDEX(Sales!$I$5:$I$304,MATCH(2,Sales!$S$5:$S$304,0)),"")</f>
        <v/>
      </c>
      <c r="C54" s="32" t="str">
        <f aca="false">IFERROR(INDEX(Sales!$C$5:$C$304,MATCH(2,Sales!$S$5:$S$304,0)),"")</f>
        <v/>
      </c>
      <c r="D54" s="32" t="str">
        <f aca="false">IFERROR(INDEX(Sales!$D$5:$D$304,MATCH(2,Sales!$S$5:$S$304,0)),"")</f>
        <v/>
      </c>
      <c r="E54" s="32" t="str">
        <f aca="false">IFERROR(INDEX(Settings!$Q$12:$Q$23,INDEX(Sales!$J$5:$J$304,MATCH(2,Sales!$S$5:$S$304,0))),IFERROR(IF(INDEX(Sales!$D$5:$D$304,MATCH(2,Sales!$S$5:$S$304,0))&lt;&gt;"","Previous year",""),""))</f>
        <v/>
      </c>
      <c r="F54" s="34" t="str">
        <f aca="false">IFERROR(INDEX(Sales!$L$5:$L$304,MATCH(2,Sales!$S$5:$S$304,0)),"")</f>
        <v/>
      </c>
      <c r="G54" s="34" t="str">
        <f aca="false">IFERROR(INDEX(Sales!$O$5:$O$304,MATCH(2,Sales!$S$5:$S$304,0)),"")</f>
        <v/>
      </c>
    </row>
    <row r="55" customFormat="false" ht="15" hidden="false" customHeight="false" outlineLevel="0" collapsed="false">
      <c r="B55" s="64" t="str">
        <f aca="false">IFERROR(INDEX(Sales!$I$5:$I$304,MATCH(3,Sales!$S$5:$S$304,0)),"")</f>
        <v/>
      </c>
      <c r="C55" s="32" t="str">
        <f aca="false">IFERROR(INDEX(Sales!$C$5:$C$304,MATCH(3,Sales!$S$5:$S$304,0)),"")</f>
        <v/>
      </c>
      <c r="D55" s="32" t="str">
        <f aca="false">IFERROR(INDEX(Sales!$D$5:$D$304,MATCH(3,Sales!$S$5:$S$304,0)),"")</f>
        <v/>
      </c>
      <c r="E55" s="32" t="str">
        <f aca="false">IFERROR(INDEX(Settings!$Q$12:$Q$23,INDEX(Sales!$J$5:$J$304,MATCH(3,Sales!$S$5:$S$304,0))),IFERROR(IF(INDEX(Sales!$D$5:$D$304,MATCH(3,Sales!$S$5:$S$304,0))&lt;&gt;"","Previous year",""),""))</f>
        <v/>
      </c>
      <c r="F55" s="34" t="str">
        <f aca="false">IFERROR(INDEX(Sales!$L$5:$L$304,MATCH(3,Sales!$S$5:$S$304,0)),"")</f>
        <v/>
      </c>
      <c r="G55" s="34" t="str">
        <f aca="false">IFERROR(INDEX(Sales!$O$5:$O$304,MATCH(3,Sales!$S$5:$S$304,0)),"")</f>
        <v/>
      </c>
    </row>
    <row r="56" customFormat="false" ht="15" hidden="false" customHeight="false" outlineLevel="0" collapsed="false">
      <c r="B56" s="64" t="str">
        <f aca="false">IFERROR(INDEX(Sales!$I$5:$I$304,MATCH(4,Sales!$S$5:$S$304,0)),"")</f>
        <v/>
      </c>
      <c r="C56" s="32" t="str">
        <f aca="false">IFERROR(INDEX(Sales!$C$5:$C$304,MATCH(4,Sales!$S$5:$S$304,0)),"")</f>
        <v/>
      </c>
      <c r="D56" s="32" t="str">
        <f aca="false">IFERROR(INDEX(Sales!$D$5:$D$304,MATCH(4,Sales!$S$5:$S$304,0)),"")</f>
        <v/>
      </c>
      <c r="E56" s="32" t="str">
        <f aca="false">IFERROR(INDEX(Settings!$Q$12:$Q$23,INDEX(Sales!$J$5:$J$304,MATCH(4,Sales!$S$5:$S$304,0))),IFERROR(IF(INDEX(Sales!$D$5:$D$304,MATCH(4,Sales!$S$5:$S$304,0))&lt;&gt;"","Previous year",""),""))</f>
        <v/>
      </c>
      <c r="F56" s="34" t="str">
        <f aca="false">IFERROR(INDEX(Sales!$L$5:$L$304,MATCH(4,Sales!$S$5:$S$304,0)),"")</f>
        <v/>
      </c>
      <c r="G56" s="34" t="str">
        <f aca="false">IFERROR(INDEX(Sales!$O$5:$O$304,MATCH(4,Sales!$S$5:$S$304,0)),"")</f>
        <v/>
      </c>
    </row>
    <row r="57" customFormat="false" ht="15" hidden="false" customHeight="false" outlineLevel="0" collapsed="false">
      <c r="B57" s="64" t="str">
        <f aca="false">IFERROR(INDEX(Sales!$I$5:$I$304,MATCH(5,Sales!$S$5:$S$304,0)),"")</f>
        <v/>
      </c>
      <c r="C57" s="32" t="str">
        <f aca="false">IFERROR(INDEX(Sales!$C$5:$C$304,MATCH(5,Sales!$S$5:$S$304,0)),"")</f>
        <v/>
      </c>
      <c r="D57" s="32" t="str">
        <f aca="false">IFERROR(INDEX(Sales!$D$5:$D$304,MATCH(5,Sales!$S$5:$S$304,0)),"")</f>
        <v/>
      </c>
      <c r="E57" s="32" t="str">
        <f aca="false">IFERROR(INDEX(Settings!$Q$12:$Q$23,INDEX(Sales!$J$5:$J$304,MATCH(5,Sales!$S$5:$S$304,0))),IFERROR(IF(INDEX(Sales!$D$5:$D$304,MATCH(5,Sales!$S$5:$S$304,0))&lt;&gt;"","Previous year",""),""))</f>
        <v/>
      </c>
      <c r="F57" s="34" t="str">
        <f aca="false">IFERROR(INDEX(Sales!$L$5:$L$304,MATCH(5,Sales!$S$5:$S$304,0)),"")</f>
        <v/>
      </c>
      <c r="G57" s="34" t="str">
        <f aca="false">IFERROR(INDEX(Sales!$O$5:$O$304,MATCH(5,Sales!$S$5:$S$304,0)),"")</f>
        <v/>
      </c>
    </row>
    <row r="58" customFormat="false" ht="15" hidden="false" customHeight="false" outlineLevel="0" collapsed="false">
      <c r="B58" s="48" t="s">
        <v>188</v>
      </c>
      <c r="C58" s="47"/>
      <c r="D58" s="47"/>
      <c r="E58" s="47"/>
      <c r="F58" s="47"/>
      <c r="G58" s="63" t="n">
        <f aca="false">SUM(G53:G57)</f>
        <v>3600</v>
      </c>
    </row>
    <row r="59" customFormat="false" ht="15" hidden="false" customHeight="false" outlineLevel="0" collapsed="false">
      <c r="B59" s="20" t="s">
        <v>206</v>
      </c>
    </row>
    <row r="61" customFormat="false" ht="25.5" hidden="false" customHeight="true" outlineLevel="0" collapsed="false">
      <c r="B61" s="42" t="s">
        <v>207</v>
      </c>
      <c r="C61" s="42"/>
      <c r="D61" s="42"/>
      <c r="E61" s="42"/>
      <c r="F61" s="42"/>
      <c r="G61" s="42"/>
    </row>
    <row r="64" customFormat="false" ht="15" hidden="false" customHeight="false" outlineLevel="0" collapsed="false">
      <c r="B64" s="26" t="s">
        <v>208</v>
      </c>
      <c r="E64" s="26" t="s">
        <v>209</v>
      </c>
    </row>
  </sheetData>
  <mergeCells count="12">
    <mergeCell ref="B14:D14"/>
    <mergeCell ref="B15:D15"/>
    <mergeCell ref="B16:D16"/>
    <mergeCell ref="B17:D17"/>
    <mergeCell ref="B18:D18"/>
    <mergeCell ref="B19:D19"/>
    <mergeCell ref="B20:D20"/>
    <mergeCell ref="B21:D21"/>
    <mergeCell ref="B22:D22"/>
    <mergeCell ref="B23:D23"/>
    <mergeCell ref="B24:D24"/>
    <mergeCell ref="B61:G61"/>
  </mergeCells>
  <dataValidations count="2">
    <dataValidation allowBlank="false" errorStyle="stop" operator="between" showDropDown="false" showErrorMessage="false" showInputMessage="false" sqref="C6" type="list">
      <formula1>Settings!$B$12:$B$21</formula1>
      <formula2>0</formula2>
    </dataValidation>
    <dataValidation allowBlank="false" errorStyle="stop" operator="between" showDropDown="false" showErrorMessage="false" showInputMessage="false" sqref="C7" type="list">
      <formula1>Settings!$Q$12:$Q$23</formula1>
      <formula2>0</formula2>
    </dataValidation>
  </dataValidations>
  <printOptions headings="false" gridLines="false" gridLinesSet="true" horizontalCentered="false" verticalCentered="false"/>
  <pageMargins left="0.5" right="0.5" top="0.6"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2026-10-28T16:13:09Z</dcterms:created>
  <dc:creator>Prowi</dc:creator>
  <dc:description/>
  <dc:language>en-GB</dc:language>
  <cp:lastModifiedBy/>
  <dcterms:modified xsi:type="dcterms:W3CDTF">2026-10-28T16:13:09Z</dcterms:modified>
  <cp:revision>0</cp:revision>
  <dc:subject/>
  <dc:title>Commission template</dc:title>
</cp:coreProperties>
</file>

<file path=docProps/custom.xml><?xml version="1.0" encoding="utf-8"?>
<Properties xmlns="http://schemas.openxmlformats.org/officeDocument/2006/custom-properties" xmlns:vt="http://schemas.openxmlformats.org/officeDocument/2006/docPropsVTypes"/>
</file>