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jledning" sheetId="1" state="visible" r:id="rId3"/>
    <sheet name="Indstillinger" sheetId="2" state="visible" r:id="rId4"/>
    <sheet name="Territorier" sheetId="3" state="visible" r:id="rId5"/>
    <sheet name="Sælgere" sheetId="4" state="visible" r:id="rId6"/>
    <sheet name="Beregning" sheetId="5" state="visible" r:id="rId7"/>
    <sheet name="Kvoteplan" sheetId="6" state="visible" r:id="rId8"/>
    <sheet name="Overblik" sheetId="7" state="visible" r:id="rId9"/>
  </sheets>
  <definedNames>
    <definedName function="false" hidden="false" localSheetId="4" name="_xlnm.Print_Area" vbProcedure="false">Beregning!$A$1:$Z$33</definedName>
    <definedName function="false" hidden="false" localSheetId="1" name="_xlnm.Print_Area" vbProcedure="false">Indstillinger!$A$1:$E$39</definedName>
    <definedName function="false" hidden="false" localSheetId="5" name="_xlnm.Print_Area" vbProcedure="false">Kvoteplan!$A$1:$P$47</definedName>
    <definedName function="false" hidden="false" localSheetId="6" name="_xlnm.Print_Area" vbProcedure="false">Overblik!$A$1:$F$44</definedName>
    <definedName function="false" hidden="false" localSheetId="3" name="_xlnm.Print_Area" vbProcedure="false">Sælgere!$A$1:$J$34</definedName>
    <definedName function="false" hidden="false" localSheetId="2" name="_xlnm.Print_Area" vbProcedure="false">Territorier!$A$1:$I$18</definedName>
    <definedName function="false" hidden="false" localSheetId="0" name="_xlnm.Print_Area" vbProcedure="false">Vejledning!$A$1:$D$35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<sst xmlns="http://schemas.openxmlformats.org/spreadsheetml/2006/main" count="245" uniqueCount="180">
  <si>
    <t xml:space="preserve">Gratis skabelon fra Prowi</t>
  </si>
  <si>
    <t xml:space="preserve">Kvoteplan</t>
  </si>
  <si>
    <t xml:space="preserve">Fra omsætningsmål til kvote pr. sælger og måned</t>
  </si>
  <si>
    <t xml:space="preserve">Skabelonen fordeler virksomhedens omsætningsmål på sælgere og måneder. Den lægger en buffer oveni målet (over-assignment), tager højde for sæsonudsving, nye sælgere i opstart, territorier med forskelligt potentiale, deltid og sælgere med en fast kvote. Der er eksempeldata for 10 sælgere i fire territorier i 2026, så du kan se, hvordan den regner, før du skriver jeres egne tal ind.</t>
  </si>
  <si>
    <t xml:space="preserve">Trin for trin</t>
  </si>
  <si>
    <t xml:space="preserve">1. Indstillinger</t>
  </si>
  <si>
    <t xml:space="preserve">Skriv år, omsætningsmål, buffer og planlagt målopfyldelse. Juster opstartskurven for nye sælgere og sæsonvægtene pr. måned.</t>
  </si>
  <si>
    <t xml:space="preserve">2. Territorier</t>
  </si>
  <si>
    <t xml:space="preserve">Skriv territorierne og et potentialeindeks for hvert. 100 er et normalt territorie, 120 betyder, at en sælger der kan sælge 20 % mere.</t>
  </si>
  <si>
    <t xml:space="preserve">3. Sælgere</t>
  </si>
  <si>
    <t xml:space="preserve">En række pr. sælger med territorie, startmåned, opstartstrin, eventuel slutmåned, kapacitet (deltid) og eventuel fast årskvote.</t>
  </si>
  <si>
    <t xml:space="preserve">4. Kvoteplan</t>
  </si>
  <si>
    <t xml:space="preserve">Kvoten pr. sælger pr. måned, totaler pr. måned og pr. territorie. Her skal du ikke skrive noget.</t>
  </si>
  <si>
    <t xml:space="preserve">5. Overblik</t>
  </si>
  <si>
    <t xml:space="preserve">Nøgletal, kontrol af at hele kvoten er fordelt, kvote pr. territorie og advarsler, hvis noget ikke stemmer.</t>
  </si>
  <si>
    <t xml:space="preserve">Farver</t>
  </si>
  <si>
    <t xml:space="preserve">Lavendel felt, lilla tekst</t>
  </si>
  <si>
    <t xml:space="preserve">Her skriver du. Alt andet er formler.</t>
  </si>
  <si>
    <t xml:space="preserve">Gråt felt</t>
  </si>
  <si>
    <t xml:space="preserve">Beregnet automatisk. Ret ikke i formlerne, medmindre du ved, hvad du gør.</t>
  </si>
  <si>
    <t xml:space="preserve">Lyseblåt felt</t>
  </si>
  <si>
    <t xml:space="preserve">Resultater og totaler.</t>
  </si>
  <si>
    <t xml:space="preserve">Sådan regner arket</t>
  </si>
  <si>
    <t xml:space="preserve">Kvote, der skal fordeles</t>
  </si>
  <si>
    <t xml:space="preserve">Omsætningsmål × (1 + buffer). Med 10 % buffer skal teamet i gennemsnit nå 1 ÷ 1,1 = 90,9 % af kvoten for at ramme målet.</t>
  </si>
  <si>
    <t xml:space="preserve">Vægt pr. sælger og måned</t>
  </si>
  <si>
    <t xml:space="preserve">Månedens sæsonandel × aktiv (mellem start- og slutmåned) × produktivitet i opstart × kapacitet × territoriets indeks ÷ 100.</t>
  </si>
  <si>
    <t xml:space="preserve">Opstart</t>
  </si>
  <si>
    <t xml:space="preserve">Opstartstrin er nummeret på opstartsmåneden i sælgerens startmåned: 1 for en helt ny sælger. Trinnet stiger med 1 pr. måned, og fra trin 7 er produktiviteten 100 %. Tomt felt = fuldt oplært.</t>
  </si>
  <si>
    <t xml:space="preserve">Fast kvote</t>
  </si>
  <si>
    <t xml:space="preserve">En sælger med fast årskvote beholder den, fordelt på sine egne månedsvægte. Resten af kvoten deles mellem de øvrige sælgere efter vægt.</t>
  </si>
  <si>
    <t xml:space="preserve">Fuld årskvote</t>
  </si>
  <si>
    <t xml:space="preserve">Kvote til de øvrige sælgere ÷ summen af deres vægte. Det er årskvoten for en fuldt produktiv sælger på fuld tid i et territorie med indeks 100, der er ansat hele året.</t>
  </si>
  <si>
    <t xml:space="preserve">Godt at vide</t>
  </si>
  <si>
    <t xml:space="preserve">•</t>
  </si>
  <si>
    <t xml:space="preserve">Alle navne og tal er eksempler. Brug jeres egne tal fra CRM og regnskab, fx salg pr. territorie de seneste 12 måneder som grundlag for indekset.</t>
  </si>
  <si>
    <t xml:space="preserve">Kvoterne er ikke afrundet, så summen altid svarer til den kvote, der skal fordeles. Afrund gerne, når I skriver kvoterne i provisionsplanen.</t>
  </si>
  <si>
    <t xml:space="preserve">Sælgerafgang er ikke med, fordi I ikke ved, hvem der stopper. Bufferen skal dække den.</t>
  </si>
  <si>
    <t xml:space="preserve">Ingen makroer. Alle beregninger er almindelige formler, som virker i Excel, Google Sheets, Numbers og LibreOffice.</t>
  </si>
  <si>
    <t xml:space="preserve">prowi.io · Gratis skabelon fra Prowi</t>
  </si>
  <si>
    <t xml:space="preserve">Indstillinger</t>
  </si>
  <si>
    <t xml:space="preserve">Skriv kun i de lavendel felter.</t>
  </si>
  <si>
    <t xml:space="preserve">Mål</t>
  </si>
  <si>
    <t xml:space="preserve">Virksomhed</t>
  </si>
  <si>
    <t xml:space="preserve">Eksempel ApS</t>
  </si>
  <si>
    <t xml:space="preserve">Vises i Overblik.</t>
  </si>
  <si>
    <t xml:space="preserve">År</t>
  </si>
  <si>
    <t xml:space="preserve">Året, kvoteplanen dækker.</t>
  </si>
  <si>
    <t xml:space="preserve">Omsætningsmål for året</t>
  </si>
  <si>
    <t xml:space="preserve">Det, virksomheden skal nå. Fx nysalg eller samlet omsætning fra salgsteamet.</t>
  </si>
  <si>
    <t xml:space="preserve">Buffer (over-assignment)</t>
  </si>
  <si>
    <t xml:space="preserve">Hvor meget mere kvote end mål der fordeles. Dækker sælgere, der ikke når målet, afgang og forsinkede ansættelser.</t>
  </si>
  <si>
    <t xml:space="preserve">Planlagt gennemsnitlig målopfyldelse</t>
  </si>
  <si>
    <t xml:space="preserve">Den målopfyldelse, I forventer for teamet. Bruges til at tjekke, om bufferen er stor nok.</t>
  </si>
  <si>
    <t xml:space="preserve">Omsætningsmål × (1 + buffer).</t>
  </si>
  <si>
    <t xml:space="preserve">Målopfyldelse, der skal til for at nå målet</t>
  </si>
  <si>
    <t xml:space="preserve">1 ÷ (1 + buffer). Skal være lavere end den planlagte målopfyldelse.</t>
  </si>
  <si>
    <t xml:space="preserve">Opstartskurve for nye sælgere</t>
  </si>
  <si>
    <t xml:space="preserve">Andel af fuld kvote i hver opstartsmåned. Fra måned 7 er det 100 %.</t>
  </si>
  <si>
    <t xml:space="preserve">Opstartsmåned</t>
  </si>
  <si>
    <t xml:space="preserve">Produktivitet</t>
  </si>
  <si>
    <t xml:space="preserve">Måned 1</t>
  </si>
  <si>
    <t xml:space="preserve">Måned 2</t>
  </si>
  <si>
    <t xml:space="preserve">Måned 3</t>
  </si>
  <si>
    <t xml:space="preserve">Måned 4</t>
  </si>
  <si>
    <t xml:space="preserve">Måned 5</t>
  </si>
  <si>
    <t xml:space="preserve">Måned 6</t>
  </si>
  <si>
    <t xml:space="preserve">Sæsonfordeling</t>
  </si>
  <si>
    <t xml:space="preserve">Vægt pr. måned. Vægtene behøver ikke summe til 100; arket regner andelene ud.</t>
  </si>
  <si>
    <t xml:space="preserve">Måned</t>
  </si>
  <si>
    <t xml:space="preserve">Vægt</t>
  </si>
  <si>
    <t xml:space="preserve">Andel</t>
  </si>
  <si>
    <t xml:space="preserve">Januar</t>
  </si>
  <si>
    <t xml:space="preserve">Februar</t>
  </si>
  <si>
    <t xml:space="preserve">Marts</t>
  </si>
  <si>
    <t xml:space="preserve">April</t>
  </si>
  <si>
    <t xml:space="preserve">Maj</t>
  </si>
  <si>
    <t xml:space="preserve">Juni</t>
  </si>
  <si>
    <t xml:space="preserve">Juli</t>
  </si>
  <si>
    <t xml:space="preserve">Eksempel: lavere i juli (ferie) og højere i årets sidste måneder.</t>
  </si>
  <si>
    <t xml:space="preserve">August</t>
  </si>
  <si>
    <t xml:space="preserve">September</t>
  </si>
  <si>
    <t xml:space="preserve">Oktober</t>
  </si>
  <si>
    <t xml:space="preserve">November</t>
  </si>
  <si>
    <t xml:space="preserve">December</t>
  </si>
  <si>
    <t xml:space="preserve">I alt</t>
  </si>
  <si>
    <t xml:space="preserve">Territorier</t>
  </si>
  <si>
    <t xml:space="preserve">Potentialeindeks: hvor meget en fuldt produktiv sælger kan sælge i territoriet i forhold til et normalt territorie (100).</t>
  </si>
  <si>
    <t xml:space="preserve">Territorie</t>
  </si>
  <si>
    <t xml:space="preserve">Potentiale-indeks</t>
  </si>
  <si>
    <t xml:space="preserve">Grundlag for indekset (valgfrit)</t>
  </si>
  <si>
    <t xml:space="preserve">Sælgere</t>
  </si>
  <si>
    <t xml:space="preserve">Kapacitet (FTE)</t>
  </si>
  <si>
    <t xml:space="preserve">Årskvote</t>
  </si>
  <si>
    <t xml:space="preserve">Andel af kvote</t>
  </si>
  <si>
    <t xml:space="preserve">Kvote pr. FTE</t>
  </si>
  <si>
    <t xml:space="preserve">Hovedstaden</t>
  </si>
  <si>
    <t xml:space="preserve">Salg pr. sælger 2025 ift. gennemsnit</t>
  </si>
  <si>
    <t xml:space="preserve">Jylland</t>
  </si>
  <si>
    <t xml:space="preserve">Gennemsnit</t>
  </si>
  <si>
    <t xml:space="preserve">Fyn og Sjælland</t>
  </si>
  <si>
    <t xml:space="preserve">Key accounts</t>
  </si>
  <si>
    <t xml:space="preserve">Faste kvoter</t>
  </si>
  <si>
    <t xml:space="preserve">Kapacitet (FTE) tæller kun sælgere uden fast kvote og er ganget med deres aktive måneder og opstart. Kvote pr. FTE er derfor kun meningsfuld for territorier uden faste kvoter.</t>
  </si>
  <si>
    <t xml:space="preserve">En række pr. sælger. Kun navn og territorie er påkrævet. Tomme felter: startmåned 1, fuldt oplært, slutmåned 12, kapacitet 100 % og beregnet kvote.</t>
  </si>
  <si>
    <t xml:space="preserve">Sælger</t>
  </si>
  <si>
    <t xml:space="preserve">Startmåned (1-12)</t>
  </si>
  <si>
    <t xml:space="preserve">Opstartstrin i startmåned (tom = oplært)</t>
  </si>
  <si>
    <t xml:space="preserve">Slutmåned (valgfri)</t>
  </si>
  <si>
    <t xml:space="preserve">Fast årskvote (valgfri)</t>
  </si>
  <si>
    <t xml:space="preserve">Gns. pr. aktiv måned</t>
  </si>
  <si>
    <t xml:space="preserve">Anna Holm</t>
  </si>
  <si>
    <t xml:space="preserve">Bo Jensen</t>
  </si>
  <si>
    <t xml:space="preserve">Camilla Nørgaard</t>
  </si>
  <si>
    <t xml:space="preserve">Dennis Lund</t>
  </si>
  <si>
    <t xml:space="preserve">Emma Krogh</t>
  </si>
  <si>
    <t xml:space="preserve">Frederik Sand</t>
  </si>
  <si>
    <t xml:space="preserve">Gitte Mølgaard</t>
  </si>
  <si>
    <t xml:space="preserve">Henrik Bak</t>
  </si>
  <si>
    <t xml:space="preserve">Ny sælger 1</t>
  </si>
  <si>
    <t xml:space="preserve">Ny sælger 2</t>
  </si>
  <si>
    <t xml:space="preserve">Opstartstrin: 1 = sælgerens første måned. En sælger, der startede i november sidste år, har trin 3 i januar.</t>
  </si>
  <si>
    <t xml:space="preserve">Kapacitet: 50 % for en sælger på halv tid eller en salgschef, der kun sælger halvdelen af tiden.</t>
  </si>
  <si>
    <t xml:space="preserve">Beregning: vægte pr. sælger og måned</t>
  </si>
  <si>
    <t xml:space="preserve">Kvote til sælgere uden fast kvote</t>
  </si>
  <si>
    <t xml:space="preserve">Kvote, der skal fordeles, minus faste kvoter.</t>
  </si>
  <si>
    <t xml:space="preserve">Fuld årskvote (indeks 100)</t>
  </si>
  <si>
    <t xml:space="preserve">Kvote pr. vægtenhed = årskvote for en fuldt produktiv sælger på fuld tid i et territorie med indeks 100.</t>
  </si>
  <si>
    <t xml:space="preserve">Sæsonandel</t>
  </si>
  <si>
    <t xml:space="preserve">Indeks</t>
  </si>
  <si>
    <t xml:space="preserve">Start</t>
  </si>
  <si>
    <t xml:space="preserve">Slut</t>
  </si>
  <si>
    <t xml:space="preserve">Kapacitet</t>
  </si>
  <si>
    <t xml:space="preserve">Opstartstrin</t>
  </si>
  <si>
    <t xml:space="preserve">Territorie ukendt</t>
  </si>
  <si>
    <t xml:space="preserve">Fast kvote?</t>
  </si>
  <si>
    <t xml:space="preserve">Jan</t>
  </si>
  <si>
    <t xml:space="preserve">Feb</t>
  </si>
  <si>
    <t xml:space="preserve">Mar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</si>
  <si>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</si>
  <si>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</si>
  <si>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</si>
  <si>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</si>
  <si>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</si>
  <si>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</si>
  <si>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</si>
  <si>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</si>
  <si>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Sum vægte</t>
  </si>
  <si>
    <t xml:space="preserve">Vægte til fordeling</t>
  </si>
  <si>
    <t xml:space="preserve">FTE-år</t>
  </si>
  <si>
    <t xml:space="preserve">Vægt = sæsonandel × aktiv × kapacitet × indeks ÷ 100 × produktivitet i opstart. FTE-år = kapacitet × sæsonandel i de aktive måneder (uden opstart og indeks).</t>
  </si>
  <si>
    <t xml:space="preserve">Kvoteplan pr. sælger og måned</t>
  </si>
  <si>
    <t xml:space="preserve">Alt på dette ark er formler. Ret sælgere i Sælgere og forudsætninger i Indstillinger og Territorier.</t>
  </si>
  <si>
    <t xml:space="preserve">Kvote i alt</t>
  </si>
  <si>
    <t xml:space="preserve">Omsætningsmål fordelt efter sæson</t>
  </si>
  <si>
    <t xml:space="preserve">Kvote i % af mål</t>
  </si>
  <si>
    <t xml:space="preserve">Kvote i alt, akkumuleret</t>
  </si>
  <si>
    <t xml:space="preserve">Kvote pr. territorie og måned</t>
  </si>
  <si>
    <t xml:space="preserve">prowi.io</t>
  </si>
  <si>
    <t xml:space="preserve">Nøgletal</t>
  </si>
  <si>
    <t xml:space="preserve">Omsætningsmål</t>
  </si>
  <si>
    <t xml:space="preserve">Kvote fordelt i kvoteplanen</t>
  </si>
  <si>
    <t xml:space="preserve">Forskel (skal være 0)</t>
  </si>
  <si>
    <t xml:space="preserve">Planlagt målopfyldelse</t>
  </si>
  <si>
    <t xml:space="preserve">Forventet omsætning ved planlagt målopfyldelse</t>
  </si>
  <si>
    <t xml:space="preserve">Forskel til omsætningsmål</t>
  </si>
  <si>
    <t xml:space="preserve">Antal sælgere</t>
  </si>
  <si>
    <t xml:space="preserve">Heraf i opstart i løbet af året</t>
  </si>
  <si>
    <t xml:space="preserve">Sælgere med fast kvote</t>
  </si>
  <si>
    <t xml:space="preserve">Kapacitet i året (FTE-år, uden faste kvoter)</t>
  </si>
  <si>
    <t xml:space="preserve">Fuld årskvote (fuldt produktiv sælger, indeks 100)</t>
  </si>
  <si>
    <t xml:space="preserve">Kontrol</t>
  </si>
  <si>
    <t xml:space="preserve">Sælgere uden gyldigt territorie</t>
  </si>
  <si>
    <t xml:space="preserve">Faste kvoter større end kvoten, der skal fordeles</t>
  </si>
  <si>
    <t xml:space="preserve">Sælgere uden fast kvote, men ingen vægt (fx slutmåned før startmåned)</t>
  </si>
  <si>
    <t xml:space="preserve">Sælgere med fast kvote, men ingen aktive måneder</t>
  </si>
  <si>
    <t xml:space="preserve">Ingen sælgere at fordele kvoten på</t>
  </si>
  <si>
    <t xml:space="preserve">Planlagt målopfyldelse er lavere end den, der skal til</t>
  </si>
  <si>
    <t xml:space="preserve">Alle tal i kontrollen skal være 0. Et tal over 0 viser, hvor der er noget at rette.</t>
  </si>
  <si>
    <t xml:space="preserve">Kvote pr. territorie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</si>
</sst>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&quot; kr.&quot;;\-#,##0&quot; kr.&quot;;\–"/>
    <numFmt numFmtId="167" formatCode="0%"/>
    <numFmt numFmtId="168" formatCode="0.0%;\-0.0%;\–"/>
    <numFmt numFmtId="169" formatCode="0.00"/>
    <numFmt numFmtId="170" formatCode="0.000"/>
    <numFmt numFmtId="171" formatCode="\+#,##0&quot; kr.&quot;;\-#,##0&quot; kr.&quot;;&quot;0 kr.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A1A0BD"/>
      <name val="Arial"/>
      <family val="0"/>
      <charset val="1"/>
    </font>
    <font>
      <sz val="24"/>
      <color rgb="FF110663"/>
      <name val="Arial"/>
      <family val="0"/>
      <charset val="1"/>
    </font>
    <font>
      <sz val="12"/>
      <color rgb="FF4C39CA"/>
      <name val="Arial"/>
      <family val="0"/>
      <charset val="1"/>
    </font>
    <font>
      <sz val="10"/>
      <color rgb="FF110663"/>
      <name val="Arial"/>
      <family val="0"/>
      <charset val="1"/>
    </font>
    <font>
      <b val="true"/>
      <sz val="12"/>
      <color rgb="FF110663"/>
      <name val="Arial"/>
      <family val="0"/>
      <charset val="1"/>
    </font>
    <font>
      <b val="true"/>
      <sz val="10"/>
      <color rgb="FF110663"/>
      <name val="Arial"/>
      <family val="0"/>
      <charset val="1"/>
    </font>
    <font>
      <sz val="10"/>
      <color rgb="FF4C39CA"/>
      <name val="Arial"/>
      <family val="0"/>
      <charset val="1"/>
    </font>
    <font>
      <sz val="20"/>
      <color rgb="FF110663"/>
      <name val="Arial"/>
      <family val="0"/>
      <charset val="1"/>
    </font>
    <font>
      <i val="true"/>
      <sz val="9"/>
      <color rgb="FF6B689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4C39C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F1FE"/>
        <bgColor rgb="FFF6F4F3"/>
      </patternFill>
    </fill>
    <fill>
      <patternFill patternType="solid">
        <fgColor rgb="FFF6F4F3"/>
        <bgColor rgb="FFF4F1FE"/>
      </patternFill>
    </fill>
    <fill>
      <patternFill patternType="solid">
        <fgColor rgb="FFE8F8FD"/>
        <bgColor rgb="FFF4F1FE"/>
      </patternFill>
    </fill>
    <fill>
      <patternFill patternType="solid">
        <fgColor rgb="FF110663"/>
        <bgColor rgb="FF000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6D3F7"/>
      </bottom>
      <diagonal/>
    </border>
    <border diagonalUp="false" diagonalDown="false">
      <left style="thin">
        <color rgb="FF4C39CA"/>
      </left>
      <right style="thin">
        <color rgb="FF4C39CA"/>
      </right>
      <top style="thin">
        <color rgb="FF4C39CA"/>
      </top>
      <bottom style="thin">
        <color rgb="FF4C39CA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DCD8EC"/>
      </top>
      <bottom style="thin">
        <color rgb="FFDCD8EC"/>
      </bottom>
      <diagonal/>
    </border>
    <border diagonalUp="false" diagonalDown="false">
      <left/>
      <right/>
      <top/>
      <bottom style="thin">
        <color rgb="FFDCD8EC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110663"/>
      </top>
      <bottom style="thin">
        <color rgb="FF1106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C00000"/>
      </font>
      <fill>
        <patternFill>
          <bgColor rgb="FFFDE8E8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110663"/>
      <rgbColor rgb="FF808000"/>
      <rgbColor rgb="FF800080"/>
      <rgbColor rgb="FF008080"/>
      <rgbColor rgb="FFC0C0C0"/>
      <rgbColor rgb="FF808080"/>
      <rgbColor rgb="FF9999FF"/>
      <rgbColor rgb="FF993366"/>
      <rgbColor rgb="FFF6F4F3"/>
      <rgbColor rgb="FFE8F8FD"/>
      <rgbColor rgb="FF660066"/>
      <rgbColor rgb="FFFF8080"/>
      <rgbColor rgb="FF0066CC"/>
      <rgbColor rgb="FFDC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FE"/>
      <rgbColor rgb="FFCCFFCC"/>
      <rgbColor rgb="FFFDE8E8"/>
      <rgbColor rgb="FF99CCFF"/>
      <rgbColor rgb="FFFF99CC"/>
      <rgbColor rgb="FFCC99FF"/>
      <rgbColor rgb="FFFFCC99"/>
      <rgbColor rgb="FF3366FF"/>
      <rgbColor rgb="FF46D3F7"/>
      <rgbColor rgb="FF99CC00"/>
      <rgbColor rgb="FFFFCC00"/>
      <rgbColor rgb="FFFF9900"/>
      <rgbColor rgb="FFFF6600"/>
      <rgbColor rgb="FF6B6893"/>
      <rgbColor rgb="FFA1A0BD"/>
      <rgbColor rgb="FF003366"/>
      <rgbColor rgb="FF339966"/>
      <rgbColor rgb="FF003300"/>
      <rgbColor rgb="FF333300"/>
      <rgbColor rgb="FF993300"/>
      <rgbColor rgb="FF993366"/>
      <rgbColor rgb="FF4C39C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1238040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2380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1171080</xdr:colOff>
      <xdr:row>0</xdr:row>
      <xdr:rowOff>361440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1710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  <col collapsed="false" customWidth="true" hidden="false" outlineLevel="0" max="4" min="4" style="0" width="3"/>
  </cols>
  <sheetData>
    <row r="1" customFormat="false" ht="12" hidden="false" customHeight="true" outlineLevel="0" collapsed="false"/>
    <row r="2" customFormat="false" ht="39.75" hidden="false" customHeight="true" outlineLevel="0" collapsed="false">
      <c r="C2" s="1" t="s">
        <v>0</v>
      </c>
    </row>
    <row r="3" customFormat="false" ht="12" hidden="false" customHeight="true" outlineLevel="0" collapsed="false"/>
    <row r="4" customFormat="false" ht="43.5" hidden="false" customHeight="true" outlineLevel="0" collapsed="false">
      <c r="B4" s="2" t="s">
        <v>1</v>
      </c>
      <c r="C4" s="3"/>
    </row>
    <row r="5" customFormat="false" ht="25.5" hidden="false" customHeight="true" outlineLevel="0" collapsed="false">
      <c r="B5" s="4" t="s">
        <v>2</v>
      </c>
      <c r="C5" s="5"/>
    </row>
    <row r="7" customFormat="false" ht="75" hidden="false" customHeight="true" outlineLevel="0" collapsed="false">
      <c r="B7" s="6" t="s">
        <v>3</v>
      </c>
      <c r="C7" s="6"/>
    </row>
    <row r="9" customFormat="false" ht="15" hidden="false" customHeight="false" outlineLevel="0" collapsed="false">
      <c r="B9" s="7" t="s">
        <v>4</v>
      </c>
    </row>
    <row r="10" customFormat="false" ht="31.5" hidden="false" customHeight="true" outlineLevel="0" collapsed="false">
      <c r="B10" s="8" t="s">
        <v>5</v>
      </c>
      <c r="C10" s="9" t="s">
        <v>6</v>
      </c>
    </row>
    <row r="11" customFormat="false" ht="31.5" hidden="false" customHeight="true" outlineLevel="0" collapsed="false">
      <c r="B11" s="8" t="s">
        <v>7</v>
      </c>
      <c r="C11" s="9" t="s">
        <v>8</v>
      </c>
    </row>
    <row r="12" customFormat="false" ht="31.5" hidden="false" customHeight="true" outlineLevel="0" collapsed="false">
      <c r="B12" s="8" t="s">
        <v>9</v>
      </c>
      <c r="C12" s="9" t="s">
        <v>10</v>
      </c>
    </row>
    <row r="13" customFormat="false" ht="31.5" hidden="false" customHeight="true" outlineLevel="0" collapsed="false">
      <c r="B13" s="8" t="s">
        <v>11</v>
      </c>
      <c r="C13" s="9" t="s">
        <v>12</v>
      </c>
    </row>
    <row r="14" customFormat="false" ht="31.5" hidden="false" customHeight="true" outlineLevel="0" collapsed="false">
      <c r="B14" s="8" t="s">
        <v>13</v>
      </c>
      <c r="C14" s="9" t="s">
        <v>14</v>
      </c>
    </row>
    <row r="16" customFormat="false" ht="15" hidden="false" customHeight="false" outlineLevel="0" collapsed="false">
      <c r="B16" s="7" t="s">
        <v>15</v>
      </c>
    </row>
    <row r="17" customFormat="false" ht="15" hidden="false" customHeight="false" outlineLevel="0" collapsed="false">
      <c r="B17" s="10" t="s">
        <v>16</v>
      </c>
      <c r="C17" s="11" t="s">
        <v>17</v>
      </c>
    </row>
    <row r="18" customFormat="false" ht="15" hidden="false" customHeight="false" outlineLevel="0" collapsed="false">
      <c r="B18" s="12" t="s">
        <v>18</v>
      </c>
      <c r="C18" s="11" t="s">
        <v>19</v>
      </c>
    </row>
    <row r="19" customFormat="false" ht="15" hidden="false" customHeight="false" outlineLevel="0" collapsed="false">
      <c r="B19" s="13" t="s">
        <v>20</v>
      </c>
      <c r="C19" s="11" t="s">
        <v>21</v>
      </c>
    </row>
    <row r="21" customFormat="false" ht="15" hidden="false" customHeight="false" outlineLevel="0" collapsed="false">
      <c r="B21" s="7" t="s">
        <v>22</v>
      </c>
    </row>
    <row r="22" customFormat="false" ht="31.5" hidden="false" customHeight="true" outlineLevel="0" collapsed="false">
      <c r="B22" s="8" t="s">
        <v>23</v>
      </c>
      <c r="C22" s="9" t="s">
        <v>24</v>
      </c>
    </row>
    <row r="23" customFormat="false" ht="31.5" hidden="false" customHeight="true" outlineLevel="0" collapsed="false">
      <c r="B23" s="8" t="s">
        <v>25</v>
      </c>
      <c r="C23" s="9" t="s">
        <v>26</v>
      </c>
    </row>
    <row r="24" customFormat="false" ht="46.5" hidden="false" customHeight="true" outlineLevel="0" collapsed="false">
      <c r="B24" s="8" t="s">
        <v>27</v>
      </c>
      <c r="C24" s="9" t="s">
        <v>28</v>
      </c>
    </row>
    <row r="25" customFormat="false" ht="31.5" hidden="false" customHeight="true" outlineLevel="0" collapsed="false">
      <c r="B25" s="8" t="s">
        <v>29</v>
      </c>
      <c r="C25" s="9" t="s">
        <v>30</v>
      </c>
    </row>
    <row r="26" customFormat="false" ht="31.5" hidden="false" customHeight="true" outlineLevel="0" collapsed="false">
      <c r="B26" s="8" t="s">
        <v>31</v>
      </c>
      <c r="C26" s="9" t="s">
        <v>32</v>
      </c>
    </row>
    <row r="28" customFormat="false" ht="15" hidden="false" customHeight="false" outlineLevel="0" collapsed="false">
      <c r="B28" s="7" t="s">
        <v>33</v>
      </c>
    </row>
    <row r="29" customFormat="false" ht="31.5" hidden="false" customHeight="true" outlineLevel="0" collapsed="false">
      <c r="B29" s="14" t="s">
        <v>34</v>
      </c>
      <c r="C29" s="9" t="s">
        <v>35</v>
      </c>
    </row>
    <row r="30" customFormat="false" ht="31.5" hidden="false" customHeight="true" outlineLevel="0" collapsed="false">
      <c r="B30" s="14" t="s">
        <v>34</v>
      </c>
      <c r="C30" s="9" t="s">
        <v>36</v>
      </c>
    </row>
    <row r="31" customFormat="false" ht="16.5" hidden="false" customHeight="true" outlineLevel="0" collapsed="false">
      <c r="B31" s="14" t="s">
        <v>34</v>
      </c>
      <c r="C31" s="9" t="s">
        <v>37</v>
      </c>
    </row>
    <row r="32" customFormat="false" ht="31.5" hidden="false" customHeight="true" outlineLevel="0" collapsed="false">
      <c r="B32" s="14" t="s">
        <v>34</v>
      </c>
      <c r="C32" s="9" t="s">
        <v>38</v>
      </c>
    </row>
    <row r="34" customFormat="false" ht="15" hidden="false" customHeight="false" outlineLevel="0" collapsed="false">
      <c r="B34" s="15"/>
      <c r="C34" s="15"/>
    </row>
    <row r="35" customFormat="false" ht="15" hidden="false" customHeight="false" outlineLevel="0" collapsed="false">
      <c r="B35" s="16" t="s">
        <v>39</v>
      </c>
    </row>
  </sheetData>
  <mergeCells count="1">
    <mergeCell ref="B7:C7"/>
  </mergeCells>
  <hyperlinks>
    <hyperlink ref="B35" r:id="rId1" display="prowi.io · Gratis skabelon fra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64"/>
  </cols>
  <sheetData>
    <row r="2" customFormat="false" ht="30" hidden="false" customHeight="true" outlineLevel="0" collapsed="false">
      <c r="B2" s="17" t="s">
        <v>40</v>
      </c>
    </row>
    <row r="3" customFormat="false" ht="15" hidden="false" customHeight="false" outlineLevel="0" collapsed="false">
      <c r="B3" s="18" t="s">
        <v>41</v>
      </c>
    </row>
    <row r="5" customFormat="false" ht="15" hidden="false" customHeight="false" outlineLevel="0" collapsed="false">
      <c r="B5" s="7" t="s">
        <v>42</v>
      </c>
    </row>
    <row r="6" customFormat="false" ht="18" hidden="false" customHeight="true" outlineLevel="0" collapsed="false">
      <c r="B6" s="19" t="s">
        <v>43</v>
      </c>
      <c r="C6" s="10" t="s">
        <v>44</v>
      </c>
      <c r="E6" s="20" t="s">
        <v>45</v>
      </c>
    </row>
    <row r="7" customFormat="false" ht="18" hidden="false" customHeight="true" outlineLevel="0" collapsed="false">
      <c r="B7" s="19" t="s">
        <v>46</v>
      </c>
      <c r="C7" s="21" t="n">
        <v>2026</v>
      </c>
      <c r="E7" s="20" t="s">
        <v>47</v>
      </c>
    </row>
    <row r="8" customFormat="false" ht="18" hidden="false" customHeight="true" outlineLevel="0" collapsed="false">
      <c r="B8" s="19" t="s">
        <v>48</v>
      </c>
      <c r="C8" s="22" t="n">
        <v>30000000</v>
      </c>
      <c r="E8" s="20" t="s">
        <v>49</v>
      </c>
    </row>
    <row r="9" customFormat="false" ht="18" hidden="false" customHeight="true" outlineLevel="0" collapsed="false">
      <c r="B9" s="19" t="s">
        <v>50</v>
      </c>
      <c r="C9" s="23" t="n">
        <v>0.1</v>
      </c>
      <c r="E9" s="20" t="s">
        <v>51</v>
      </c>
    </row>
    <row r="10" customFormat="false" ht="18" hidden="false" customHeight="true" outlineLevel="0" collapsed="false">
      <c r="B10" s="19" t="s">
        <v>52</v>
      </c>
      <c r="C10" s="23" t="n">
        <v>0.92</v>
      </c>
      <c r="E10" s="20" t="s">
        <v>53</v>
      </c>
    </row>
    <row r="13" customFormat="false" ht="15" hidden="false" customHeight="false" outlineLevel="0" collapsed="false">
      <c r="B13" s="19" t="s">
        <v>23</v>
      </c>
      <c r="C13" s="24" t="n">
        <f aca="false">C8*(1+C9)</f>
        <v>33000000</v>
      </c>
      <c r="E13" s="20" t="s">
        <v>54</v>
      </c>
    </row>
    <row r="14" customFormat="false" ht="15" hidden="false" customHeight="false" outlineLevel="0" collapsed="false">
      <c r="B14" s="19" t="s">
        <v>55</v>
      </c>
      <c r="C14" s="25" t="n">
        <f aca="false">IFERROR(1/(1+C9),0)</f>
        <v>0.909090909090909</v>
      </c>
      <c r="E14" s="20" t="s">
        <v>56</v>
      </c>
    </row>
    <row r="16" customFormat="false" ht="15" hidden="false" customHeight="false" outlineLevel="0" collapsed="false">
      <c r="B16" s="7" t="s">
        <v>57</v>
      </c>
      <c r="E16" s="20" t="s">
        <v>58</v>
      </c>
    </row>
    <row r="17" customFormat="false" ht="24" hidden="false" customHeight="true" outlineLevel="0" collapsed="false">
      <c r="B17" s="26" t="s">
        <v>59</v>
      </c>
      <c r="C17" s="26" t="s">
        <v>60</v>
      </c>
    </row>
    <row r="18" customFormat="false" ht="15" hidden="false" customHeight="false" outlineLevel="0" collapsed="false">
      <c r="B18" s="27" t="s">
        <v>61</v>
      </c>
      <c r="C18" s="23" t="n">
        <v>0.25</v>
      </c>
    </row>
    <row r="19" customFormat="false" ht="15" hidden="false" customHeight="false" outlineLevel="0" collapsed="false">
      <c r="B19" s="27" t="s">
        <v>62</v>
      </c>
      <c r="C19" s="23" t="n">
        <v>0.5</v>
      </c>
    </row>
    <row r="20" customFormat="false" ht="15" hidden="false" customHeight="false" outlineLevel="0" collapsed="false">
      <c r="B20" s="27" t="s">
        <v>63</v>
      </c>
      <c r="C20" s="23" t="n">
        <v>0.75</v>
      </c>
    </row>
    <row r="21" customFormat="false" ht="15" hidden="false" customHeight="false" outlineLevel="0" collapsed="false">
      <c r="B21" s="27" t="s">
        <v>64</v>
      </c>
      <c r="C21" s="23" t="n">
        <v>1</v>
      </c>
    </row>
    <row r="22" customFormat="false" ht="15" hidden="false" customHeight="false" outlineLevel="0" collapsed="false">
      <c r="B22" s="27" t="s">
        <v>65</v>
      </c>
      <c r="C22" s="23" t="n">
        <v>1</v>
      </c>
    </row>
    <row r="23" customFormat="false" ht="15" hidden="false" customHeight="false" outlineLevel="0" collapsed="false">
      <c r="B23" s="27" t="s">
        <v>66</v>
      </c>
      <c r="C23" s="23" t="n">
        <v>1</v>
      </c>
    </row>
    <row r="25" customFormat="false" ht="15" hidden="false" customHeight="false" outlineLevel="0" collapsed="false">
      <c r="B25" s="7" t="s">
        <v>67</v>
      </c>
      <c r="E25" s="20" t="s">
        <v>68</v>
      </c>
    </row>
    <row r="26" customFormat="false" ht="24" hidden="false" customHeight="true" outlineLevel="0" collapsed="false">
      <c r="B26" s="26" t="s">
        <v>69</v>
      </c>
      <c r="C26" s="26" t="s">
        <v>70</v>
      </c>
      <c r="D26" s="26" t="s">
        <v>71</v>
      </c>
    </row>
    <row r="27" customFormat="false" ht="15" hidden="false" customHeight="false" outlineLevel="0" collapsed="false">
      <c r="B27" s="27" t="s">
        <v>72</v>
      </c>
      <c r="C27" s="21" t="n">
        <v>7</v>
      </c>
      <c r="D27" s="25" t="n">
        <f aca="false">IF(SUM($C$27:$C$38)=0,1/12,C27/SUM($C$27:$C$38))</f>
        <v>0.07</v>
      </c>
    </row>
    <row r="28" customFormat="false" ht="15" hidden="false" customHeight="false" outlineLevel="0" collapsed="false">
      <c r="B28" s="27" t="s">
        <v>73</v>
      </c>
      <c r="C28" s="21" t="n">
        <v>8</v>
      </c>
      <c r="D28" s="25" t="n">
        <f aca="false">IF(SUM($C$27:$C$38)=0,1/12,C28/SUM($C$27:$C$38))</f>
        <v>0.08</v>
      </c>
    </row>
    <row r="29" customFormat="false" ht="15" hidden="false" customHeight="false" outlineLevel="0" collapsed="false">
      <c r="B29" s="27" t="s">
        <v>74</v>
      </c>
      <c r="C29" s="21" t="n">
        <v>9</v>
      </c>
      <c r="D29" s="25" t="n">
        <f aca="false">IF(SUM($C$27:$C$38)=0,1/12,C29/SUM($C$27:$C$38))</f>
        <v>0.09</v>
      </c>
    </row>
    <row r="30" customFormat="false" ht="15" hidden="false" customHeight="false" outlineLevel="0" collapsed="false">
      <c r="B30" s="27" t="s">
        <v>75</v>
      </c>
      <c r="C30" s="21" t="n">
        <v>8</v>
      </c>
      <c r="D30" s="25" t="n">
        <f aca="false">IF(SUM($C$27:$C$38)=0,1/12,C30/SUM($C$27:$C$38))</f>
        <v>0.08</v>
      </c>
    </row>
    <row r="31" customFormat="false" ht="15" hidden="false" customHeight="false" outlineLevel="0" collapsed="false">
      <c r="B31" s="27" t="s">
        <v>76</v>
      </c>
      <c r="C31" s="21" t="n">
        <v>9</v>
      </c>
      <c r="D31" s="25" t="n">
        <f aca="false">IF(SUM($C$27:$C$38)=0,1/12,C31/SUM($C$27:$C$38))</f>
        <v>0.09</v>
      </c>
    </row>
    <row r="32" customFormat="false" ht="15" hidden="false" customHeight="false" outlineLevel="0" collapsed="false">
      <c r="B32" s="27" t="s">
        <v>77</v>
      </c>
      <c r="C32" s="21" t="n">
        <v>9</v>
      </c>
      <c r="D32" s="25" t="n">
        <f aca="false">IF(SUM($C$27:$C$38)=0,1/12,C32/SUM($C$27:$C$38))</f>
        <v>0.09</v>
      </c>
    </row>
    <row r="33" customFormat="false" ht="15" hidden="false" customHeight="false" outlineLevel="0" collapsed="false">
      <c r="B33" s="27" t="s">
        <v>78</v>
      </c>
      <c r="C33" s="21" t="n">
        <v>4</v>
      </c>
      <c r="D33" s="25" t="n">
        <f aca="false">IF(SUM($C$27:$C$38)=0,1/12,C33/SUM($C$27:$C$38))</f>
        <v>0.04</v>
      </c>
      <c r="E33" s="20" t="s">
        <v>79</v>
      </c>
    </row>
    <row r="34" customFormat="false" ht="15" hidden="false" customHeight="false" outlineLevel="0" collapsed="false">
      <c r="B34" s="27" t="s">
        <v>80</v>
      </c>
      <c r="C34" s="21" t="n">
        <v>7</v>
      </c>
      <c r="D34" s="25" t="n">
        <f aca="false">IF(SUM($C$27:$C$38)=0,1/12,C34/SUM($C$27:$C$38))</f>
        <v>0.07</v>
      </c>
    </row>
    <row r="35" customFormat="false" ht="15" hidden="false" customHeight="false" outlineLevel="0" collapsed="false">
      <c r="B35" s="27" t="s">
        <v>81</v>
      </c>
      <c r="C35" s="21" t="n">
        <v>9</v>
      </c>
      <c r="D35" s="25" t="n">
        <f aca="false">IF(SUM($C$27:$C$38)=0,1/12,C35/SUM($C$27:$C$38))</f>
        <v>0.09</v>
      </c>
    </row>
    <row r="36" customFormat="false" ht="15" hidden="false" customHeight="false" outlineLevel="0" collapsed="false">
      <c r="B36" s="27" t="s">
        <v>82</v>
      </c>
      <c r="C36" s="21" t="n">
        <v>9</v>
      </c>
      <c r="D36" s="25" t="n">
        <f aca="false">IF(SUM($C$27:$C$38)=0,1/12,C36/SUM($C$27:$C$38))</f>
        <v>0.09</v>
      </c>
    </row>
    <row r="37" customFormat="false" ht="15" hidden="false" customHeight="false" outlineLevel="0" collapsed="false">
      <c r="B37" s="27" t="s">
        <v>83</v>
      </c>
      <c r="C37" s="21" t="n">
        <v>10</v>
      </c>
      <c r="D37" s="25" t="n">
        <f aca="false">IF(SUM($C$27:$C$38)=0,1/12,C37/SUM($C$27:$C$38))</f>
        <v>0.1</v>
      </c>
    </row>
    <row r="38" customFormat="false" ht="15" hidden="false" customHeight="false" outlineLevel="0" collapsed="false">
      <c r="B38" s="27" t="s">
        <v>84</v>
      </c>
      <c r="C38" s="21" t="n">
        <v>11</v>
      </c>
      <c r="D38" s="25" t="n">
        <f aca="false">IF(SUM($C$27:$C$38)=0,1/12,C38/SUM($C$27:$C$38))</f>
        <v>0.11</v>
      </c>
    </row>
    <row r="39" customFormat="false" ht="15" hidden="false" customHeight="false" outlineLevel="0" collapsed="false">
      <c r="B39" s="19" t="s">
        <v>85</v>
      </c>
      <c r="C39" s="28" t="n">
        <f aca="false">SUM(C27:C38)</f>
        <v>100</v>
      </c>
      <c r="D39" s="29" t="n">
        <f aca="false">SUM(D27:D38)</f>
        <v>1</v>
      </c>
    </row>
  </sheetData>
  <dataValidations count="3">
    <dataValidation allowBlank="false" error="Skriv en procent mellem 0 og 100 %." errorStyle="stop" errorTitle="Ugyldig værdi" operator="between" showDropDown="false" showErrorMessage="false" showInputMessage="false" sqref="C9:C10 C18:C23" type="decimal">
      <formula1>0</formula1>
      <formula2>1</formula2>
    </dataValidation>
    <dataValidation allowBlank="false" error="Skriv et tal større end 0." errorStyle="stop" errorTitle="Ugyldig værdi" operator="greaterThan" showDropDown="false" showErrorMessage="false" showInputMessage="false" sqref="C8" type="decimal">
      <formula1>0</formula1>
      <formula2>0</formula2>
    </dataValidation>
    <dataValidation allowBlank="false" errorStyle="stop" operator="greaterThanOrEqual" showDropDown="false" showErrorMessage="false" showInputMessage="false" sqref="C27:C38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40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16"/>
  </cols>
  <sheetData>
    <row r="2" customFormat="false" ht="30" hidden="false" customHeight="true" outlineLevel="0" collapsed="false">
      <c r="B2" s="17" t="s">
        <v>86</v>
      </c>
    </row>
    <row r="3" customFormat="false" ht="15" hidden="false" customHeight="false" outlineLevel="0" collapsed="false">
      <c r="B3" s="18" t="s">
        <v>87</v>
      </c>
    </row>
    <row r="5" customFormat="false" ht="36" hidden="false" customHeight="true" outlineLevel="0" collapsed="false">
      <c r="B5" s="26" t="s">
        <v>88</v>
      </c>
      <c r="C5" s="26" t="s">
        <v>89</v>
      </c>
      <c r="D5" s="26" t="s">
        <v>90</v>
      </c>
      <c r="E5" s="26" t="s">
        <v>91</v>
      </c>
      <c r="F5" s="26" t="s">
        <v>92</v>
      </c>
      <c r="G5" s="26" t="s">
        <v>93</v>
      </c>
      <c r="H5" s="26" t="s">
        <v>94</v>
      </c>
      <c r="I5" s="26" t="s">
        <v>95</v>
      </c>
    </row>
    <row r="6" customFormat="false" ht="15" hidden="false" customHeight="false" outlineLevel="0" collapsed="false">
      <c r="B6" s="10" t="s">
        <v>96</v>
      </c>
      <c r="C6" s="30" t="n">
        <v>120</v>
      </c>
      <c r="D6" s="10" t="s">
        <v>97</v>
      </c>
      <c r="E6" s="31" t="n">
        <f aca="false">IF($B6="","",COUNTIF(Sælgere!$C$6:$C$30,$B6))</f>
        <v>3</v>
      </c>
      <c r="F6" s="32" t="n">
        <f aca="false">IF($B6="","",SUMIF(Beregning!$D$6:$D$30,$B6,Beregning!$Z$6:$Z$30))</f>
        <v>2.46</v>
      </c>
      <c r="G6" s="33" t="n">
        <f aca="false">IF($B6="","",SUMIF(Kvoteplan!$C$6:$C$30,$B6,Kvoteplan!$P$6:$P$30))</f>
        <v>10730310.9025392</v>
      </c>
      <c r="H6" s="25" t="n">
        <f aca="false">IF($B6="","",IFERROR(G6/SUM($G$6:$G$15),0))</f>
        <v>0.325160936440581</v>
      </c>
      <c r="I6" s="33" t="n">
        <f aca="false">IF($B6="","",IFERROR(G6/F6,0))</f>
        <v>4361915.00103219</v>
      </c>
    </row>
    <row r="7" customFormat="false" ht="15" hidden="false" customHeight="false" outlineLevel="0" collapsed="false">
      <c r="B7" s="10" t="s">
        <v>98</v>
      </c>
      <c r="C7" s="30" t="n">
        <v>100</v>
      </c>
      <c r="D7" s="10" t="s">
        <v>99</v>
      </c>
      <c r="E7" s="31" t="n">
        <f aca="false">IF($B7="","",COUNTIF(Sælgere!$C$6:$C$30,$B7))</f>
        <v>4</v>
      </c>
      <c r="F7" s="32" t="n">
        <f aca="false">IF($B7="","",SUMIF(Beregning!$D$6:$D$30,$B7,Beregning!$Z$6:$Z$30))</f>
        <v>3.35</v>
      </c>
      <c r="G7" s="33" t="n">
        <f aca="false">IF($B7="","",SUMIF(Kvoteplan!$C$6:$C$30,$B7,Kvoteplan!$P$6:$P$30))</f>
        <v>12304701.2486382</v>
      </c>
      <c r="H7" s="25" t="n">
        <f aca="false">IF($B7="","",IFERROR(G7/SUM($G$6:$G$15),0))</f>
        <v>0.372869734807219</v>
      </c>
      <c r="I7" s="33" t="n">
        <f aca="false">IF($B7="","",IFERROR(G7/F7,0))</f>
        <v>3673045.14884723</v>
      </c>
    </row>
    <row r="8" customFormat="false" ht="15" hidden="false" customHeight="false" outlineLevel="0" collapsed="false">
      <c r="B8" s="10" t="s">
        <v>100</v>
      </c>
      <c r="C8" s="30" t="n">
        <v>85</v>
      </c>
      <c r="D8" s="10" t="s">
        <v>97</v>
      </c>
      <c r="E8" s="31" t="n">
        <f aca="false">IF($B8="","",COUNTIF(Sælgere!$C$6:$C$30,$B8))</f>
        <v>2</v>
      </c>
      <c r="F8" s="32" t="n">
        <f aca="false">IF($B8="","",SUMIF(Beregning!$D$6:$D$30,$B8,Beregning!$Z$6:$Z$30))</f>
        <v>1.7</v>
      </c>
      <c r="G8" s="33" t="n">
        <f aca="false">IF($B8="","",SUMIF(Kvoteplan!$C$6:$C$30,$B8,Kvoteplan!$P$6:$P$30))</f>
        <v>5464987.84882259</v>
      </c>
      <c r="H8" s="25" t="n">
        <f aca="false">IF($B8="","",IFERROR(G8/SUM($G$6:$G$15),0))</f>
        <v>0.165605692388563</v>
      </c>
      <c r="I8" s="33" t="n">
        <f aca="false">IF($B8="","",IFERROR(G8/F8,0))</f>
        <v>3214698.73460153</v>
      </c>
    </row>
    <row r="9" customFormat="false" ht="15" hidden="false" customHeight="false" outlineLevel="0" collapsed="false">
      <c r="B9" s="10" t="s">
        <v>101</v>
      </c>
      <c r="C9" s="30" t="n">
        <v>100</v>
      </c>
      <c r="D9" s="10" t="s">
        <v>102</v>
      </c>
      <c r="E9" s="31" t="n">
        <f aca="false">IF($B9="","",COUNTIF(Sælgere!$C$6:$C$30,$B9))</f>
        <v>1</v>
      </c>
      <c r="F9" s="32" t="n">
        <f aca="false">IF($B9="","",SUMIF(Beregning!$D$6:$D$30,$B9,Beregning!$Z$6:$Z$30))</f>
        <v>0</v>
      </c>
      <c r="G9" s="33" t="n">
        <f aca="false">IF($B9="","",SUMIF(Kvoteplan!$C$6:$C$30,$B9,Kvoteplan!$P$6:$P$30))</f>
        <v>4500000</v>
      </c>
      <c r="H9" s="25" t="n">
        <f aca="false">IF($B9="","",IFERROR(G9/SUM($G$6:$G$15),0))</f>
        <v>0.136363636363636</v>
      </c>
      <c r="I9" s="33" t="n">
        <f aca="false">IF($B9="","",IFERROR(G9/F9,0))</f>
        <v>0</v>
      </c>
    </row>
    <row r="10" customFormat="false" ht="15" hidden="false" customHeight="false" outlineLevel="0" collapsed="false">
      <c r="B10" s="10"/>
      <c r="C10" s="30"/>
      <c r="D10" s="10"/>
      <c r="E10" s="31" t="str">
        <f aca="false">IF($B10="","",COUNTIF(Sælgere!$C$6:$C$30,$B10))</f>
        <v/>
      </c>
      <c r="F10" s="32" t="str">
        <f aca="false">IF($B10="","",SUMIF(Beregning!$D$6:$D$30,$B10,Beregning!$Z$6:$Z$30))</f>
        <v/>
      </c>
      <c r="G10" s="33" t="str">
        <f aca="false">IF($B10="","",SUMIF(Kvoteplan!$C$6:$C$30,$B10,Kvoteplan!$P$6:$P$30))</f>
        <v/>
      </c>
      <c r="H10" s="25" t="str">
        <f aca="false">IF($B10="","",IFERROR(G10/SUM($G$6:$G$15),0))</f>
        <v/>
      </c>
      <c r="I10" s="33" t="str">
        <f aca="false">IF($B10="","",IFERROR(G10/F10,0))</f>
        <v/>
      </c>
    </row>
    <row r="11" customFormat="false" ht="15" hidden="false" customHeight="false" outlineLevel="0" collapsed="false">
      <c r="B11" s="10"/>
      <c r="C11" s="30"/>
      <c r="D11" s="10"/>
      <c r="E11" s="31" t="str">
        <f aca="false">IF($B11="","",COUNTIF(Sælgere!$C$6:$C$30,$B11))</f>
        <v/>
      </c>
      <c r="F11" s="32" t="str">
        <f aca="false">IF($B11="","",SUMIF(Beregning!$D$6:$D$30,$B11,Beregning!$Z$6:$Z$30))</f>
        <v/>
      </c>
      <c r="G11" s="33" t="str">
        <f aca="false">IF($B11="","",SUMIF(Kvoteplan!$C$6:$C$30,$B11,Kvoteplan!$P$6:$P$30))</f>
        <v/>
      </c>
      <c r="H11" s="25" t="str">
        <f aca="false">IF($B11="","",IFERROR(G11/SUM($G$6:$G$15),0))</f>
        <v/>
      </c>
      <c r="I11" s="33" t="str">
        <f aca="false">IF($B11="","",IFERROR(G11/F11,0))</f>
        <v/>
      </c>
    </row>
    <row r="12" customFormat="false" ht="15" hidden="false" customHeight="false" outlineLevel="0" collapsed="false">
      <c r="B12" s="10"/>
      <c r="C12" s="30"/>
      <c r="D12" s="10"/>
      <c r="E12" s="31" t="str">
        <f aca="false">IF($B12="","",COUNTIF(Sælgere!$C$6:$C$30,$B12))</f>
        <v/>
      </c>
      <c r="F12" s="32" t="str">
        <f aca="false">IF($B12="","",SUMIF(Beregning!$D$6:$D$30,$B12,Beregning!$Z$6:$Z$30))</f>
        <v/>
      </c>
      <c r="G12" s="33" t="str">
        <f aca="false">IF($B12="","",SUMIF(Kvoteplan!$C$6:$C$30,$B12,Kvoteplan!$P$6:$P$30))</f>
        <v/>
      </c>
      <c r="H12" s="25" t="str">
        <f aca="false">IF($B12="","",IFERROR(G12/SUM($G$6:$G$15),0))</f>
        <v/>
      </c>
      <c r="I12" s="33" t="str">
        <f aca="false">IF($B12="","",IFERROR(G12/F12,0))</f>
        <v/>
      </c>
    </row>
    <row r="13" customFormat="false" ht="15" hidden="false" customHeight="false" outlineLevel="0" collapsed="false">
      <c r="B13" s="10"/>
      <c r="C13" s="30"/>
      <c r="D13" s="10"/>
      <c r="E13" s="31" t="str">
        <f aca="false">IF($B13="","",COUNTIF(Sælgere!$C$6:$C$30,$B13))</f>
        <v/>
      </c>
      <c r="F13" s="32" t="str">
        <f aca="false">IF($B13="","",SUMIF(Beregning!$D$6:$D$30,$B13,Beregning!$Z$6:$Z$30))</f>
        <v/>
      </c>
      <c r="G13" s="33" t="str">
        <f aca="false">IF($B13="","",SUMIF(Kvoteplan!$C$6:$C$30,$B13,Kvoteplan!$P$6:$P$30))</f>
        <v/>
      </c>
      <c r="H13" s="25" t="str">
        <f aca="false">IF($B13="","",IFERROR(G13/SUM($G$6:$G$15),0))</f>
        <v/>
      </c>
      <c r="I13" s="33" t="str">
        <f aca="false">IF($B13="","",IFERROR(G13/F13,0))</f>
        <v/>
      </c>
    </row>
    <row r="14" customFormat="false" ht="15" hidden="false" customHeight="false" outlineLevel="0" collapsed="false">
      <c r="B14" s="10"/>
      <c r="C14" s="30"/>
      <c r="D14" s="10"/>
      <c r="E14" s="31" t="str">
        <f aca="false">IF($B14="","",COUNTIF(Sælgere!$C$6:$C$30,$B14))</f>
        <v/>
      </c>
      <c r="F14" s="32" t="str">
        <f aca="false">IF($B14="","",SUMIF(Beregning!$D$6:$D$30,$B14,Beregning!$Z$6:$Z$30))</f>
        <v/>
      </c>
      <c r="G14" s="33" t="str">
        <f aca="false">IF($B14="","",SUMIF(Kvoteplan!$C$6:$C$30,$B14,Kvoteplan!$P$6:$P$30))</f>
        <v/>
      </c>
      <c r="H14" s="25" t="str">
        <f aca="false">IF($B14="","",IFERROR(G14/SUM($G$6:$G$15),0))</f>
        <v/>
      </c>
      <c r="I14" s="33" t="str">
        <f aca="false">IF($B14="","",IFERROR(G14/F14,0))</f>
        <v/>
      </c>
    </row>
    <row r="15" customFormat="false" ht="15" hidden="false" customHeight="false" outlineLevel="0" collapsed="false">
      <c r="B15" s="10"/>
      <c r="C15" s="30"/>
      <c r="D15" s="10"/>
      <c r="E15" s="31" t="str">
        <f aca="false">IF($B15="","",COUNTIF(Sælgere!$C$6:$C$30,$B15))</f>
        <v/>
      </c>
      <c r="F15" s="32" t="str">
        <f aca="false">IF($B15="","",SUMIF(Beregning!$D$6:$D$30,$B15,Beregning!$Z$6:$Z$30))</f>
        <v/>
      </c>
      <c r="G15" s="33" t="str">
        <f aca="false">IF($B15="","",SUMIF(Kvoteplan!$C$6:$C$30,$B15,Kvoteplan!$P$6:$P$30))</f>
        <v/>
      </c>
      <c r="H15" s="25" t="str">
        <f aca="false">IF($B15="","",IFERROR(G15/SUM($G$6:$G$15),0))</f>
        <v/>
      </c>
      <c r="I15" s="33" t="str">
        <f aca="false">IF($B15="","",IFERROR(G15/F15,0))</f>
        <v/>
      </c>
    </row>
    <row r="16" customFormat="false" ht="15" hidden="false" customHeight="false" outlineLevel="0" collapsed="false">
      <c r="B16" s="34" t="s">
        <v>85</v>
      </c>
      <c r="C16" s="35"/>
      <c r="D16" s="35"/>
      <c r="E16" s="28" t="n">
        <f aca="false">SUM(E6:E15)</f>
        <v>10</v>
      </c>
      <c r="F16" s="36" t="n">
        <f aca="false">SUM(F6:F15)</f>
        <v>7.51</v>
      </c>
      <c r="G16" s="24" t="n">
        <f aca="false">SUM(G6:G15)</f>
        <v>33000000</v>
      </c>
      <c r="H16" s="29" t="n">
        <f aca="false">SUM(H6:H15)</f>
        <v>1</v>
      </c>
      <c r="I16" s="35"/>
    </row>
    <row r="18" customFormat="false" ht="15" hidden="false" customHeight="false" outlineLevel="0" collapsed="false">
      <c r="B18" s="20" t="s">
        <v>103</v>
      </c>
    </row>
  </sheetData>
  <dataValidations count="1">
    <dataValidation allowBlank="true" errorStyle="stop" operator="between" showDropDown="false" showErrorMessage="false" showInputMessage="false" sqref="C6:C15" type="decimal">
      <formula1>0</formula1>
      <formula2>1000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7" min="6" style="0" width="11"/>
    <col collapsed="false" customWidth="true" hidden="false" outlineLevel="0" max="9" min="8" style="0" width="16"/>
    <col collapsed="false" customWidth="true" hidden="false" outlineLevel="0" max="10" min="10" style="0" width="15"/>
  </cols>
  <sheetData>
    <row r="2" customFormat="false" ht="30" hidden="false" customHeight="true" outlineLevel="0" collapsed="false">
      <c r="B2" s="17" t="s">
        <v>91</v>
      </c>
    </row>
    <row r="3" customFormat="false" ht="15" hidden="false" customHeight="false" outlineLevel="0" collapsed="false">
      <c r="B3" s="18" t="s">
        <v>104</v>
      </c>
    </row>
    <row r="5" customFormat="false" ht="48" hidden="false" customHeight="true" outlineLevel="0" collapsed="false">
      <c r="B5" s="26" t="s">
        <v>105</v>
      </c>
      <c r="C5" s="26" t="s">
        <v>88</v>
      </c>
      <c r="D5" s="26" t="s">
        <v>106</v>
      </c>
      <c r="E5" s="26" t="s">
        <v>107</v>
      </c>
      <c r="F5" s="26" t="s">
        <v>108</v>
      </c>
      <c r="G5" s="26" t="s">
        <v>92</v>
      </c>
      <c r="H5" s="26" t="s">
        <v>109</v>
      </c>
      <c r="I5" s="26" t="s">
        <v>93</v>
      </c>
      <c r="J5" s="26" t="s">
        <v>110</v>
      </c>
    </row>
    <row r="6" customFormat="false" ht="15" hidden="false" customHeight="false" outlineLevel="0" collapsed="false">
      <c r="B6" s="10" t="s">
        <v>111</v>
      </c>
      <c r="C6" s="10" t="s">
        <v>96</v>
      </c>
      <c r="D6" s="30" t="n">
        <v>1</v>
      </c>
      <c r="E6" s="30"/>
      <c r="F6" s="30"/>
      <c r="G6" s="37" t="n">
        <v>1</v>
      </c>
      <c r="H6" s="22"/>
      <c r="I6" s="38" t="n">
        <f aca="false">IF($B6="","",Kvoteplan!$P6)</f>
        <v>4585602.94980307</v>
      </c>
      <c r="J6" s="33" t="n">
        <f aca="false">IF($B6="","",IFERROR(I6/COUNTIF(Beregning!$K6:$V6,"&gt;0"),0))</f>
        <v>382133.579150256</v>
      </c>
    </row>
    <row r="7" customFormat="false" ht="15" hidden="false" customHeight="false" outlineLevel="0" collapsed="false">
      <c r="B7" s="10" t="s">
        <v>112</v>
      </c>
      <c r="C7" s="10" t="s">
        <v>96</v>
      </c>
      <c r="D7" s="30" t="n">
        <v>1</v>
      </c>
      <c r="E7" s="30"/>
      <c r="F7" s="30"/>
      <c r="G7" s="37" t="n">
        <v>1</v>
      </c>
      <c r="H7" s="22"/>
      <c r="I7" s="38" t="n">
        <f aca="false">IF($B7="","",Kvoteplan!$P7)</f>
        <v>4585602.94980307</v>
      </c>
      <c r="J7" s="33" t="n">
        <f aca="false">IF($B7="","",IFERROR(I7/COUNTIF(Beregning!$K7:$V7,"&gt;0"),0))</f>
        <v>382133.579150256</v>
      </c>
    </row>
    <row r="8" customFormat="false" ht="15" hidden="false" customHeight="false" outlineLevel="0" collapsed="false">
      <c r="B8" s="10" t="s">
        <v>113</v>
      </c>
      <c r="C8" s="10" t="s">
        <v>98</v>
      </c>
      <c r="D8" s="30" t="n">
        <v>1</v>
      </c>
      <c r="E8" s="30"/>
      <c r="F8" s="30"/>
      <c r="G8" s="37" t="n">
        <v>1</v>
      </c>
      <c r="H8" s="22"/>
      <c r="I8" s="38" t="n">
        <f aca="false">IF($B8="","",Kvoteplan!$P8)</f>
        <v>3821335.79150256</v>
      </c>
      <c r="J8" s="33" t="n">
        <f aca="false">IF($B8="","",IFERROR(I8/COUNTIF(Beregning!$K8:$V8,"&gt;0"),0))</f>
        <v>318444.64929188</v>
      </c>
    </row>
    <row r="9" customFormat="false" ht="15" hidden="false" customHeight="false" outlineLevel="0" collapsed="false">
      <c r="B9" s="10" t="s">
        <v>114</v>
      </c>
      <c r="C9" s="10" t="s">
        <v>98</v>
      </c>
      <c r="D9" s="30" t="n">
        <v>1</v>
      </c>
      <c r="E9" s="30"/>
      <c r="F9" s="30"/>
      <c r="G9" s="37" t="n">
        <v>1</v>
      </c>
      <c r="H9" s="22"/>
      <c r="I9" s="38" t="n">
        <f aca="false">IF($B9="","",Kvoteplan!$P9)</f>
        <v>3821335.79150256</v>
      </c>
      <c r="J9" s="33" t="n">
        <f aca="false">IF($B9="","",IFERROR(I9/COUNTIF(Beregning!$K9:$V9,"&gt;0"),0))</f>
        <v>318444.64929188</v>
      </c>
    </row>
    <row r="10" customFormat="false" ht="15" hidden="false" customHeight="false" outlineLevel="0" collapsed="false">
      <c r="B10" s="10" t="s">
        <v>115</v>
      </c>
      <c r="C10" s="10" t="s">
        <v>100</v>
      </c>
      <c r="D10" s="30" t="n">
        <v>1</v>
      </c>
      <c r="E10" s="30"/>
      <c r="F10" s="30" t="n">
        <v>9</v>
      </c>
      <c r="G10" s="37" t="n">
        <v>1</v>
      </c>
      <c r="H10" s="22"/>
      <c r="I10" s="38" t="n">
        <f aca="false">IF($B10="","",Kvoteplan!$P10)</f>
        <v>2273694.79594402</v>
      </c>
      <c r="J10" s="33" t="n">
        <f aca="false">IF($B10="","",IFERROR(I10/COUNTIF(Beregning!$K10:$V10,"&gt;0"),0))</f>
        <v>252632.755104891</v>
      </c>
    </row>
    <row r="11" customFormat="false" ht="15" hidden="false" customHeight="false" outlineLevel="0" collapsed="false">
      <c r="B11" s="10" t="s">
        <v>116</v>
      </c>
      <c r="C11" s="10" t="s">
        <v>101</v>
      </c>
      <c r="D11" s="30" t="n">
        <v>1</v>
      </c>
      <c r="E11" s="30"/>
      <c r="F11" s="30"/>
      <c r="G11" s="37" t="n">
        <v>1</v>
      </c>
      <c r="H11" s="22" t="n">
        <v>4500000</v>
      </c>
      <c r="I11" s="38" t="n">
        <f aca="false">IF($B11="","",Kvoteplan!$P11)</f>
        <v>4500000</v>
      </c>
      <c r="J11" s="33" t="n">
        <f aca="false">IF($B11="","",IFERROR(I11/COUNTIF(Beregning!$K11:$V11,"&gt;0"),0))</f>
        <v>375000</v>
      </c>
    </row>
    <row r="12" customFormat="false" ht="15" hidden="false" customHeight="false" outlineLevel="0" collapsed="false">
      <c r="B12" s="10" t="s">
        <v>117</v>
      </c>
      <c r="C12" s="10" t="s">
        <v>100</v>
      </c>
      <c r="D12" s="30" t="n">
        <v>1</v>
      </c>
      <c r="E12" s="30" t="n">
        <v>3</v>
      </c>
      <c r="F12" s="30"/>
      <c r="G12" s="37" t="n">
        <v>1</v>
      </c>
      <c r="H12" s="22"/>
      <c r="I12" s="38" t="n">
        <f aca="false">IF($B12="","",Kvoteplan!$P12)</f>
        <v>3191293.05287857</v>
      </c>
      <c r="J12" s="33" t="n">
        <f aca="false">IF($B12="","",IFERROR(I12/COUNTIF(Beregning!$K12:$V12,"&gt;0"),0))</f>
        <v>265941.087739881</v>
      </c>
    </row>
    <row r="13" customFormat="false" ht="15" hidden="false" customHeight="false" outlineLevel="0" collapsed="false">
      <c r="B13" s="10" t="s">
        <v>118</v>
      </c>
      <c r="C13" s="10" t="s">
        <v>98</v>
      </c>
      <c r="D13" s="30" t="n">
        <v>1</v>
      </c>
      <c r="E13" s="30"/>
      <c r="F13" s="30"/>
      <c r="G13" s="37" t="n">
        <v>0.5</v>
      </c>
      <c r="H13" s="22"/>
      <c r="I13" s="38" t="n">
        <f aca="false">IF($B13="","",Kvoteplan!$P13)</f>
        <v>1910667.89575128</v>
      </c>
      <c r="J13" s="33" t="n">
        <f aca="false">IF($B13="","",IFERROR(I13/COUNTIF(Beregning!$K13:$V13,"&gt;0"),0))</f>
        <v>159222.32464594</v>
      </c>
    </row>
    <row r="14" customFormat="false" ht="15" hidden="false" customHeight="false" outlineLevel="0" collapsed="false">
      <c r="B14" s="10" t="s">
        <v>119</v>
      </c>
      <c r="C14" s="10" t="s">
        <v>98</v>
      </c>
      <c r="D14" s="30" t="n">
        <v>3</v>
      </c>
      <c r="E14" s="30" t="n">
        <v>1</v>
      </c>
      <c r="F14" s="30"/>
      <c r="G14" s="37" t="n">
        <v>1</v>
      </c>
      <c r="H14" s="22"/>
      <c r="I14" s="38" t="n">
        <f aca="false">IF($B14="","",Kvoteplan!$P14)</f>
        <v>2751361.76988184</v>
      </c>
      <c r="J14" s="33" t="n">
        <f aca="false">IF($B14="","",IFERROR(I14/COUNTIF(Beregning!$K14:$V14,"&gt;0"),0))</f>
        <v>275136.176988184</v>
      </c>
    </row>
    <row r="15" customFormat="false" ht="15" hidden="false" customHeight="false" outlineLevel="0" collapsed="false">
      <c r="B15" s="10" t="s">
        <v>120</v>
      </c>
      <c r="C15" s="10" t="s">
        <v>96</v>
      </c>
      <c r="D15" s="30" t="n">
        <v>8</v>
      </c>
      <c r="E15" s="30" t="n">
        <v>1</v>
      </c>
      <c r="F15" s="30"/>
      <c r="G15" s="37" t="n">
        <v>1</v>
      </c>
      <c r="H15" s="22"/>
      <c r="I15" s="38" t="n">
        <f aca="false">IF($B15="","",Kvoteplan!$P15)</f>
        <v>1559105.00293304</v>
      </c>
      <c r="J15" s="33" t="n">
        <f aca="false">IF($B15="","",IFERROR(I15/COUNTIF(Beregning!$K15:$V15,"&gt;0"),0))</f>
        <v>311821.000586609</v>
      </c>
    </row>
    <row r="16" customFormat="false" ht="15" hidden="false" customHeight="false" outlineLevel="0" collapsed="false">
      <c r="B16" s="10"/>
      <c r="C16" s="10"/>
      <c r="D16" s="30"/>
      <c r="E16" s="30"/>
      <c r="F16" s="30"/>
      <c r="G16" s="37"/>
      <c r="H16" s="22"/>
      <c r="I16" s="38" t="str">
        <f aca="false">IF($B16="","",Kvoteplan!$P16)</f>
        <v/>
      </c>
      <c r="J16" s="33" t="str">
        <f aca="false">IF($B16="","",IFERROR(I16/COUNTIF(Beregning!$K16:$V16,"&gt;0"),0))</f>
        <v/>
      </c>
    </row>
    <row r="17" customFormat="false" ht="15" hidden="false" customHeight="false" outlineLevel="0" collapsed="false">
      <c r="B17" s="10"/>
      <c r="C17" s="10"/>
      <c r="D17" s="30"/>
      <c r="E17" s="30"/>
      <c r="F17" s="30"/>
      <c r="G17" s="37"/>
      <c r="H17" s="22"/>
      <c r="I17" s="38" t="str">
        <f aca="false">IF($B17="","",Kvoteplan!$P17)</f>
        <v/>
      </c>
      <c r="J17" s="33" t="str">
        <f aca="false">IF($B17="","",IFERROR(I17/COUNTIF(Beregning!$K17:$V17,"&gt;0"),0))</f>
        <v/>
      </c>
    </row>
    <row r="18" customFormat="false" ht="15" hidden="false" customHeight="false" outlineLevel="0" collapsed="false">
      <c r="B18" s="10"/>
      <c r="C18" s="10"/>
      <c r="D18" s="30"/>
      <c r="E18" s="30"/>
      <c r="F18" s="30"/>
      <c r="G18" s="37"/>
      <c r="H18" s="22"/>
      <c r="I18" s="38" t="str">
        <f aca="false">IF($B18="","",Kvoteplan!$P18)</f>
        <v/>
      </c>
      <c r="J18" s="33" t="str">
        <f aca="false">IF($B18="","",IFERROR(I18/COUNTIF(Beregning!$K18:$V18,"&gt;0"),0))</f>
        <v/>
      </c>
    </row>
    <row r="19" customFormat="false" ht="15" hidden="false" customHeight="false" outlineLevel="0" collapsed="false">
      <c r="B19" s="10"/>
      <c r="C19" s="10"/>
      <c r="D19" s="30"/>
      <c r="E19" s="30"/>
      <c r="F19" s="30"/>
      <c r="G19" s="37"/>
      <c r="H19" s="22"/>
      <c r="I19" s="38" t="str">
        <f aca="false">IF($B19="","",Kvoteplan!$P19)</f>
        <v/>
      </c>
      <c r="J19" s="33" t="str">
        <f aca="false">IF($B19="","",IFERROR(I19/COUNTIF(Beregning!$K19:$V19,"&gt;0"),0))</f>
        <v/>
      </c>
    </row>
    <row r="20" customFormat="false" ht="15" hidden="false" customHeight="false" outlineLevel="0" collapsed="false">
      <c r="B20" s="10"/>
      <c r="C20" s="10"/>
      <c r="D20" s="30"/>
      <c r="E20" s="30"/>
      <c r="F20" s="30"/>
      <c r="G20" s="37"/>
      <c r="H20" s="22"/>
      <c r="I20" s="38" t="str">
        <f aca="false">IF($B20="","",Kvoteplan!$P20)</f>
        <v/>
      </c>
      <c r="J20" s="33" t="str">
        <f aca="false">IF($B20="","",IFERROR(I20/COUNTIF(Beregning!$K20:$V20,"&gt;0"),0))</f>
        <v/>
      </c>
    </row>
    <row r="21" customFormat="false" ht="15" hidden="false" customHeight="false" outlineLevel="0" collapsed="false">
      <c r="B21" s="10"/>
      <c r="C21" s="10"/>
      <c r="D21" s="30"/>
      <c r="E21" s="30"/>
      <c r="F21" s="30"/>
      <c r="G21" s="37"/>
      <c r="H21" s="22"/>
      <c r="I21" s="38" t="str">
        <f aca="false">IF($B21="","",Kvoteplan!$P21)</f>
        <v/>
      </c>
      <c r="J21" s="33" t="str">
        <f aca="false">IF($B21="","",IFERROR(I21/COUNTIF(Beregning!$K21:$V21,"&gt;0"),0))</f>
        <v/>
      </c>
    </row>
    <row r="22" customFormat="false" ht="15" hidden="false" customHeight="false" outlineLevel="0" collapsed="false">
      <c r="B22" s="10"/>
      <c r="C22" s="10"/>
      <c r="D22" s="30"/>
      <c r="E22" s="30"/>
      <c r="F22" s="30"/>
      <c r="G22" s="37"/>
      <c r="H22" s="22"/>
      <c r="I22" s="38" t="str">
        <f aca="false">IF($B22="","",Kvoteplan!$P22)</f>
        <v/>
      </c>
      <c r="J22" s="33" t="str">
        <f aca="false">IF($B22="","",IFERROR(I22/COUNTIF(Beregning!$K22:$V22,"&gt;0"),0))</f>
        <v/>
      </c>
    </row>
    <row r="23" customFormat="false" ht="15" hidden="false" customHeight="false" outlineLevel="0" collapsed="false">
      <c r="B23" s="10"/>
      <c r="C23" s="10"/>
      <c r="D23" s="30"/>
      <c r="E23" s="30"/>
      <c r="F23" s="30"/>
      <c r="G23" s="37"/>
      <c r="H23" s="22"/>
      <c r="I23" s="38" t="str">
        <f aca="false">IF($B23="","",Kvoteplan!$P23)</f>
        <v/>
      </c>
      <c r="J23" s="33" t="str">
        <f aca="false">IF($B23="","",IFERROR(I23/COUNTIF(Beregning!$K23:$V23,"&gt;0"),0))</f>
        <v/>
      </c>
    </row>
    <row r="24" customFormat="false" ht="15" hidden="false" customHeight="false" outlineLevel="0" collapsed="false">
      <c r="B24" s="10"/>
      <c r="C24" s="10"/>
      <c r="D24" s="30"/>
      <c r="E24" s="30"/>
      <c r="F24" s="30"/>
      <c r="G24" s="37"/>
      <c r="H24" s="22"/>
      <c r="I24" s="38" t="str">
        <f aca="false">IF($B24="","",Kvoteplan!$P24)</f>
        <v/>
      </c>
      <c r="J24" s="33" t="str">
        <f aca="false">IF($B24="","",IFERROR(I24/COUNTIF(Beregning!$K24:$V24,"&gt;0"),0))</f>
        <v/>
      </c>
    </row>
    <row r="25" customFormat="false" ht="15" hidden="false" customHeight="false" outlineLevel="0" collapsed="false">
      <c r="B25" s="10"/>
      <c r="C25" s="10"/>
      <c r="D25" s="30"/>
      <c r="E25" s="30"/>
      <c r="F25" s="30"/>
      <c r="G25" s="37"/>
      <c r="H25" s="22"/>
      <c r="I25" s="38" t="str">
        <f aca="false">IF($B25="","",Kvoteplan!$P25)</f>
        <v/>
      </c>
      <c r="J25" s="33" t="str">
        <f aca="false">IF($B25="","",IFERROR(I25/COUNTIF(Beregning!$K25:$V25,"&gt;0"),0))</f>
        <v/>
      </c>
    </row>
    <row r="26" customFormat="false" ht="15" hidden="false" customHeight="false" outlineLevel="0" collapsed="false">
      <c r="B26" s="10"/>
      <c r="C26" s="10"/>
      <c r="D26" s="30"/>
      <c r="E26" s="30"/>
      <c r="F26" s="30"/>
      <c r="G26" s="37"/>
      <c r="H26" s="22"/>
      <c r="I26" s="38" t="str">
        <f aca="false">IF($B26="","",Kvoteplan!$P26)</f>
        <v/>
      </c>
      <c r="J26" s="33" t="str">
        <f aca="false">IF($B26="","",IFERROR(I26/COUNTIF(Beregning!$K26:$V26,"&gt;0"),0))</f>
        <v/>
      </c>
    </row>
    <row r="27" customFormat="false" ht="15" hidden="false" customHeight="false" outlineLevel="0" collapsed="false">
      <c r="B27" s="10"/>
      <c r="C27" s="10"/>
      <c r="D27" s="30"/>
      <c r="E27" s="30"/>
      <c r="F27" s="30"/>
      <c r="G27" s="37"/>
      <c r="H27" s="22"/>
      <c r="I27" s="38" t="str">
        <f aca="false">IF($B27="","",Kvoteplan!$P27)</f>
        <v/>
      </c>
      <c r="J27" s="33" t="str">
        <f aca="false">IF($B27="","",IFERROR(I27/COUNTIF(Beregning!$K27:$V27,"&gt;0"),0))</f>
        <v/>
      </c>
    </row>
    <row r="28" customFormat="false" ht="15" hidden="false" customHeight="false" outlineLevel="0" collapsed="false">
      <c r="B28" s="10"/>
      <c r="C28" s="10"/>
      <c r="D28" s="30"/>
      <c r="E28" s="30"/>
      <c r="F28" s="30"/>
      <c r="G28" s="37"/>
      <c r="H28" s="22"/>
      <c r="I28" s="38" t="str">
        <f aca="false">IF($B28="","",Kvoteplan!$P28)</f>
        <v/>
      </c>
      <c r="J28" s="33" t="str">
        <f aca="false">IF($B28="","",IFERROR(I28/COUNTIF(Beregning!$K28:$V28,"&gt;0"),0))</f>
        <v/>
      </c>
    </row>
    <row r="29" customFormat="false" ht="15" hidden="false" customHeight="false" outlineLevel="0" collapsed="false">
      <c r="B29" s="10"/>
      <c r="C29" s="10"/>
      <c r="D29" s="30"/>
      <c r="E29" s="30"/>
      <c r="F29" s="30"/>
      <c r="G29" s="37"/>
      <c r="H29" s="22"/>
      <c r="I29" s="38" t="str">
        <f aca="false">IF($B29="","",Kvoteplan!$P29)</f>
        <v/>
      </c>
      <c r="J29" s="33" t="str">
        <f aca="false">IF($B29="","",IFERROR(I29/COUNTIF(Beregning!$K29:$V29,"&gt;0"),0))</f>
        <v/>
      </c>
    </row>
    <row r="30" customFormat="false" ht="15" hidden="false" customHeight="false" outlineLevel="0" collapsed="false">
      <c r="B30" s="10"/>
      <c r="C30" s="10"/>
      <c r="D30" s="30"/>
      <c r="E30" s="30"/>
      <c r="F30" s="30"/>
      <c r="G30" s="37"/>
      <c r="H30" s="22"/>
      <c r="I30" s="38" t="str">
        <f aca="false">IF($B30="","",Kvoteplan!$P30)</f>
        <v/>
      </c>
      <c r="J30" s="33" t="str">
        <f aca="false">IF($B30="","",IFERROR(I30/COUNTIF(Beregning!$K30:$V30,"&gt;0"),0))</f>
        <v/>
      </c>
    </row>
    <row r="31" customFormat="false" ht="15" hidden="false" customHeight="false" outlineLevel="0" collapsed="false">
      <c r="B31" s="19" t="s">
        <v>85</v>
      </c>
      <c r="C31" s="35"/>
      <c r="D31" s="35"/>
      <c r="E31" s="35"/>
      <c r="F31" s="35"/>
      <c r="G31" s="35"/>
      <c r="H31" s="35"/>
      <c r="I31" s="24" t="n">
        <f aca="false">SUM(I6:I30)</f>
        <v>33000000</v>
      </c>
      <c r="J31" s="35"/>
    </row>
    <row r="33" customFormat="false" ht="15" hidden="false" customHeight="false" outlineLevel="0" collapsed="false">
      <c r="B33" s="20" t="s">
        <v>121</v>
      </c>
    </row>
    <row r="34" customFormat="false" ht="15" hidden="false" customHeight="false" outlineLevel="0" collapsed="false">
      <c r="B34" s="20" t="s">
        <v>122</v>
      </c>
    </row>
  </sheetData>
  <dataValidations count="5">
    <dataValidation allowBlank="true" errorStyle="stop" operator="between" showDropDown="false" showErrorMessage="false" showInputMessage="false" sqref="C6:C30" type="list">
      <formula1>Territorier!$B$6:$B$15</formula1>
      <formula2>0</formula2>
    </dataValidation>
    <dataValidation allowBlank="true" error="Skriv en måned fra 1 til 12." errorStyle="stop" errorTitle="Ugyldig måned" operator="between" showDropDown="false" showErrorMessage="false" showInputMessage="false" sqref="D6:D30 F6:F30" type="whole">
      <formula1>1</formula1>
      <formula2>12</formula2>
    </dataValidation>
    <dataValidation allowBlank="true" error="Skriv et trin fra 1 til 12, eller lad feltet stå tomt." errorStyle="stop" errorTitle="Ugyldig værdi" operator="between" showDropDown="false" showErrorMessage="false" showInputMessage="false" sqref="E6:E30" type="whole">
      <formula1>1</formula1>
      <formula2>12</formula2>
    </dataValidation>
    <dataValidation allowBlank="true" error="Skriv en kapacitet mellem 1 og 100 %." errorStyle="stop" errorTitle="Ugyldig værdi" operator="between" showDropDown="false" showErrorMessage="false" showInputMessage="false" sqref="G6:G30" type="decimal">
      <formula1>0.01</formula1>
      <formula2>1</formula2>
    </dataValidation>
    <dataValidation allowBlank="true" errorStyle="stop" operator="greaterThanOrEqual" showDropDown="false" showErrorMessage="false" showInputMessage="false" sqref="H6:H30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6" min="5" style="0" width="8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22" min="11" style="0" width="8.5"/>
    <col collapsed="false" customWidth="true" hidden="false" outlineLevel="0" max="23" min="23" style="0" width="11"/>
    <col collapsed="false" customWidth="true" hidden="false" outlineLevel="0" max="24" min="24" style="0" width="15"/>
    <col collapsed="false" customWidth="true" hidden="false" outlineLevel="0" max="25" min="25" style="0" width="11"/>
    <col collapsed="false" customWidth="true" hidden="false" outlineLevel="0" max="26" min="26" style="0" width="10"/>
  </cols>
  <sheetData>
    <row r="1" customFormat="false" ht="30" hidden="false" customHeight="true" outlineLevel="0" collapsed="false">
      <c r="B1" s="17" t="s">
        <v>123</v>
      </c>
    </row>
    <row r="2" customFormat="false" ht="23.85" hidden="false" customHeight="false" outlineLevel="0" collapsed="false">
      <c r="B2" s="19" t="s">
        <v>124</v>
      </c>
      <c r="C2" s="33" t="n">
        <f aca="false">Indstillinger!$C$13-SUM($X$6:$X$30)</f>
        <v>28500000</v>
      </c>
      <c r="D2" s="20" t="s">
        <v>125</v>
      </c>
    </row>
    <row r="3" customFormat="false" ht="23.85" hidden="false" customHeight="false" outlineLevel="0" collapsed="false">
      <c r="B3" s="19" t="s">
        <v>126</v>
      </c>
      <c r="C3" s="24" t="n">
        <f aca="false">IFERROR(C2/SUM($Y$6:$Y$30),0)</f>
        <v>3821335.79150256</v>
      </c>
      <c r="D3" s="20" t="s">
        <v>127</v>
      </c>
    </row>
    <row r="4" customFormat="false" ht="15" hidden="false" customHeight="false" outlineLevel="0" collapsed="false">
      <c r="J4" s="39" t="s">
        <v>128</v>
      </c>
      <c r="K4" s="40" t="n">
        <f aca="false">INDEX(Indstillinger!$D$27:$D$38,1)</f>
        <v>0.07</v>
      </c>
      <c r="L4" s="40" t="n">
        <f aca="false">INDEX(Indstillinger!$D$27:$D$38,2)</f>
        <v>0.08</v>
      </c>
      <c r="M4" s="40" t="n">
        <f aca="false">INDEX(Indstillinger!$D$27:$D$38,3)</f>
        <v>0.09</v>
      </c>
      <c r="N4" s="40" t="n">
        <f aca="false">INDEX(Indstillinger!$D$27:$D$38,4)</f>
        <v>0.08</v>
      </c>
      <c r="O4" s="40" t="n">
        <f aca="false">INDEX(Indstillinger!$D$27:$D$38,5)</f>
        <v>0.09</v>
      </c>
      <c r="P4" s="40" t="n">
        <f aca="false">INDEX(Indstillinger!$D$27:$D$38,6)</f>
        <v>0.09</v>
      </c>
      <c r="Q4" s="40" t="n">
        <f aca="false">INDEX(Indstillinger!$D$27:$D$38,7)</f>
        <v>0.04</v>
      </c>
      <c r="R4" s="40" t="n">
        <f aca="false">INDEX(Indstillinger!$D$27:$D$38,8)</f>
        <v>0.07</v>
      </c>
      <c r="S4" s="40" t="n">
        <f aca="false">INDEX(Indstillinger!$D$27:$D$38,9)</f>
        <v>0.09</v>
      </c>
      <c r="T4" s="40" t="n">
        <f aca="false">INDEX(Indstillinger!$D$27:$D$38,10)</f>
        <v>0.09</v>
      </c>
      <c r="U4" s="40" t="n">
        <f aca="false">INDEX(Indstillinger!$D$27:$D$38,11)</f>
        <v>0.1</v>
      </c>
      <c r="V4" s="40" t="n">
        <f aca="false">INDEX(Indstillinger!$D$27:$D$38,12)</f>
        <v>0.11</v>
      </c>
    </row>
    <row r="5" customFormat="false" ht="36" hidden="false" customHeight="true" outlineLevel="0" collapsed="false">
      <c r="B5" s="26" t="s">
        <v>105</v>
      </c>
      <c r="C5" s="26" t="s">
        <v>129</v>
      </c>
      <c r="D5" s="26" t="s">
        <v>88</v>
      </c>
      <c r="E5" s="26" t="s">
        <v>130</v>
      </c>
      <c r="F5" s="26" t="s">
        <v>131</v>
      </c>
      <c r="G5" s="26" t="s">
        <v>132</v>
      </c>
      <c r="H5" s="26" t="s">
        <v>133</v>
      </c>
      <c r="I5" s="26" t="s">
        <v>134</v>
      </c>
      <c r="J5" s="26" t="s">
        <v>135</v>
      </c>
      <c r="K5" s="26" t="s">
        <v>136</v>
      </c>
      <c r="L5" s="26" t="s">
        <v>137</v>
      </c>
      <c r="M5" s="26" t="s">
        <v>138</v>
      </c>
      <c r="N5" s="26" t="s">
        <v>139</v>
      </c>
      <c r="O5" s="26" t="s">
        <v>76</v>
      </c>
      <c r="P5" s="26" t="s">
        <v>140</v>
      </c>
      <c r="Q5" s="26" t="s">
        <v>141</v>
      </c>
      <c r="R5" s="26" t="s">
        <v>142</v>
      </c>
      <c r="S5" s="26" t="s">
        <v>143</v>
      </c>
      <c r="T5" s="26" t="s">
        <v>144</v>
      </c>
      <c r="U5" s="26" t="s">
        <v>145</v>
      </c>
      <c r="V5" s="26" t="s">
        <v>146</v>
      </c>
      <c r="W5" s="26" t="s">
        <v>147</v>
      </c>
      <c r="X5" s="26" t="s">
        <v>29</v>
      </c>
      <c r="Y5" s="26" t="s">
        <v>148</v>
      </c>
      <c r="Z5" s="26" t="s">
        <v>149</v>
      </c>
    </row>
    <row r="6" customFormat="false" ht="15" hidden="false" customHeight="false" outlineLevel="0" collapsed="false">
      <c r="B6" s="12" t="str">
        <f aca="false">IF(Sælgere!$B$6="","",Sælgere!$B$6)</f>
        <v>Anna Holm</v>
      </c>
      <c r="C6" s="32" t="n">
        <f aca="false">IF($B6="","",IFERROR(IF(INDEX(Territorier!$C$6:$C$15,MATCH(Sælgere!$C$6,Territorier!$B$6:$B$15,0))="",1,INDEX(Territorier!$C$6:$C$15,MATCH(Sælgere!$C$6,Territorier!$B$6:$B$15,0))/100),1))</f>
        <v>1.2</v>
      </c>
      <c r="D6" s="12" t="str">
        <f aca="false">IF($B6="","",Sælgere!$C$6&amp;"")</f>
        <v>Hovedstaden</v>
      </c>
      <c r="E6" s="41" t="n">
        <f aca="false">IF($B6="","",IF(N(Sælgere!$D$6)&lt;1,1,Sælgere!$D$6))</f>
        <v>1</v>
      </c>
      <c r="F6" s="41" t="n">
        <f aca="false">IF($B6="","",IF(N(Sælgere!$F$6)&lt;1,12,Sælgere!$F$6))</f>
        <v>12</v>
      </c>
      <c r="G6" s="42" t="n">
        <f aca="false">IF($B6="",0,IF(Sælgere!$G$6="",1,N(Sælgere!$G$6)))</f>
        <v>1</v>
      </c>
      <c r="H6" s="41" t="n">
        <f aca="false">IF($B6="","",N(Sælgere!$E$6))</f>
        <v>0</v>
      </c>
      <c r="I6" s="41" t="n">
        <f aca="false">IF(AND($B6&lt;&gt;"",ISNA(MATCH(Sælgere!$C$6,Territorier!$B$6:$B$15,0))),1,0)</f>
        <v>0</v>
      </c>
      <c r="J6" s="41" t="n">
        <f aca="false">IF(AND($B6&lt;&gt;"",N(Sælgere!$H$6)&gt;0),1,0)</f>
        <v>0</v>
      </c>
      <c r="K6" s="40" t="n">
        <f aca="false">IF($B6="",0,IF(OR(1&lt;$E6,1&gt;$F6),0,INDEX(Indstillinger!$D$27:$D$38,1)*$G6*$C6*IF($H6=0,1,IF($H6+1-$E6&gt;6,1,INDEX(Indstillinger!$C$18:$C$23,$H6+1-$E6)))))</f>
        <v>0.084</v>
      </c>
      <c r="L6" s="40" t="n">
        <f aca="false">IF($B6="",0,IF(OR(2&lt;$E6,2&gt;$F6),0,INDEX(Indstillinger!$D$27:$D$38,2)*$G6*$C6*IF($H6=0,1,IF($H6+2-$E6&gt;6,1,INDEX(Indstillinger!$C$18:$C$23,$H6+2-$E6)))))</f>
        <v>0.096</v>
      </c>
      <c r="M6" s="40" t="n">
        <f aca="false">IF($B6="",0,IF(OR(3&lt;$E6,3&gt;$F6),0,INDEX(Indstillinger!$D$27:$D$38,3)*$G6*$C6*IF($H6=0,1,IF($H6+3-$E6&gt;6,1,INDEX(Indstillinger!$C$18:$C$23,$H6+3-$E6)))))</f>
        <v>0.108</v>
      </c>
      <c r="N6" s="40" t="n">
        <f aca="false">IF($B6="",0,IF(OR(4&lt;$E6,4&gt;$F6),0,INDEX(Indstillinger!$D$27:$D$38,4)*$G6*$C6*IF($H6=0,1,IF($H6+4-$E6&gt;6,1,INDEX(Indstillinger!$C$18:$C$23,$H6+4-$E6)))))</f>
        <v>0.096</v>
      </c>
      <c r="O6" s="40" t="n">
        <f aca="false">IF($B6="",0,IF(OR(5&lt;$E6,5&gt;$F6),0,INDEX(Indstillinger!$D$27:$D$38,5)*$G6*$C6*IF($H6=0,1,IF($H6+5-$E6&gt;6,1,INDEX(Indstillinger!$C$18:$C$23,$H6+5-$E6)))))</f>
        <v>0.108</v>
      </c>
      <c r="P6" s="40" t="n">
        <f aca="false">IF($B6="",0,IF(OR(6&lt;$E6,6&gt;$F6),0,INDEX(Indstillinger!$D$27:$D$38,6)*$G6*$C6*IF($H6=0,1,IF($H6+6-$E6&gt;6,1,INDEX(Indstillinger!$C$18:$C$23,$H6+6-$E6)))))</f>
        <v>0.108</v>
      </c>
      <c r="Q6" s="40" t="n">
        <f aca="false">IF($B6="",0,IF(OR(7&lt;$E6,7&gt;$F6),0,INDEX(Indstillinger!$D$27:$D$38,7)*$G6*$C6*IF($H6=0,1,IF($H6+7-$E6&gt;6,1,INDEX(Indstillinger!$C$18:$C$23,$H6+7-$E6)))))</f>
        <v>0.048</v>
      </c>
      <c r="R6" s="40" t="n">
        <f aca="false">IF($B6="",0,IF(OR(8&lt;$E6,8&gt;$F6),0,INDEX(Indstillinger!$D$27:$D$38,8)*$G6*$C6*IF($H6=0,1,IF($H6+8-$E6&gt;6,1,INDEX(Indstillinger!$C$18:$C$23,$H6+8-$E6)))))</f>
        <v>0.084</v>
      </c>
      <c r="S6" s="40" t="n">
        <f aca="false">IF($B6="",0,IF(OR(9&lt;$E6,9&gt;$F6),0,INDEX(Indstillinger!$D$27:$D$38,9)*$G6*$C6*IF($H6=0,1,IF($H6+9-$E6&gt;6,1,INDEX(Indstillinger!$C$18:$C$23,$H6+9-$E6)))))</f>
        <v>0.108</v>
      </c>
      <c r="T6" s="40" t="n">
        <f aca="false">IF($B6="",0,IF(OR(10&lt;$E6,10&gt;$F6),0,INDEX(Indstillinger!$D$27:$D$38,10)*$G6*$C6*IF($H6=0,1,IF($H6+10-$E6&gt;6,1,INDEX(Indstillinger!$C$18:$C$23,$H6+10-$E6)))))</f>
        <v>0.108</v>
      </c>
      <c r="U6" s="40" t="n">
        <f aca="false">IF($B6="",0,IF(OR(11&lt;$E6,11&gt;$F6),0,INDEX(Indstillinger!$D$27:$D$38,11)*$G6*$C6*IF($H6=0,1,IF($H6+11-$E6&gt;6,1,INDEX(Indstillinger!$C$18:$C$23,$H6+11-$E6)))))</f>
        <v>0.12</v>
      </c>
      <c r="V6" s="40" t="n">
        <f aca="false">IF($B6="",0,IF(OR(12&lt;$E6,12&gt;$F6),0,INDEX(Indstillinger!$D$27:$D$38,12)*$G6*$C6*IF($H6=0,1,IF($H6+12-$E6&gt;6,1,INDEX(Indstillinger!$C$18:$C$23,$H6+12-$E6)))))</f>
        <v>0.132</v>
      </c>
      <c r="W6" s="40" t="n">
        <f aca="false">SUM(K6:V6)</f>
        <v>1.2</v>
      </c>
      <c r="X6" s="33" t="n">
        <f aca="false">IF($J6=1,N(Sælgere!$H$6),0)</f>
        <v>0</v>
      </c>
      <c r="Y6" s="40" t="n">
        <f aca="false">IF($J6=1,0,W6)</f>
        <v>1.2</v>
      </c>
      <c r="Z6" s="32" t="n">
        <f aca="false">IF(OR($B6="",$J6=1),0,SUMPRODUCT(--(K6:V6&gt;0),$K$4:$V$4)*$G6)</f>
        <v>1</v>
      </c>
    </row>
    <row r="7" customFormat="false" ht="15" hidden="false" customHeight="false" outlineLevel="0" collapsed="false">
      <c r="B7" s="12" t="str">
        <f aca="false">IF(Sælgere!$B$7="","",Sælgere!$B$7)</f>
        <v>Bo Jensen</v>
      </c>
      <c r="C7" s="32" t="n">
        <f aca="false">IF($B7="","",IFERROR(IF(INDEX(Territorier!$C$6:$C$15,MATCH(Sælgere!$C$7,Territorier!$B$6:$B$15,0))="",1,INDEX(Territorier!$C$6:$C$15,MATCH(Sælgere!$C$7,Territorier!$B$6:$B$15,0))/100),1))</f>
        <v>1.2</v>
      </c>
      <c r="D7" s="12" t="str">
        <f aca="false">IF($B7="","",Sælgere!$C$7&amp;"")</f>
        <v>Hovedstaden</v>
      </c>
      <c r="E7" s="41" t="n">
        <f aca="false">IF($B7="","",IF(N(Sælgere!$D$7)&lt;1,1,Sælgere!$D$7))</f>
        <v>1</v>
      </c>
      <c r="F7" s="41" t="n">
        <f aca="false">IF($B7="","",IF(N(Sælgere!$F$7)&lt;1,12,Sælgere!$F$7))</f>
        <v>12</v>
      </c>
      <c r="G7" s="42" t="n">
        <f aca="false">IF($B7="",0,IF(Sælgere!$G$7="",1,N(Sælgere!$G$7)))</f>
        <v>1</v>
      </c>
      <c r="H7" s="41" t="n">
        <f aca="false">IF($B7="","",N(Sælgere!$E$7))</f>
        <v>0</v>
      </c>
      <c r="I7" s="41" t="n">
        <f aca="false">IF(AND($B7&lt;&gt;"",ISNA(MATCH(Sælgere!$C$7,Territorier!$B$6:$B$15,0))),1,0)</f>
        <v>0</v>
      </c>
      <c r="J7" s="41" t="n">
        <f aca="false">IF(AND($B7&lt;&gt;"",N(Sælgere!$H$7)&gt;0),1,0)</f>
        <v>0</v>
      </c>
      <c r="K7" s="40" t="n">
        <f aca="false">IF($B7="",0,IF(OR(1&lt;$E7,1&gt;$F7),0,INDEX(Indstillinger!$D$27:$D$38,1)*$G7*$C7*IF($H7=0,1,IF($H7+1-$E7&gt;6,1,INDEX(Indstillinger!$C$18:$C$23,$H7+1-$E7)))))</f>
        <v>0.084</v>
      </c>
      <c r="L7" s="40" t="n">
        <f aca="false">IF($B7="",0,IF(OR(2&lt;$E7,2&gt;$F7),0,INDEX(Indstillinger!$D$27:$D$38,2)*$G7*$C7*IF($H7=0,1,IF($H7+2-$E7&gt;6,1,INDEX(Indstillinger!$C$18:$C$23,$H7+2-$E7)))))</f>
        <v>0.096</v>
      </c>
      <c r="M7" s="40" t="n">
        <f aca="false">IF($B7="",0,IF(OR(3&lt;$E7,3&gt;$F7),0,INDEX(Indstillinger!$D$27:$D$38,3)*$G7*$C7*IF($H7=0,1,IF($H7+3-$E7&gt;6,1,INDEX(Indstillinger!$C$18:$C$23,$H7+3-$E7)))))</f>
        <v>0.108</v>
      </c>
      <c r="N7" s="40" t="n">
        <f aca="false">IF($B7="",0,IF(OR(4&lt;$E7,4&gt;$F7),0,INDEX(Indstillinger!$D$27:$D$38,4)*$G7*$C7*IF($H7=0,1,IF($H7+4-$E7&gt;6,1,INDEX(Indstillinger!$C$18:$C$23,$H7+4-$E7)))))</f>
        <v>0.096</v>
      </c>
      <c r="O7" s="40" t="n">
        <f aca="false">IF($B7="",0,IF(OR(5&lt;$E7,5&gt;$F7),0,INDEX(Indstillinger!$D$27:$D$38,5)*$G7*$C7*IF($H7=0,1,IF($H7+5-$E7&gt;6,1,INDEX(Indstillinger!$C$18:$C$23,$H7+5-$E7)))))</f>
        <v>0.108</v>
      </c>
      <c r="P7" s="40" t="n">
        <f aca="false">IF($B7="",0,IF(OR(6&lt;$E7,6&gt;$F7),0,INDEX(Indstillinger!$D$27:$D$38,6)*$G7*$C7*IF($H7=0,1,IF($H7+6-$E7&gt;6,1,INDEX(Indstillinger!$C$18:$C$23,$H7+6-$E7)))))</f>
        <v>0.108</v>
      </c>
      <c r="Q7" s="40" t="n">
        <f aca="false">IF($B7="",0,IF(OR(7&lt;$E7,7&gt;$F7),0,INDEX(Indstillinger!$D$27:$D$38,7)*$G7*$C7*IF($H7=0,1,IF($H7+7-$E7&gt;6,1,INDEX(Indstillinger!$C$18:$C$23,$H7+7-$E7)))))</f>
        <v>0.048</v>
      </c>
      <c r="R7" s="40" t="n">
        <f aca="false">IF($B7="",0,IF(OR(8&lt;$E7,8&gt;$F7),0,INDEX(Indstillinger!$D$27:$D$38,8)*$G7*$C7*IF($H7=0,1,IF($H7+8-$E7&gt;6,1,INDEX(Indstillinger!$C$18:$C$23,$H7+8-$E7)))))</f>
        <v>0.084</v>
      </c>
      <c r="S7" s="40" t="n">
        <f aca="false">IF($B7="",0,IF(OR(9&lt;$E7,9&gt;$F7),0,INDEX(Indstillinger!$D$27:$D$38,9)*$G7*$C7*IF($H7=0,1,IF($H7+9-$E7&gt;6,1,INDEX(Indstillinger!$C$18:$C$23,$H7+9-$E7)))))</f>
        <v>0.108</v>
      </c>
      <c r="T7" s="40" t="n">
        <f aca="false">IF($B7="",0,IF(OR(10&lt;$E7,10&gt;$F7),0,INDEX(Indstillinger!$D$27:$D$38,10)*$G7*$C7*IF($H7=0,1,IF($H7+10-$E7&gt;6,1,INDEX(Indstillinger!$C$18:$C$23,$H7+10-$E7)))))</f>
        <v>0.108</v>
      </c>
      <c r="U7" s="40" t="n">
        <f aca="false">IF($B7="",0,IF(OR(11&lt;$E7,11&gt;$F7),0,INDEX(Indstillinger!$D$27:$D$38,11)*$G7*$C7*IF($H7=0,1,IF($H7+11-$E7&gt;6,1,INDEX(Indstillinger!$C$18:$C$23,$H7+11-$E7)))))</f>
        <v>0.12</v>
      </c>
      <c r="V7" s="40" t="n">
        <f aca="false">IF($B7="",0,IF(OR(12&lt;$E7,12&gt;$F7),0,INDEX(Indstillinger!$D$27:$D$38,12)*$G7*$C7*IF($H7=0,1,IF($H7+12-$E7&gt;6,1,INDEX(Indstillinger!$C$18:$C$23,$H7+12-$E7)))))</f>
        <v>0.132</v>
      </c>
      <c r="W7" s="40" t="n">
        <f aca="false">SUM(K7:V7)</f>
        <v>1.2</v>
      </c>
      <c r="X7" s="33" t="n">
        <f aca="false">IF($J7=1,N(Sælgere!$H$7),0)</f>
        <v>0</v>
      </c>
      <c r="Y7" s="40" t="n">
        <f aca="false">IF($J7=1,0,W7)</f>
        <v>1.2</v>
      </c>
      <c r="Z7" s="32" t="n">
        <f aca="false">IF(OR($B7="",$J7=1),0,SUMPRODUCT(--(K7:V7&gt;0),$K$4:$V$4)*$G7)</f>
        <v>1</v>
      </c>
    </row>
    <row r="8" customFormat="false" ht="15" hidden="false" customHeight="false" outlineLevel="0" collapsed="false">
      <c r="B8" s="12" t="str">
        <f aca="false">IF(Sælgere!$B$8="","",Sælgere!$B$8)</f>
        <v>Camilla Nørgaard</v>
      </c>
      <c r="C8" s="32" t="n">
        <f aca="false">IF($B8="","",IFERROR(IF(INDEX(Territorier!$C$6:$C$15,MATCH(Sælgere!$C$8,Territorier!$B$6:$B$15,0))="",1,INDEX(Territorier!$C$6:$C$15,MATCH(Sælgere!$C$8,Territorier!$B$6:$B$15,0))/100),1))</f>
        <v>1</v>
      </c>
      <c r="D8" s="12" t="str">
        <f aca="false">IF($B8="","",Sælgere!$C$8&amp;"")</f>
        <v>Jylland</v>
      </c>
      <c r="E8" s="41" t="n">
        <f aca="false">IF($B8="","",IF(N(Sælgere!$D$8)&lt;1,1,Sælgere!$D$8))</f>
        <v>1</v>
      </c>
      <c r="F8" s="41" t="n">
        <f aca="false">IF($B8="","",IF(N(Sælgere!$F$8)&lt;1,12,Sælgere!$F$8))</f>
        <v>12</v>
      </c>
      <c r="G8" s="42" t="n">
        <f aca="false">IF($B8="",0,IF(Sælgere!$G$8="",1,N(Sælgere!$G$8)))</f>
        <v>1</v>
      </c>
      <c r="H8" s="41" t="n">
        <f aca="false">IF($B8="","",N(Sælgere!$E$8))</f>
        <v>0</v>
      </c>
      <c r="I8" s="41" t="n">
        <f aca="false">IF(AND($B8&lt;&gt;"",ISNA(MATCH(Sælgere!$C$8,Territorier!$B$6:$B$15,0))),1,0)</f>
        <v>0</v>
      </c>
      <c r="J8" s="41" t="n">
        <f aca="false">IF(AND($B8&lt;&gt;"",N(Sælgere!$H$8)&gt;0),1,0)</f>
        <v>0</v>
      </c>
      <c r="K8" s="40" t="n">
        <f aca="false">IF($B8="",0,IF(OR(1&lt;$E8,1&gt;$F8),0,INDEX(Indstillinger!$D$27:$D$38,1)*$G8*$C8*IF($H8=0,1,IF($H8+1-$E8&gt;6,1,INDEX(Indstillinger!$C$18:$C$23,$H8+1-$E8)))))</f>
        <v>0.07</v>
      </c>
      <c r="L8" s="40" t="n">
        <f aca="false">IF($B8="",0,IF(OR(2&lt;$E8,2&gt;$F8),0,INDEX(Indstillinger!$D$27:$D$38,2)*$G8*$C8*IF($H8=0,1,IF($H8+2-$E8&gt;6,1,INDEX(Indstillinger!$C$18:$C$23,$H8+2-$E8)))))</f>
        <v>0.08</v>
      </c>
      <c r="M8" s="40" t="n">
        <f aca="false">IF($B8="",0,IF(OR(3&lt;$E8,3&gt;$F8),0,INDEX(Indstillinger!$D$27:$D$38,3)*$G8*$C8*IF($H8=0,1,IF($H8+3-$E8&gt;6,1,INDEX(Indstillinger!$C$18:$C$23,$H8+3-$E8)))))</f>
        <v>0.09</v>
      </c>
      <c r="N8" s="40" t="n">
        <f aca="false">IF($B8="",0,IF(OR(4&lt;$E8,4&gt;$F8),0,INDEX(Indstillinger!$D$27:$D$38,4)*$G8*$C8*IF($H8=0,1,IF($H8+4-$E8&gt;6,1,INDEX(Indstillinger!$C$18:$C$23,$H8+4-$E8)))))</f>
        <v>0.08</v>
      </c>
      <c r="O8" s="40" t="n">
        <f aca="false">IF($B8="",0,IF(OR(5&lt;$E8,5&gt;$F8),0,INDEX(Indstillinger!$D$27:$D$38,5)*$G8*$C8*IF($H8=0,1,IF($H8+5-$E8&gt;6,1,INDEX(Indstillinger!$C$18:$C$23,$H8+5-$E8)))))</f>
        <v>0.09</v>
      </c>
      <c r="P8" s="40" t="n">
        <f aca="false">IF($B8="",0,IF(OR(6&lt;$E8,6&gt;$F8),0,INDEX(Indstillinger!$D$27:$D$38,6)*$G8*$C8*IF($H8=0,1,IF($H8+6-$E8&gt;6,1,INDEX(Indstillinger!$C$18:$C$23,$H8+6-$E8)))))</f>
        <v>0.09</v>
      </c>
      <c r="Q8" s="40" t="n">
        <f aca="false">IF($B8="",0,IF(OR(7&lt;$E8,7&gt;$F8),0,INDEX(Indstillinger!$D$27:$D$38,7)*$G8*$C8*IF($H8=0,1,IF($H8+7-$E8&gt;6,1,INDEX(Indstillinger!$C$18:$C$23,$H8+7-$E8)))))</f>
        <v>0.04</v>
      </c>
      <c r="R8" s="40" t="n">
        <f aca="false">IF($B8="",0,IF(OR(8&lt;$E8,8&gt;$F8),0,INDEX(Indstillinger!$D$27:$D$38,8)*$G8*$C8*IF($H8=0,1,IF($H8+8-$E8&gt;6,1,INDEX(Indstillinger!$C$18:$C$23,$H8+8-$E8)))))</f>
        <v>0.07</v>
      </c>
      <c r="S8" s="40" t="n">
        <f aca="false">IF($B8="",0,IF(OR(9&lt;$E8,9&gt;$F8),0,INDEX(Indstillinger!$D$27:$D$38,9)*$G8*$C8*IF($H8=0,1,IF($H8+9-$E8&gt;6,1,INDEX(Indstillinger!$C$18:$C$23,$H8+9-$E8)))))</f>
        <v>0.09</v>
      </c>
      <c r="T8" s="40" t="n">
        <f aca="false">IF($B8="",0,IF(OR(10&lt;$E8,10&gt;$F8),0,INDEX(Indstillinger!$D$27:$D$38,10)*$G8*$C8*IF($H8=0,1,IF($H8+10-$E8&gt;6,1,INDEX(Indstillinger!$C$18:$C$23,$H8+10-$E8)))))</f>
        <v>0.09</v>
      </c>
      <c r="U8" s="40" t="n">
        <f aca="false">IF($B8="",0,IF(OR(11&lt;$E8,11&gt;$F8),0,INDEX(Indstillinger!$D$27:$D$38,11)*$G8*$C8*IF($H8=0,1,IF($H8+11-$E8&gt;6,1,INDEX(Indstillinger!$C$18:$C$23,$H8+11-$E8)))))</f>
        <v>0.1</v>
      </c>
      <c r="V8" s="40" t="n">
        <f aca="false">IF($B8="",0,IF(OR(12&lt;$E8,12&gt;$F8),0,INDEX(Indstillinger!$D$27:$D$38,12)*$G8*$C8*IF($H8=0,1,IF($H8+12-$E8&gt;6,1,INDEX(Indstillinger!$C$18:$C$23,$H8+12-$E8)))))</f>
        <v>0.11</v>
      </c>
      <c r="W8" s="40" t="n">
        <f aca="false">SUM(K8:V8)</f>
        <v>1</v>
      </c>
      <c r="X8" s="33" t="n">
        <f aca="false">IF($J8=1,N(Sælgere!$H$8),0)</f>
        <v>0</v>
      </c>
      <c r="Y8" s="40" t="n">
        <f aca="false">IF($J8=1,0,W8)</f>
        <v>1</v>
      </c>
      <c r="Z8" s="32" t="n">
        <f aca="false">IF(OR($B8="",$J8=1),0,SUMPRODUCT(--(K8:V8&gt;0),$K$4:$V$4)*$G8)</f>
        <v>1</v>
      </c>
    </row>
    <row r="9" customFormat="false" ht="15" hidden="false" customHeight="false" outlineLevel="0" collapsed="false">
      <c r="B9" s="12" t="str">
        <f aca="false">IF(Sælgere!$B$9="","",Sælgere!$B$9)</f>
        <v>Dennis Lund</v>
      </c>
      <c r="C9" s="32" t="n">
        <f aca="false">IF($B9="","",IFERROR(IF(INDEX(Territorier!$C$6:$C$15,MATCH(Sælgere!$C$9,Territorier!$B$6:$B$15,0))="",1,INDEX(Territorier!$C$6:$C$15,MATCH(Sælgere!$C$9,Territorier!$B$6:$B$15,0))/100),1))</f>
        <v>1</v>
      </c>
      <c r="D9" s="12" t="str">
        <f aca="false">IF($B9="","",Sælgere!$C$9&amp;"")</f>
        <v>Jylland</v>
      </c>
      <c r="E9" s="41" t="n">
        <f aca="false">IF($B9="","",IF(N(Sælgere!$D$9)&lt;1,1,Sælgere!$D$9))</f>
        <v>1</v>
      </c>
      <c r="F9" s="41" t="n">
        <f aca="false">IF($B9="","",IF(N(Sælgere!$F$9)&lt;1,12,Sælgere!$F$9))</f>
        <v>12</v>
      </c>
      <c r="G9" s="42" t="n">
        <f aca="false">IF($B9="",0,IF(Sælgere!$G$9="",1,N(Sælgere!$G$9)))</f>
        <v>1</v>
      </c>
      <c r="H9" s="41" t="n">
        <f aca="false">IF($B9="","",N(Sælgere!$E$9))</f>
        <v>0</v>
      </c>
      <c r="I9" s="41" t="n">
        <f aca="false">IF(AND($B9&lt;&gt;"",ISNA(MATCH(Sælgere!$C$9,Territorier!$B$6:$B$15,0))),1,0)</f>
        <v>0</v>
      </c>
      <c r="J9" s="41" t="n">
        <f aca="false">IF(AND($B9&lt;&gt;"",N(Sælgere!$H$9)&gt;0),1,0)</f>
        <v>0</v>
      </c>
      <c r="K9" s="40" t="n">
        <f aca="false">IF($B9="",0,IF(OR(1&lt;$E9,1&gt;$F9),0,INDEX(Indstillinger!$D$27:$D$38,1)*$G9*$C9*IF($H9=0,1,IF($H9+1-$E9&gt;6,1,INDEX(Indstillinger!$C$18:$C$23,$H9+1-$E9)))))</f>
        <v>0.07</v>
      </c>
      <c r="L9" s="40" t="n">
        <f aca="false">IF($B9="",0,IF(OR(2&lt;$E9,2&gt;$F9),0,INDEX(Indstillinger!$D$27:$D$38,2)*$G9*$C9*IF($H9=0,1,IF($H9+2-$E9&gt;6,1,INDEX(Indstillinger!$C$18:$C$23,$H9+2-$E9)))))</f>
        <v>0.08</v>
      </c>
      <c r="M9" s="40" t="n">
        <f aca="false">IF($B9="",0,IF(OR(3&lt;$E9,3&gt;$F9),0,INDEX(Indstillinger!$D$27:$D$38,3)*$G9*$C9*IF($H9=0,1,IF($H9+3-$E9&gt;6,1,INDEX(Indstillinger!$C$18:$C$23,$H9+3-$E9)))))</f>
        <v>0.09</v>
      </c>
      <c r="N9" s="40" t="n">
        <f aca="false">IF($B9="",0,IF(OR(4&lt;$E9,4&gt;$F9),0,INDEX(Indstillinger!$D$27:$D$38,4)*$G9*$C9*IF($H9=0,1,IF($H9+4-$E9&gt;6,1,INDEX(Indstillinger!$C$18:$C$23,$H9+4-$E9)))))</f>
        <v>0.08</v>
      </c>
      <c r="O9" s="40" t="n">
        <f aca="false">IF($B9="",0,IF(OR(5&lt;$E9,5&gt;$F9),0,INDEX(Indstillinger!$D$27:$D$38,5)*$G9*$C9*IF($H9=0,1,IF($H9+5-$E9&gt;6,1,INDEX(Indstillinger!$C$18:$C$23,$H9+5-$E9)))))</f>
        <v>0.09</v>
      </c>
      <c r="P9" s="40" t="n">
        <f aca="false">IF($B9="",0,IF(OR(6&lt;$E9,6&gt;$F9),0,INDEX(Indstillinger!$D$27:$D$38,6)*$G9*$C9*IF($H9=0,1,IF($H9+6-$E9&gt;6,1,INDEX(Indstillinger!$C$18:$C$23,$H9+6-$E9)))))</f>
        <v>0.09</v>
      </c>
      <c r="Q9" s="40" t="n">
        <f aca="false">IF($B9="",0,IF(OR(7&lt;$E9,7&gt;$F9),0,INDEX(Indstillinger!$D$27:$D$38,7)*$G9*$C9*IF($H9=0,1,IF($H9+7-$E9&gt;6,1,INDEX(Indstillinger!$C$18:$C$23,$H9+7-$E9)))))</f>
        <v>0.04</v>
      </c>
      <c r="R9" s="40" t="n">
        <f aca="false">IF($B9="",0,IF(OR(8&lt;$E9,8&gt;$F9),0,INDEX(Indstillinger!$D$27:$D$38,8)*$G9*$C9*IF($H9=0,1,IF($H9+8-$E9&gt;6,1,INDEX(Indstillinger!$C$18:$C$23,$H9+8-$E9)))))</f>
        <v>0.07</v>
      </c>
      <c r="S9" s="40" t="n">
        <f aca="false">IF($B9="",0,IF(OR(9&lt;$E9,9&gt;$F9),0,INDEX(Indstillinger!$D$27:$D$38,9)*$G9*$C9*IF($H9=0,1,IF($H9+9-$E9&gt;6,1,INDEX(Indstillinger!$C$18:$C$23,$H9+9-$E9)))))</f>
        <v>0.09</v>
      </c>
      <c r="T9" s="40" t="n">
        <f aca="false">IF($B9="",0,IF(OR(10&lt;$E9,10&gt;$F9),0,INDEX(Indstillinger!$D$27:$D$38,10)*$G9*$C9*IF($H9=0,1,IF($H9+10-$E9&gt;6,1,INDEX(Indstillinger!$C$18:$C$23,$H9+10-$E9)))))</f>
        <v>0.09</v>
      </c>
      <c r="U9" s="40" t="n">
        <f aca="false">IF($B9="",0,IF(OR(11&lt;$E9,11&gt;$F9),0,INDEX(Indstillinger!$D$27:$D$38,11)*$G9*$C9*IF($H9=0,1,IF($H9+11-$E9&gt;6,1,INDEX(Indstillinger!$C$18:$C$23,$H9+11-$E9)))))</f>
        <v>0.1</v>
      </c>
      <c r="V9" s="40" t="n">
        <f aca="false">IF($B9="",0,IF(OR(12&lt;$E9,12&gt;$F9),0,INDEX(Indstillinger!$D$27:$D$38,12)*$G9*$C9*IF($H9=0,1,IF($H9+12-$E9&gt;6,1,INDEX(Indstillinger!$C$18:$C$23,$H9+12-$E9)))))</f>
        <v>0.11</v>
      </c>
      <c r="W9" s="40" t="n">
        <f aca="false">SUM(K9:V9)</f>
        <v>1</v>
      </c>
      <c r="X9" s="33" t="n">
        <f aca="false">IF($J9=1,N(Sælgere!$H$9),0)</f>
        <v>0</v>
      </c>
      <c r="Y9" s="40" t="n">
        <f aca="false">IF($J9=1,0,W9)</f>
        <v>1</v>
      </c>
      <c r="Z9" s="32" t="n">
        <f aca="false">IF(OR($B9="",$J9=1),0,SUMPRODUCT(--(K9:V9&gt;0),$K$4:$V$4)*$G9)</f>
        <v>1</v>
      </c>
    </row>
    <row r="10" customFormat="false" ht="15" hidden="false" customHeight="false" outlineLevel="0" collapsed="false">
      <c r="B10" s="12" t="str">
        <f aca="false">IF(Sælgere!$B$10="","",Sælgere!$B$10)</f>
        <v>Emma Krogh</v>
      </c>
      <c r="C10" s="32" t="n">
        <f aca="false">IF($B10="","",IFERROR(IF(INDEX(Territorier!$C$6:$C$15,MATCH(Sælgere!$C$10,Territorier!$B$6:$B$15,0))="",1,INDEX(Territorier!$C$6:$C$15,MATCH(Sælgere!$C$10,Territorier!$B$6:$B$15,0))/100),1))</f>
        <v>0.85</v>
      </c>
      <c r="D10" s="12" t="str">
        <f aca="false">IF($B10="","",Sælgere!$C$10&amp;"")</f>
        <v>Fyn og Sjælland</v>
      </c>
      <c r="E10" s="41" t="n">
        <f aca="false">IF($B10="","",IF(N(Sælgere!$D$10)&lt;1,1,Sælgere!$D$10))</f>
        <v>1</v>
      </c>
      <c r="F10" s="41" t="n">
        <f aca="false">IF($B10="","",IF(N(Sælgere!$F$10)&lt;1,12,Sælgere!$F$10))</f>
        <v>9</v>
      </c>
      <c r="G10" s="42" t="n">
        <f aca="false">IF($B10="",0,IF(Sælgere!$G$10="",1,N(Sælgere!$G$10)))</f>
        <v>1</v>
      </c>
      <c r="H10" s="41" t="n">
        <f aca="false">IF($B10="","",N(Sælgere!$E$10))</f>
        <v>0</v>
      </c>
      <c r="I10" s="41" t="n">
        <f aca="false">IF(AND($B10&lt;&gt;"",ISNA(MATCH(Sælgere!$C$10,Territorier!$B$6:$B$15,0))),1,0)</f>
        <v>0</v>
      </c>
      <c r="J10" s="41" t="n">
        <f aca="false">IF(AND($B10&lt;&gt;"",N(Sælgere!$H$10)&gt;0),1,0)</f>
        <v>0</v>
      </c>
      <c r="K10" s="40" t="n">
        <f aca="false">IF($B10="",0,IF(OR(1&lt;$E10,1&gt;$F10),0,INDEX(Indstillinger!$D$27:$D$38,1)*$G10*$C10*IF($H10=0,1,IF($H10+1-$E10&gt;6,1,INDEX(Indstillinger!$C$18:$C$23,$H10+1-$E10)))))</f>
        <v>0.0595</v>
      </c>
      <c r="L10" s="40" t="n">
        <f aca="false">IF($B10="",0,IF(OR(2&lt;$E10,2&gt;$F10),0,INDEX(Indstillinger!$D$27:$D$38,2)*$G10*$C10*IF($H10=0,1,IF($H10+2-$E10&gt;6,1,INDEX(Indstillinger!$C$18:$C$23,$H10+2-$E10)))))</f>
        <v>0.068</v>
      </c>
      <c r="M10" s="40" t="n">
        <f aca="false">IF($B10="",0,IF(OR(3&lt;$E10,3&gt;$F10),0,INDEX(Indstillinger!$D$27:$D$38,3)*$G10*$C10*IF($H10=0,1,IF($H10+3-$E10&gt;6,1,INDEX(Indstillinger!$C$18:$C$23,$H10+3-$E10)))))</f>
        <v>0.0765</v>
      </c>
      <c r="N10" s="40" t="n">
        <f aca="false">IF($B10="",0,IF(OR(4&lt;$E10,4&gt;$F10),0,INDEX(Indstillinger!$D$27:$D$38,4)*$G10*$C10*IF($H10=0,1,IF($H10+4-$E10&gt;6,1,INDEX(Indstillinger!$C$18:$C$23,$H10+4-$E10)))))</f>
        <v>0.068</v>
      </c>
      <c r="O10" s="40" t="n">
        <f aca="false">IF($B10="",0,IF(OR(5&lt;$E10,5&gt;$F10),0,INDEX(Indstillinger!$D$27:$D$38,5)*$G10*$C10*IF($H10=0,1,IF($H10+5-$E10&gt;6,1,INDEX(Indstillinger!$C$18:$C$23,$H10+5-$E10)))))</f>
        <v>0.0765</v>
      </c>
      <c r="P10" s="40" t="n">
        <f aca="false">IF($B10="",0,IF(OR(6&lt;$E10,6&gt;$F10),0,INDEX(Indstillinger!$D$27:$D$38,6)*$G10*$C10*IF($H10=0,1,IF($H10+6-$E10&gt;6,1,INDEX(Indstillinger!$C$18:$C$23,$H10+6-$E10)))))</f>
        <v>0.0765</v>
      </c>
      <c r="Q10" s="40" t="n">
        <f aca="false">IF($B10="",0,IF(OR(7&lt;$E10,7&gt;$F10),0,INDEX(Indstillinger!$D$27:$D$38,7)*$G10*$C10*IF($H10=0,1,IF($H10+7-$E10&gt;6,1,INDEX(Indstillinger!$C$18:$C$23,$H10+7-$E10)))))</f>
        <v>0.034</v>
      </c>
      <c r="R10" s="40" t="n">
        <f aca="false">IF($B10="",0,IF(OR(8&lt;$E10,8&gt;$F10),0,INDEX(Indstillinger!$D$27:$D$38,8)*$G10*$C10*IF($H10=0,1,IF($H10+8-$E10&gt;6,1,INDEX(Indstillinger!$C$18:$C$23,$H10+8-$E10)))))</f>
        <v>0.0595</v>
      </c>
      <c r="S10" s="40" t="n">
        <f aca="false">IF($B10="",0,IF(OR(9&lt;$E10,9&gt;$F10),0,INDEX(Indstillinger!$D$27:$D$38,9)*$G10*$C10*IF($H10=0,1,IF($H10+9-$E10&gt;6,1,INDEX(Indstillinger!$C$18:$C$23,$H10+9-$E10)))))</f>
        <v>0.0765</v>
      </c>
      <c r="T10" s="40" t="n">
        <f aca="false">IF($B10="",0,IF(OR(10&lt;$E10,10&gt;$F10),0,INDEX(Indstillinger!$D$27:$D$38,10)*$G10*$C10*IF($H10=0,1,IF($H10+10-$E10&gt;6,1,INDEX(Indstillinger!$C$18:$C$23,$H10+10-$E10)))))</f>
        <v>0</v>
      </c>
      <c r="U10" s="40" t="n">
        <f aca="false">IF($B10="",0,IF(OR(11&lt;$E10,11&gt;$F10),0,INDEX(Indstillinger!$D$27:$D$38,11)*$G10*$C10*IF($H10=0,1,IF($H10+11-$E10&gt;6,1,INDEX(Indstillinger!$C$18:$C$23,$H10+11-$E10)))))</f>
        <v>0</v>
      </c>
      <c r="V10" s="40" t="n">
        <f aca="false">IF($B10="",0,IF(OR(12&lt;$E10,12&gt;$F10),0,INDEX(Indstillinger!$D$27:$D$38,12)*$G10*$C10*IF($H10=0,1,IF($H10+12-$E10&gt;6,1,INDEX(Indstillinger!$C$18:$C$23,$H10+12-$E10)))))</f>
        <v>0</v>
      </c>
      <c r="W10" s="40" t="n">
        <f aca="false">SUM(K10:V10)</f>
        <v>0.595</v>
      </c>
      <c r="X10" s="33" t="n">
        <f aca="false">IF($J10=1,N(Sælgere!$H$10),0)</f>
        <v>0</v>
      </c>
      <c r="Y10" s="40" t="n">
        <f aca="false">IF($J10=1,0,W10)</f>
        <v>0.595</v>
      </c>
      <c r="Z10" s="32" t="n">
        <f aca="false">IF(OR($B10="",$J10=1),0,SUMPRODUCT(--(K10:V10&gt;0),$K$4:$V$4)*$G10)</f>
        <v>0.7</v>
      </c>
    </row>
    <row r="11" customFormat="false" ht="15" hidden="false" customHeight="false" outlineLevel="0" collapsed="false">
      <c r="B11" s="12" t="str">
        <f aca="false">IF(Sælgere!$B$11="","",Sælgere!$B$11)</f>
        <v>Frederik Sand</v>
      </c>
      <c r="C11" s="32" t="n">
        <f aca="false">IF($B11="","",IFERROR(IF(INDEX(Territorier!$C$6:$C$15,MATCH(Sælgere!$C$11,Territorier!$B$6:$B$15,0))="",1,INDEX(Territorier!$C$6:$C$15,MATCH(Sælgere!$C$11,Territorier!$B$6:$B$15,0))/100),1))</f>
        <v>1</v>
      </c>
      <c r="D11" s="12" t="str">
        <f aca="false">IF($B11="","",Sælgere!$C$11&amp;"")</f>
        <v>Key accounts</v>
      </c>
      <c r="E11" s="41" t="n">
        <f aca="false">IF($B11="","",IF(N(Sælgere!$D$11)&lt;1,1,Sælgere!$D$11))</f>
        <v>1</v>
      </c>
      <c r="F11" s="41" t="n">
        <f aca="false">IF($B11="","",IF(N(Sælgere!$F$11)&lt;1,12,Sælgere!$F$11))</f>
        <v>12</v>
      </c>
      <c r="G11" s="42" t="n">
        <f aca="false">IF($B11="",0,IF(Sælgere!$G$11="",1,N(Sælgere!$G$11)))</f>
        <v>1</v>
      </c>
      <c r="H11" s="41" t="n">
        <f aca="false">IF($B11="","",N(Sælgere!$E$11))</f>
        <v>0</v>
      </c>
      <c r="I11" s="41" t="n">
        <f aca="false">IF(AND($B11&lt;&gt;"",ISNA(MATCH(Sælgere!$C$11,Territorier!$B$6:$B$15,0))),1,0)</f>
        <v>0</v>
      </c>
      <c r="J11" s="41" t="n">
        <f aca="false">IF(AND($B11&lt;&gt;"",N(Sælgere!$H$11)&gt;0),1,0)</f>
        <v>1</v>
      </c>
      <c r="K11" s="40" t="n">
        <f aca="false">IF($B11="",0,IF(OR(1&lt;$E11,1&gt;$F11),0,INDEX(Indstillinger!$D$27:$D$38,1)*$G11*$C11*IF($H11=0,1,IF($H11+1-$E11&gt;6,1,INDEX(Indstillinger!$C$18:$C$23,$H11+1-$E11)))))</f>
        <v>0.07</v>
      </c>
      <c r="L11" s="40" t="n">
        <f aca="false">IF($B11="",0,IF(OR(2&lt;$E11,2&gt;$F11),0,INDEX(Indstillinger!$D$27:$D$38,2)*$G11*$C11*IF($H11=0,1,IF($H11+2-$E11&gt;6,1,INDEX(Indstillinger!$C$18:$C$23,$H11+2-$E11)))))</f>
        <v>0.08</v>
      </c>
      <c r="M11" s="40" t="n">
        <f aca="false">IF($B11="",0,IF(OR(3&lt;$E11,3&gt;$F11),0,INDEX(Indstillinger!$D$27:$D$38,3)*$G11*$C11*IF($H11=0,1,IF($H11+3-$E11&gt;6,1,INDEX(Indstillinger!$C$18:$C$23,$H11+3-$E11)))))</f>
        <v>0.09</v>
      </c>
      <c r="N11" s="40" t="n">
        <f aca="false">IF($B11="",0,IF(OR(4&lt;$E11,4&gt;$F11),0,INDEX(Indstillinger!$D$27:$D$38,4)*$G11*$C11*IF($H11=0,1,IF($H11+4-$E11&gt;6,1,INDEX(Indstillinger!$C$18:$C$23,$H11+4-$E11)))))</f>
        <v>0.08</v>
      </c>
      <c r="O11" s="40" t="n">
        <f aca="false">IF($B11="",0,IF(OR(5&lt;$E11,5&gt;$F11),0,INDEX(Indstillinger!$D$27:$D$38,5)*$G11*$C11*IF($H11=0,1,IF($H11+5-$E11&gt;6,1,INDEX(Indstillinger!$C$18:$C$23,$H11+5-$E11)))))</f>
        <v>0.09</v>
      </c>
      <c r="P11" s="40" t="n">
        <f aca="false">IF($B11="",0,IF(OR(6&lt;$E11,6&gt;$F11),0,INDEX(Indstillinger!$D$27:$D$38,6)*$G11*$C11*IF($H11=0,1,IF($H11+6-$E11&gt;6,1,INDEX(Indstillinger!$C$18:$C$23,$H11+6-$E11)))))</f>
        <v>0.09</v>
      </c>
      <c r="Q11" s="40" t="n">
        <f aca="false">IF($B11="",0,IF(OR(7&lt;$E11,7&gt;$F11),0,INDEX(Indstillinger!$D$27:$D$38,7)*$G11*$C11*IF($H11=0,1,IF($H11+7-$E11&gt;6,1,INDEX(Indstillinger!$C$18:$C$23,$H11+7-$E11)))))</f>
        <v>0.04</v>
      </c>
      <c r="R11" s="40" t="n">
        <f aca="false">IF($B11="",0,IF(OR(8&lt;$E11,8&gt;$F11),0,INDEX(Indstillinger!$D$27:$D$38,8)*$G11*$C11*IF($H11=0,1,IF($H11+8-$E11&gt;6,1,INDEX(Indstillinger!$C$18:$C$23,$H11+8-$E11)))))</f>
        <v>0.07</v>
      </c>
      <c r="S11" s="40" t="n">
        <f aca="false">IF($B11="",0,IF(OR(9&lt;$E11,9&gt;$F11),0,INDEX(Indstillinger!$D$27:$D$38,9)*$G11*$C11*IF($H11=0,1,IF($H11+9-$E11&gt;6,1,INDEX(Indstillinger!$C$18:$C$23,$H11+9-$E11)))))</f>
        <v>0.09</v>
      </c>
      <c r="T11" s="40" t="n">
        <f aca="false">IF($B11="",0,IF(OR(10&lt;$E11,10&gt;$F11),0,INDEX(Indstillinger!$D$27:$D$38,10)*$G11*$C11*IF($H11=0,1,IF($H11+10-$E11&gt;6,1,INDEX(Indstillinger!$C$18:$C$23,$H11+10-$E11)))))</f>
        <v>0.09</v>
      </c>
      <c r="U11" s="40" t="n">
        <f aca="false">IF($B11="",0,IF(OR(11&lt;$E11,11&gt;$F11),0,INDEX(Indstillinger!$D$27:$D$38,11)*$G11*$C11*IF($H11=0,1,IF($H11+11-$E11&gt;6,1,INDEX(Indstillinger!$C$18:$C$23,$H11+11-$E11)))))</f>
        <v>0.1</v>
      </c>
      <c r="V11" s="40" t="n">
        <f aca="false">IF($B11="",0,IF(OR(12&lt;$E11,12&gt;$F11),0,INDEX(Indstillinger!$D$27:$D$38,12)*$G11*$C11*IF($H11=0,1,IF($H11+12-$E11&gt;6,1,INDEX(Indstillinger!$C$18:$C$23,$H11+12-$E11)))))</f>
        <v>0.11</v>
      </c>
      <c r="W11" s="40" t="n">
        <f aca="false">SUM(K11:V11)</f>
        <v>1</v>
      </c>
      <c r="X11" s="33" t="n">
        <f aca="false">IF($J11=1,N(Sælgere!$H$11),0)</f>
        <v>4500000</v>
      </c>
      <c r="Y11" s="40" t="n">
        <f aca="false">IF($J11=1,0,W11)</f>
        <v>0</v>
      </c>
      <c r="Z11" s="32" t="n">
        <f aca="false">IF(OR($B11="",$J11=1),0,SUMPRODUCT(--(K11:V11&gt;0),$K$4:$V$4)*$G11)</f>
        <v>0</v>
      </c>
    </row>
    <row r="12" customFormat="false" ht="15" hidden="false" customHeight="false" outlineLevel="0" collapsed="false">
      <c r="B12" s="12" t="str">
        <f aca="false">IF(Sælgere!$B$12="","",Sælgere!$B$12)</f>
        <v>Gitte Mølgaard</v>
      </c>
      <c r="C12" s="32" t="n">
        <f aca="false">IF($B12="","",IFERROR(IF(INDEX(Territorier!$C$6:$C$15,MATCH(Sælgere!$C$12,Territorier!$B$6:$B$15,0))="",1,INDEX(Territorier!$C$6:$C$15,MATCH(Sælgere!$C$12,Territorier!$B$6:$B$15,0))/100),1))</f>
        <v>0.85</v>
      </c>
      <c r="D12" s="12" t="str">
        <f aca="false">IF($B12="","",Sælgere!$C$12&amp;"")</f>
        <v>Fyn og Sjælland</v>
      </c>
      <c r="E12" s="41" t="n">
        <f aca="false">IF($B12="","",IF(N(Sælgere!$D$12)&lt;1,1,Sælgere!$D$12))</f>
        <v>1</v>
      </c>
      <c r="F12" s="41" t="n">
        <f aca="false">IF($B12="","",IF(N(Sælgere!$F$12)&lt;1,12,Sælgere!$F$12))</f>
        <v>12</v>
      </c>
      <c r="G12" s="42" t="n">
        <f aca="false">IF($B12="",0,IF(Sælgere!$G$12="",1,N(Sælgere!$G$12)))</f>
        <v>1</v>
      </c>
      <c r="H12" s="41" t="n">
        <f aca="false">IF($B12="","",N(Sælgere!$E$12))</f>
        <v>3</v>
      </c>
      <c r="I12" s="41" t="n">
        <f aca="false">IF(AND($B12&lt;&gt;"",ISNA(MATCH(Sælgere!$C$12,Territorier!$B$6:$B$15,0))),1,0)</f>
        <v>0</v>
      </c>
      <c r="J12" s="41" t="n">
        <f aca="false">IF(AND($B12&lt;&gt;"",N(Sælgere!$H$12)&gt;0),1,0)</f>
        <v>0</v>
      </c>
      <c r="K12" s="40" t="n">
        <f aca="false">IF($B12="",0,IF(OR(1&lt;$E12,1&gt;$F12),0,INDEX(Indstillinger!$D$27:$D$38,1)*$G12*$C12*IF($H12=0,1,IF($H12+1-$E12&gt;6,1,INDEX(Indstillinger!$C$18:$C$23,$H12+1-$E12)))))</f>
        <v>0.044625</v>
      </c>
      <c r="L12" s="40" t="n">
        <f aca="false">IF($B12="",0,IF(OR(2&lt;$E12,2&gt;$F12),0,INDEX(Indstillinger!$D$27:$D$38,2)*$G12*$C12*IF($H12=0,1,IF($H12+2-$E12&gt;6,1,INDEX(Indstillinger!$C$18:$C$23,$H12+2-$E12)))))</f>
        <v>0.068</v>
      </c>
      <c r="M12" s="40" t="n">
        <f aca="false">IF($B12="",0,IF(OR(3&lt;$E12,3&gt;$F12),0,INDEX(Indstillinger!$D$27:$D$38,3)*$G12*$C12*IF($H12=0,1,IF($H12+3-$E12&gt;6,1,INDEX(Indstillinger!$C$18:$C$23,$H12+3-$E12)))))</f>
        <v>0.0765</v>
      </c>
      <c r="N12" s="40" t="n">
        <f aca="false">IF($B12="",0,IF(OR(4&lt;$E12,4&gt;$F12),0,INDEX(Indstillinger!$D$27:$D$38,4)*$G12*$C12*IF($H12=0,1,IF($H12+4-$E12&gt;6,1,INDEX(Indstillinger!$C$18:$C$23,$H12+4-$E12)))))</f>
        <v>0.068</v>
      </c>
      <c r="O12" s="40" t="n">
        <f aca="false">IF($B12="",0,IF(OR(5&lt;$E12,5&gt;$F12),0,INDEX(Indstillinger!$D$27:$D$38,5)*$G12*$C12*IF($H12=0,1,IF($H12+5-$E12&gt;6,1,INDEX(Indstillinger!$C$18:$C$23,$H12+5-$E12)))))</f>
        <v>0.0765</v>
      </c>
      <c r="P12" s="40" t="n">
        <f aca="false">IF($B12="",0,IF(OR(6&lt;$E12,6&gt;$F12),0,INDEX(Indstillinger!$D$27:$D$38,6)*$G12*$C12*IF($H12=0,1,IF($H12+6-$E12&gt;6,1,INDEX(Indstillinger!$C$18:$C$23,$H12+6-$E12)))))</f>
        <v>0.0765</v>
      </c>
      <c r="Q12" s="40" t="n">
        <f aca="false">IF($B12="",0,IF(OR(7&lt;$E12,7&gt;$F12),0,INDEX(Indstillinger!$D$27:$D$38,7)*$G12*$C12*IF($H12=0,1,IF($H12+7-$E12&gt;6,1,INDEX(Indstillinger!$C$18:$C$23,$H12+7-$E12)))))</f>
        <v>0.034</v>
      </c>
      <c r="R12" s="40" t="n">
        <f aca="false">IF($B12="",0,IF(OR(8&lt;$E12,8&gt;$F12),0,INDEX(Indstillinger!$D$27:$D$38,8)*$G12*$C12*IF($H12=0,1,IF($H12+8-$E12&gt;6,1,INDEX(Indstillinger!$C$18:$C$23,$H12+8-$E12)))))</f>
        <v>0.0595</v>
      </c>
      <c r="S12" s="40" t="n">
        <f aca="false">IF($B12="",0,IF(OR(9&lt;$E12,9&gt;$F12),0,INDEX(Indstillinger!$D$27:$D$38,9)*$G12*$C12*IF($H12=0,1,IF($H12+9-$E12&gt;6,1,INDEX(Indstillinger!$C$18:$C$23,$H12+9-$E12)))))</f>
        <v>0.0765</v>
      </c>
      <c r="T12" s="40" t="n">
        <f aca="false">IF($B12="",0,IF(OR(10&lt;$E12,10&gt;$F12),0,INDEX(Indstillinger!$D$27:$D$38,10)*$G12*$C12*IF($H12=0,1,IF($H12+10-$E12&gt;6,1,INDEX(Indstillinger!$C$18:$C$23,$H12+10-$E12)))))</f>
        <v>0.0765</v>
      </c>
      <c r="U12" s="40" t="n">
        <f aca="false">IF($B12="",0,IF(OR(11&lt;$E12,11&gt;$F12),0,INDEX(Indstillinger!$D$27:$D$38,11)*$G12*$C12*IF($H12=0,1,IF($H12+11-$E12&gt;6,1,INDEX(Indstillinger!$C$18:$C$23,$H12+11-$E12)))))</f>
        <v>0.085</v>
      </c>
      <c r="V12" s="40" t="n">
        <f aca="false">IF($B12="",0,IF(OR(12&lt;$E12,12&gt;$F12),0,INDEX(Indstillinger!$D$27:$D$38,12)*$G12*$C12*IF($H12=0,1,IF($H12+12-$E12&gt;6,1,INDEX(Indstillinger!$C$18:$C$23,$H12+12-$E12)))))</f>
        <v>0.0935</v>
      </c>
      <c r="W12" s="40" t="n">
        <f aca="false">SUM(K12:V12)</f>
        <v>0.835125</v>
      </c>
      <c r="X12" s="33" t="n">
        <f aca="false">IF($J12=1,N(Sælgere!$H$12),0)</f>
        <v>0</v>
      </c>
      <c r="Y12" s="40" t="n">
        <f aca="false">IF($J12=1,0,W12)</f>
        <v>0.835125</v>
      </c>
      <c r="Z12" s="32" t="n">
        <f aca="false">IF(OR($B12="",$J12=1),0,SUMPRODUCT(--(K12:V12&gt;0),$K$4:$V$4)*$G12)</f>
        <v>1</v>
      </c>
    </row>
    <row r="13" customFormat="false" ht="15" hidden="false" customHeight="false" outlineLevel="0" collapsed="false">
      <c r="B13" s="12" t="str">
        <f aca="false">IF(Sælgere!$B$13="","",Sælgere!$B$13)</f>
        <v>Henrik Bak</v>
      </c>
      <c r="C13" s="32" t="n">
        <f aca="false">IF($B13="","",IFERROR(IF(INDEX(Territorier!$C$6:$C$15,MATCH(Sælgere!$C$13,Territorier!$B$6:$B$15,0))="",1,INDEX(Territorier!$C$6:$C$15,MATCH(Sælgere!$C$13,Territorier!$B$6:$B$15,0))/100),1))</f>
        <v>1</v>
      </c>
      <c r="D13" s="12" t="str">
        <f aca="false">IF($B13="","",Sælgere!$C$13&amp;"")</f>
        <v>Jylland</v>
      </c>
      <c r="E13" s="41" t="n">
        <f aca="false">IF($B13="","",IF(N(Sælgere!$D$13)&lt;1,1,Sælgere!$D$13))</f>
        <v>1</v>
      </c>
      <c r="F13" s="41" t="n">
        <f aca="false">IF($B13="","",IF(N(Sælgere!$F$13)&lt;1,12,Sælgere!$F$13))</f>
        <v>12</v>
      </c>
      <c r="G13" s="42" t="n">
        <f aca="false">IF($B13="",0,IF(Sælgere!$G$13="",1,N(Sælgere!$G$13)))</f>
        <v>0.5</v>
      </c>
      <c r="H13" s="41" t="n">
        <f aca="false">IF($B13="","",N(Sælgere!$E$13))</f>
        <v>0</v>
      </c>
      <c r="I13" s="41" t="n">
        <f aca="false">IF(AND($B13&lt;&gt;"",ISNA(MATCH(Sælgere!$C$13,Territorier!$B$6:$B$15,0))),1,0)</f>
        <v>0</v>
      </c>
      <c r="J13" s="41" t="n">
        <f aca="false">IF(AND($B13&lt;&gt;"",N(Sælgere!$H$13)&gt;0),1,0)</f>
        <v>0</v>
      </c>
      <c r="K13" s="40" t="n">
        <f aca="false">IF($B13="",0,IF(OR(1&lt;$E13,1&gt;$F13),0,INDEX(Indstillinger!$D$27:$D$38,1)*$G13*$C13*IF($H13=0,1,IF($H13+1-$E13&gt;6,1,INDEX(Indstillinger!$C$18:$C$23,$H13+1-$E13)))))</f>
        <v>0.035</v>
      </c>
      <c r="L13" s="40" t="n">
        <f aca="false">IF($B13="",0,IF(OR(2&lt;$E13,2&gt;$F13),0,INDEX(Indstillinger!$D$27:$D$38,2)*$G13*$C13*IF($H13=0,1,IF($H13+2-$E13&gt;6,1,INDEX(Indstillinger!$C$18:$C$23,$H13+2-$E13)))))</f>
        <v>0.04</v>
      </c>
      <c r="M13" s="40" t="n">
        <f aca="false">IF($B13="",0,IF(OR(3&lt;$E13,3&gt;$F13),0,INDEX(Indstillinger!$D$27:$D$38,3)*$G13*$C13*IF($H13=0,1,IF($H13+3-$E13&gt;6,1,INDEX(Indstillinger!$C$18:$C$23,$H13+3-$E13)))))</f>
        <v>0.045</v>
      </c>
      <c r="N13" s="40" t="n">
        <f aca="false">IF($B13="",0,IF(OR(4&lt;$E13,4&gt;$F13),0,INDEX(Indstillinger!$D$27:$D$38,4)*$G13*$C13*IF($H13=0,1,IF($H13+4-$E13&gt;6,1,INDEX(Indstillinger!$C$18:$C$23,$H13+4-$E13)))))</f>
        <v>0.04</v>
      </c>
      <c r="O13" s="40" t="n">
        <f aca="false">IF($B13="",0,IF(OR(5&lt;$E13,5&gt;$F13),0,INDEX(Indstillinger!$D$27:$D$38,5)*$G13*$C13*IF($H13=0,1,IF($H13+5-$E13&gt;6,1,INDEX(Indstillinger!$C$18:$C$23,$H13+5-$E13)))))</f>
        <v>0.045</v>
      </c>
      <c r="P13" s="40" t="n">
        <f aca="false">IF($B13="",0,IF(OR(6&lt;$E13,6&gt;$F13),0,INDEX(Indstillinger!$D$27:$D$38,6)*$G13*$C13*IF($H13=0,1,IF($H13+6-$E13&gt;6,1,INDEX(Indstillinger!$C$18:$C$23,$H13+6-$E13)))))</f>
        <v>0.045</v>
      </c>
      <c r="Q13" s="40" t="n">
        <f aca="false">IF($B13="",0,IF(OR(7&lt;$E13,7&gt;$F13),0,INDEX(Indstillinger!$D$27:$D$38,7)*$G13*$C13*IF($H13=0,1,IF($H13+7-$E13&gt;6,1,INDEX(Indstillinger!$C$18:$C$23,$H13+7-$E13)))))</f>
        <v>0.02</v>
      </c>
      <c r="R13" s="40" t="n">
        <f aca="false">IF($B13="",0,IF(OR(8&lt;$E13,8&gt;$F13),0,INDEX(Indstillinger!$D$27:$D$38,8)*$G13*$C13*IF($H13=0,1,IF($H13+8-$E13&gt;6,1,INDEX(Indstillinger!$C$18:$C$23,$H13+8-$E13)))))</f>
        <v>0.035</v>
      </c>
      <c r="S13" s="40" t="n">
        <f aca="false">IF($B13="",0,IF(OR(9&lt;$E13,9&gt;$F13),0,INDEX(Indstillinger!$D$27:$D$38,9)*$G13*$C13*IF($H13=0,1,IF($H13+9-$E13&gt;6,1,INDEX(Indstillinger!$C$18:$C$23,$H13+9-$E13)))))</f>
        <v>0.045</v>
      </c>
      <c r="T13" s="40" t="n">
        <f aca="false">IF($B13="",0,IF(OR(10&lt;$E13,10&gt;$F13),0,INDEX(Indstillinger!$D$27:$D$38,10)*$G13*$C13*IF($H13=0,1,IF($H13+10-$E13&gt;6,1,INDEX(Indstillinger!$C$18:$C$23,$H13+10-$E13)))))</f>
        <v>0.045</v>
      </c>
      <c r="U13" s="40" t="n">
        <f aca="false">IF($B13="",0,IF(OR(11&lt;$E13,11&gt;$F13),0,INDEX(Indstillinger!$D$27:$D$38,11)*$G13*$C13*IF($H13=0,1,IF($H13+11-$E13&gt;6,1,INDEX(Indstillinger!$C$18:$C$23,$H13+11-$E13)))))</f>
        <v>0.05</v>
      </c>
      <c r="V13" s="40" t="n">
        <f aca="false">IF($B13="",0,IF(OR(12&lt;$E13,12&gt;$F13),0,INDEX(Indstillinger!$D$27:$D$38,12)*$G13*$C13*IF($H13=0,1,IF($H13+12-$E13&gt;6,1,INDEX(Indstillinger!$C$18:$C$23,$H13+12-$E13)))))</f>
        <v>0.055</v>
      </c>
      <c r="W13" s="40" t="n">
        <f aca="false">SUM(K13:V13)</f>
        <v>0.5</v>
      </c>
      <c r="X13" s="33" t="n">
        <f aca="false">IF($J13=1,N(Sælgere!$H$13),0)</f>
        <v>0</v>
      </c>
      <c r="Y13" s="40" t="n">
        <f aca="false">IF($J13=1,0,W13)</f>
        <v>0.5</v>
      </c>
      <c r="Z13" s="32" t="n">
        <f aca="false">IF(OR($B13="",$J13=1),0,SUMPRODUCT(--(K13:V13&gt;0),$K$4:$V$4)*$G13)</f>
        <v>0.5</v>
      </c>
    </row>
    <row r="14" customFormat="false" ht="15" hidden="false" customHeight="false" outlineLevel="0" collapsed="false">
      <c r="B14" s="12" t="str">
        <f aca="false">IF(Sælgere!$B$14="","",Sælgere!$B$14)</f>
        <v>Ny sælger 1</v>
      </c>
      <c r="C14" s="32" t="n">
        <f aca="false">IF($B14="","",IFERROR(IF(INDEX(Territorier!$C$6:$C$15,MATCH(Sælgere!$C$14,Territorier!$B$6:$B$15,0))="",1,INDEX(Territorier!$C$6:$C$15,MATCH(Sælgere!$C$14,Territorier!$B$6:$B$15,0))/100),1))</f>
        <v>1</v>
      </c>
      <c r="D14" s="12" t="str">
        <f aca="false">IF($B14="","",Sælgere!$C$14&amp;"")</f>
        <v>Jylland</v>
      </c>
      <c r="E14" s="41" t="n">
        <f aca="false">IF($B14="","",IF(N(Sælgere!$D$14)&lt;1,1,Sælgere!$D$14))</f>
        <v>3</v>
      </c>
      <c r="F14" s="41" t="n">
        <f aca="false">IF($B14="","",IF(N(Sælgere!$F$14)&lt;1,12,Sælgere!$F$14))</f>
        <v>12</v>
      </c>
      <c r="G14" s="42" t="n">
        <f aca="false">IF($B14="",0,IF(Sælgere!$G$14="",1,N(Sælgere!$G$14)))</f>
        <v>1</v>
      </c>
      <c r="H14" s="41" t="n">
        <f aca="false">IF($B14="","",N(Sælgere!$E$14))</f>
        <v>1</v>
      </c>
      <c r="I14" s="41" t="n">
        <f aca="false">IF(AND($B14&lt;&gt;"",ISNA(MATCH(Sælgere!$C$14,Territorier!$B$6:$B$15,0))),1,0)</f>
        <v>0</v>
      </c>
      <c r="J14" s="41" t="n">
        <f aca="false">IF(AND($B14&lt;&gt;"",N(Sælgere!$H$14)&gt;0),1,0)</f>
        <v>0</v>
      </c>
      <c r="K14" s="40" t="n">
        <f aca="false">IF($B14="",0,IF(OR(1&lt;$E14,1&gt;$F14),0,INDEX(Indstillinger!$D$27:$D$38,1)*$G14*$C14*IF($H14=0,1,IF($H14+1-$E14&gt;6,1,INDEX(Indstillinger!$C$18:$C$23,$H14+1-$E14)))))</f>
        <v>0</v>
      </c>
      <c r="L14" s="40" t="n">
        <f aca="false">IF($B14="",0,IF(OR(2&lt;$E14,2&gt;$F14),0,INDEX(Indstillinger!$D$27:$D$38,2)*$G14*$C14*IF($H14=0,1,IF($H14+2-$E14&gt;6,1,INDEX(Indstillinger!$C$18:$C$23,$H14+2-$E14)))))</f>
        <v>0</v>
      </c>
      <c r="M14" s="40" t="n">
        <f aca="false">IF($B14="",0,IF(OR(3&lt;$E14,3&gt;$F14),0,INDEX(Indstillinger!$D$27:$D$38,3)*$G14*$C14*IF($H14=0,1,IF($H14+3-$E14&gt;6,1,INDEX(Indstillinger!$C$18:$C$23,$H14+3-$E14)))))</f>
        <v>0.0225</v>
      </c>
      <c r="N14" s="40" t="n">
        <f aca="false">IF($B14="",0,IF(OR(4&lt;$E14,4&gt;$F14),0,INDEX(Indstillinger!$D$27:$D$38,4)*$G14*$C14*IF($H14=0,1,IF($H14+4-$E14&gt;6,1,INDEX(Indstillinger!$C$18:$C$23,$H14+4-$E14)))))</f>
        <v>0.04</v>
      </c>
      <c r="O14" s="40" t="n">
        <f aca="false">IF($B14="",0,IF(OR(5&lt;$E14,5&gt;$F14),0,INDEX(Indstillinger!$D$27:$D$38,5)*$G14*$C14*IF($H14=0,1,IF($H14+5-$E14&gt;6,1,INDEX(Indstillinger!$C$18:$C$23,$H14+5-$E14)))))</f>
        <v>0.0675</v>
      </c>
      <c r="P14" s="40" t="n">
        <f aca="false">IF($B14="",0,IF(OR(6&lt;$E14,6&gt;$F14),0,INDEX(Indstillinger!$D$27:$D$38,6)*$G14*$C14*IF($H14=0,1,IF($H14+6-$E14&gt;6,1,INDEX(Indstillinger!$C$18:$C$23,$H14+6-$E14)))))</f>
        <v>0.09</v>
      </c>
      <c r="Q14" s="40" t="n">
        <f aca="false">IF($B14="",0,IF(OR(7&lt;$E14,7&gt;$F14),0,INDEX(Indstillinger!$D$27:$D$38,7)*$G14*$C14*IF($H14=0,1,IF($H14+7-$E14&gt;6,1,INDEX(Indstillinger!$C$18:$C$23,$H14+7-$E14)))))</f>
        <v>0.04</v>
      </c>
      <c r="R14" s="40" t="n">
        <f aca="false">IF($B14="",0,IF(OR(8&lt;$E14,8&gt;$F14),0,INDEX(Indstillinger!$D$27:$D$38,8)*$G14*$C14*IF($H14=0,1,IF($H14+8-$E14&gt;6,1,INDEX(Indstillinger!$C$18:$C$23,$H14+8-$E14)))))</f>
        <v>0.07</v>
      </c>
      <c r="S14" s="40" t="n">
        <f aca="false">IF($B14="",0,IF(OR(9&lt;$E14,9&gt;$F14),0,INDEX(Indstillinger!$D$27:$D$38,9)*$G14*$C14*IF($H14=0,1,IF($H14+9-$E14&gt;6,1,INDEX(Indstillinger!$C$18:$C$23,$H14+9-$E14)))))</f>
        <v>0.09</v>
      </c>
      <c r="T14" s="40" t="n">
        <f aca="false">IF($B14="",0,IF(OR(10&lt;$E14,10&gt;$F14),0,INDEX(Indstillinger!$D$27:$D$38,10)*$G14*$C14*IF($H14=0,1,IF($H14+10-$E14&gt;6,1,INDEX(Indstillinger!$C$18:$C$23,$H14+10-$E14)))))</f>
        <v>0.09</v>
      </c>
      <c r="U14" s="40" t="n">
        <f aca="false">IF($B14="",0,IF(OR(11&lt;$E14,11&gt;$F14),0,INDEX(Indstillinger!$D$27:$D$38,11)*$G14*$C14*IF($H14=0,1,IF($H14+11-$E14&gt;6,1,INDEX(Indstillinger!$C$18:$C$23,$H14+11-$E14)))))</f>
        <v>0.1</v>
      </c>
      <c r="V14" s="40" t="n">
        <f aca="false">IF($B14="",0,IF(OR(12&lt;$E14,12&gt;$F14),0,INDEX(Indstillinger!$D$27:$D$38,12)*$G14*$C14*IF($H14=0,1,IF($H14+12-$E14&gt;6,1,INDEX(Indstillinger!$C$18:$C$23,$H14+12-$E14)))))</f>
        <v>0.11</v>
      </c>
      <c r="W14" s="40" t="n">
        <f aca="false">SUM(K14:V14)</f>
        <v>0.72</v>
      </c>
      <c r="X14" s="33" t="n">
        <f aca="false">IF($J14=1,N(Sælgere!$H$14),0)</f>
        <v>0</v>
      </c>
      <c r="Y14" s="40" t="n">
        <f aca="false">IF($J14=1,0,W14)</f>
        <v>0.72</v>
      </c>
      <c r="Z14" s="32" t="n">
        <f aca="false">IF(OR($B14="",$J14=1),0,SUMPRODUCT(--(K14:V14&gt;0),$K$4:$V$4)*$G14)</f>
        <v>0.85</v>
      </c>
    </row>
    <row r="15" customFormat="false" ht="15" hidden="false" customHeight="false" outlineLevel="0" collapsed="false">
      <c r="B15" s="12" t="str">
        <f aca="false">IF(Sælgere!$B$15="","",Sælgere!$B$15)</f>
        <v>Ny sælger 2</v>
      </c>
      <c r="C15" s="32" t="n">
        <f aca="false">IF($B15="","",IFERROR(IF(INDEX(Territorier!$C$6:$C$15,MATCH(Sælgere!$C$15,Territorier!$B$6:$B$15,0))="",1,INDEX(Territorier!$C$6:$C$15,MATCH(Sælgere!$C$15,Territorier!$B$6:$B$15,0))/100),1))</f>
        <v>1.2</v>
      </c>
      <c r="D15" s="12" t="str">
        <f aca="false">IF($B15="","",Sælgere!$C$15&amp;"")</f>
        <v>Hovedstaden</v>
      </c>
      <c r="E15" s="41" t="n">
        <f aca="false">IF($B15="","",IF(N(Sælgere!$D$15)&lt;1,1,Sælgere!$D$15))</f>
        <v>8</v>
      </c>
      <c r="F15" s="41" t="n">
        <f aca="false">IF($B15="","",IF(N(Sælgere!$F$15)&lt;1,12,Sælgere!$F$15))</f>
        <v>12</v>
      </c>
      <c r="G15" s="42" t="n">
        <f aca="false">IF($B15="",0,IF(Sælgere!$G$15="",1,N(Sælgere!$G$15)))</f>
        <v>1</v>
      </c>
      <c r="H15" s="41" t="n">
        <f aca="false">IF($B15="","",N(Sælgere!$E$15))</f>
        <v>1</v>
      </c>
      <c r="I15" s="41" t="n">
        <f aca="false">IF(AND($B15&lt;&gt;"",ISNA(MATCH(Sælgere!$C$15,Territorier!$B$6:$B$15,0))),1,0)</f>
        <v>0</v>
      </c>
      <c r="J15" s="41" t="n">
        <f aca="false">IF(AND($B15&lt;&gt;"",N(Sælgere!$H$15)&gt;0),1,0)</f>
        <v>0</v>
      </c>
      <c r="K15" s="40" t="n">
        <f aca="false">IF($B15="",0,IF(OR(1&lt;$E15,1&gt;$F15),0,INDEX(Indstillinger!$D$27:$D$38,1)*$G15*$C15*IF($H15=0,1,IF($H15+1-$E15&gt;6,1,INDEX(Indstillinger!$C$18:$C$23,$H15+1-$E15)))))</f>
        <v>0</v>
      </c>
      <c r="L15" s="40" t="n">
        <f aca="false">IF($B15="",0,IF(OR(2&lt;$E15,2&gt;$F15),0,INDEX(Indstillinger!$D$27:$D$38,2)*$G15*$C15*IF($H15=0,1,IF($H15+2-$E15&gt;6,1,INDEX(Indstillinger!$C$18:$C$23,$H15+2-$E15)))))</f>
        <v>0</v>
      </c>
      <c r="M15" s="40" t="n">
        <f aca="false">IF($B15="",0,IF(OR(3&lt;$E15,3&gt;$F15),0,INDEX(Indstillinger!$D$27:$D$38,3)*$G15*$C15*IF($H15=0,1,IF($H15+3-$E15&gt;6,1,INDEX(Indstillinger!$C$18:$C$23,$H15+3-$E15)))))</f>
        <v>0</v>
      </c>
      <c r="N15" s="40" t="n">
        <f aca="false">IF($B15="",0,IF(OR(4&lt;$E15,4&gt;$F15),0,INDEX(Indstillinger!$D$27:$D$38,4)*$G15*$C15*IF($H15=0,1,IF($H15+4-$E15&gt;6,1,INDEX(Indstillinger!$C$18:$C$23,$H15+4-$E15)))))</f>
        <v>0</v>
      </c>
      <c r="O15" s="40" t="n">
        <f aca="false">IF($B15="",0,IF(OR(5&lt;$E15,5&gt;$F15),0,INDEX(Indstillinger!$D$27:$D$38,5)*$G15*$C15*IF($H15=0,1,IF($H15+5-$E15&gt;6,1,INDEX(Indstillinger!$C$18:$C$23,$H15+5-$E15)))))</f>
        <v>0</v>
      </c>
      <c r="P15" s="40" t="n">
        <f aca="false">IF($B15="",0,IF(OR(6&lt;$E15,6&gt;$F15),0,INDEX(Indstillinger!$D$27:$D$38,6)*$G15*$C15*IF($H15=0,1,IF($H15+6-$E15&gt;6,1,INDEX(Indstillinger!$C$18:$C$23,$H15+6-$E15)))))</f>
        <v>0</v>
      </c>
      <c r="Q15" s="40" t="n">
        <f aca="false">IF($B15="",0,IF(OR(7&lt;$E15,7&gt;$F15),0,INDEX(Indstillinger!$D$27:$D$38,7)*$G15*$C15*IF($H15=0,1,IF($H15+7-$E15&gt;6,1,INDEX(Indstillinger!$C$18:$C$23,$H15+7-$E15)))))</f>
        <v>0</v>
      </c>
      <c r="R15" s="40" t="n">
        <f aca="false">IF($B15="",0,IF(OR(8&lt;$E15,8&gt;$F15),0,INDEX(Indstillinger!$D$27:$D$38,8)*$G15*$C15*IF($H15=0,1,IF($H15+8-$E15&gt;6,1,INDEX(Indstillinger!$C$18:$C$23,$H15+8-$E15)))))</f>
        <v>0.021</v>
      </c>
      <c r="S15" s="40" t="n">
        <f aca="false">IF($B15="",0,IF(OR(9&lt;$E15,9&gt;$F15),0,INDEX(Indstillinger!$D$27:$D$38,9)*$G15*$C15*IF($H15=0,1,IF($H15+9-$E15&gt;6,1,INDEX(Indstillinger!$C$18:$C$23,$H15+9-$E15)))))</f>
        <v>0.054</v>
      </c>
      <c r="T15" s="40" t="n">
        <f aca="false">IF($B15="",0,IF(OR(10&lt;$E15,10&gt;$F15),0,INDEX(Indstillinger!$D$27:$D$38,10)*$G15*$C15*IF($H15=0,1,IF($H15+10-$E15&gt;6,1,INDEX(Indstillinger!$C$18:$C$23,$H15+10-$E15)))))</f>
        <v>0.081</v>
      </c>
      <c r="U15" s="40" t="n">
        <f aca="false">IF($B15="",0,IF(OR(11&lt;$E15,11&gt;$F15),0,INDEX(Indstillinger!$D$27:$D$38,11)*$G15*$C15*IF($H15=0,1,IF($H15+11-$E15&gt;6,1,INDEX(Indstillinger!$C$18:$C$23,$H15+11-$E15)))))</f>
        <v>0.12</v>
      </c>
      <c r="V15" s="40" t="n">
        <f aca="false">IF($B15="",0,IF(OR(12&lt;$E15,12&gt;$F15),0,INDEX(Indstillinger!$D$27:$D$38,12)*$G15*$C15*IF($H15=0,1,IF($H15+12-$E15&gt;6,1,INDEX(Indstillinger!$C$18:$C$23,$H15+12-$E15)))))</f>
        <v>0.132</v>
      </c>
      <c r="W15" s="40" t="n">
        <f aca="false">SUM(K15:V15)</f>
        <v>0.408</v>
      </c>
      <c r="X15" s="33" t="n">
        <f aca="false">IF($J15=1,N(Sælgere!$H$15),0)</f>
        <v>0</v>
      </c>
      <c r="Y15" s="40" t="n">
        <f aca="false">IF($J15=1,0,W15)</f>
        <v>0.408</v>
      </c>
      <c r="Z15" s="32" t="n">
        <f aca="false">IF(OR($B15="",$J15=1),0,SUMPRODUCT(--(K15:V15&gt;0),$K$4:$V$4)*$G15)</f>
        <v>0.46</v>
      </c>
    </row>
    <row r="16" customFormat="false" ht="15" hidden="false" customHeight="false" outlineLevel="0" collapsed="false">
      <c r="B16" s="12" t="str">
        <f aca="false">IF(Sælgere!$B$16="","",Sælgere!$B$16)</f>
        <v/>
      </c>
      <c r="C16" s="32" t="str">
        <f aca="false">IF($B16="","",IFERROR(IF(INDEX(Territorier!$C$6:$C$15,MATCH(Sælgere!$C$16,Territorier!$B$6:$B$15,0))="",1,INDEX(Territorier!$C$6:$C$15,MATCH(Sælgere!$C$16,Territorier!$B$6:$B$15,0))/100),1))</f>
        <v/>
      </c>
      <c r="D16" s="12" t="str">
        <f aca="false">IF($B16="","",Sælgere!$C$16&amp;"")</f>
        <v/>
      </c>
      <c r="E16" s="41" t="str">
        <f aca="false">IF($B16="","",IF(N(Sælgere!$D$16)&lt;1,1,Sælgere!$D$16))</f>
        <v/>
      </c>
      <c r="F16" s="41" t="str">
        <f aca="false">IF($B16="","",IF(N(Sælgere!$F$16)&lt;1,12,Sælgere!$F$16))</f>
        <v/>
      </c>
      <c r="G16" s="42" t="n">
        <f aca="false">IF($B16="",0,IF(Sælgere!$G$16="",1,N(Sælgere!$G$16)))</f>
        <v>0</v>
      </c>
      <c r="H16" s="41" t="str">
        <f aca="false">IF($B16="","",N(Sælgere!$E$16))</f>
        <v/>
      </c>
      <c r="I16" s="41" t="n">
        <f aca="false">IF(AND($B16&lt;&gt;"",ISNA(MATCH(Sælgere!$C$16,Territorier!$B$6:$B$15,0))),1,0)</f>
        <v>0</v>
      </c>
      <c r="J16" s="41" t="n">
        <f aca="false">IF(AND($B16&lt;&gt;"",N(Sælgere!$H$16)&gt;0),1,0)</f>
        <v>0</v>
      </c>
      <c r="K16" s="40" t="n">
        <f aca="false">IF($B16="",0,IF(OR(1&lt;$E16,1&gt;$F16),0,INDEX(Indstillinger!$D$27:$D$38,1)*$G16*$C16*IF($H16=0,1,IF($H16+1-$E16&gt;6,1,INDEX(Indstillinger!$C$18:$C$23,$H16+1-$E16)))))</f>
        <v>0</v>
      </c>
      <c r="L16" s="40" t="n">
        <f aca="false">IF($B16="",0,IF(OR(2&lt;$E16,2&gt;$F16),0,INDEX(Indstillinger!$D$27:$D$38,2)*$G16*$C16*IF($H16=0,1,IF($H16+2-$E16&gt;6,1,INDEX(Indstillinger!$C$18:$C$23,$H16+2-$E16)))))</f>
        <v>0</v>
      </c>
      <c r="M16" s="40" t="n">
        <f aca="false">IF($B16="",0,IF(OR(3&lt;$E16,3&gt;$F16),0,INDEX(Indstillinger!$D$27:$D$38,3)*$G16*$C16*IF($H16=0,1,IF($H16+3-$E16&gt;6,1,INDEX(Indstillinger!$C$18:$C$23,$H16+3-$E16)))))</f>
        <v>0</v>
      </c>
      <c r="N16" s="40" t="n">
        <f aca="false">IF($B16="",0,IF(OR(4&lt;$E16,4&gt;$F16),0,INDEX(Indstillinger!$D$27:$D$38,4)*$G16*$C16*IF($H16=0,1,IF($H16+4-$E16&gt;6,1,INDEX(Indstillinger!$C$18:$C$23,$H16+4-$E16)))))</f>
        <v>0</v>
      </c>
      <c r="O16" s="40" t="n">
        <f aca="false">IF($B16="",0,IF(OR(5&lt;$E16,5&gt;$F16),0,INDEX(Indstillinger!$D$27:$D$38,5)*$G16*$C16*IF($H16=0,1,IF($H16+5-$E16&gt;6,1,INDEX(Indstillinger!$C$18:$C$23,$H16+5-$E16)))))</f>
        <v>0</v>
      </c>
      <c r="P16" s="40" t="n">
        <f aca="false">IF($B16="",0,IF(OR(6&lt;$E16,6&gt;$F16),0,INDEX(Indstillinger!$D$27:$D$38,6)*$G16*$C16*IF($H16=0,1,IF($H16+6-$E16&gt;6,1,INDEX(Indstillinger!$C$18:$C$23,$H16+6-$E16)))))</f>
        <v>0</v>
      </c>
      <c r="Q16" s="40" t="n">
        <f aca="false">IF($B16="",0,IF(OR(7&lt;$E16,7&gt;$F16),0,INDEX(Indstillinger!$D$27:$D$38,7)*$G16*$C16*IF($H16=0,1,IF($H16+7-$E16&gt;6,1,INDEX(Indstillinger!$C$18:$C$23,$H16+7-$E16)))))</f>
        <v>0</v>
      </c>
      <c r="R16" s="40" t="n">
        <f aca="false">IF($B16="",0,IF(OR(8&lt;$E16,8&gt;$F16),0,INDEX(Indstillinger!$D$27:$D$38,8)*$G16*$C16*IF($H16=0,1,IF($H16+8-$E16&gt;6,1,INDEX(Indstillinger!$C$18:$C$23,$H16+8-$E16)))))</f>
        <v>0</v>
      </c>
      <c r="S16" s="40" t="n">
        <f aca="false">IF($B16="",0,IF(OR(9&lt;$E16,9&gt;$F16),0,INDEX(Indstillinger!$D$27:$D$38,9)*$G16*$C16*IF($H16=0,1,IF($H16+9-$E16&gt;6,1,INDEX(Indstillinger!$C$18:$C$23,$H16+9-$E16)))))</f>
        <v>0</v>
      </c>
      <c r="T16" s="40" t="n">
        <f aca="false">IF($B16="",0,IF(OR(10&lt;$E16,10&gt;$F16),0,INDEX(Indstillinger!$D$27:$D$38,10)*$G16*$C16*IF($H16=0,1,IF($H16+10-$E16&gt;6,1,INDEX(Indstillinger!$C$18:$C$23,$H16+10-$E16)))))</f>
        <v>0</v>
      </c>
      <c r="U16" s="40" t="n">
        <f aca="false">IF($B16="",0,IF(OR(11&lt;$E16,11&gt;$F16),0,INDEX(Indstillinger!$D$27:$D$38,11)*$G16*$C16*IF($H16=0,1,IF($H16+11-$E16&gt;6,1,INDEX(Indstillinger!$C$18:$C$23,$H16+11-$E16)))))</f>
        <v>0</v>
      </c>
      <c r="V16" s="40" t="n">
        <f aca="false">IF($B16="",0,IF(OR(12&lt;$E16,12&gt;$F16),0,INDEX(Indstillinger!$D$27:$D$38,12)*$G16*$C16*IF($H16=0,1,IF($H16+12-$E16&gt;6,1,INDEX(Indstillinger!$C$18:$C$23,$H16+12-$E16)))))</f>
        <v>0</v>
      </c>
      <c r="W16" s="40" t="n">
        <f aca="false">SUM(K16:V16)</f>
        <v>0</v>
      </c>
      <c r="X16" s="33" t="n">
        <f aca="false">IF($J16=1,N(Sælgere!$H$16),0)</f>
        <v>0</v>
      </c>
      <c r="Y16" s="40" t="n">
        <f aca="false">IF($J16=1,0,W16)</f>
        <v>0</v>
      </c>
      <c r="Z16" s="32" t="n">
        <f aca="false">IF(OR($B16="",$J16=1),0,SUMPRODUCT(--(K16:V16&gt;0),$K$4:$V$4)*$G16)</f>
        <v>0</v>
      </c>
    </row>
    <row r="17" customFormat="false" ht="15" hidden="false" customHeight="false" outlineLevel="0" collapsed="false">
      <c r="B17" s="12" t="str">
        <f aca="false">IF(Sælgere!$B$17="","",Sælgere!$B$17)</f>
        <v/>
      </c>
      <c r="C17" s="32" t="str">
        <f aca="false">IF($B17="","",IFERROR(IF(INDEX(Territorier!$C$6:$C$15,MATCH(Sælgere!$C$17,Territorier!$B$6:$B$15,0))="",1,INDEX(Territorier!$C$6:$C$15,MATCH(Sælgere!$C$17,Territorier!$B$6:$B$15,0))/100),1))</f>
        <v/>
      </c>
      <c r="D17" s="12" t="str">
        <f aca="false">IF($B17="","",Sælgere!$C$17&amp;"")</f>
        <v/>
      </c>
      <c r="E17" s="41" t="str">
        <f aca="false">IF($B17="","",IF(N(Sælgere!$D$17)&lt;1,1,Sælgere!$D$17))</f>
        <v/>
      </c>
      <c r="F17" s="41" t="str">
        <f aca="false">IF($B17="","",IF(N(Sælgere!$F$17)&lt;1,12,Sælgere!$F$17))</f>
        <v/>
      </c>
      <c r="G17" s="42" t="n">
        <f aca="false">IF($B17="",0,IF(Sælgere!$G$17="",1,N(Sælgere!$G$17)))</f>
        <v>0</v>
      </c>
      <c r="H17" s="41" t="str">
        <f aca="false">IF($B17="","",N(Sælgere!$E$17))</f>
        <v/>
      </c>
      <c r="I17" s="41" t="n">
        <f aca="false">IF(AND($B17&lt;&gt;"",ISNA(MATCH(Sælgere!$C$17,Territorier!$B$6:$B$15,0))),1,0)</f>
        <v>0</v>
      </c>
      <c r="J17" s="41" t="n">
        <f aca="false">IF(AND($B17&lt;&gt;"",N(Sælgere!$H$17)&gt;0),1,0)</f>
        <v>0</v>
      </c>
      <c r="K17" s="40" t="n">
        <f aca="false">IF($B17="",0,IF(OR(1&lt;$E17,1&gt;$F17),0,INDEX(Indstillinger!$D$27:$D$38,1)*$G17*$C17*IF($H17=0,1,IF($H17+1-$E17&gt;6,1,INDEX(Indstillinger!$C$18:$C$23,$H17+1-$E17)))))</f>
        <v>0</v>
      </c>
      <c r="L17" s="40" t="n">
        <f aca="false">IF($B17="",0,IF(OR(2&lt;$E17,2&gt;$F17),0,INDEX(Indstillinger!$D$27:$D$38,2)*$G17*$C17*IF($H17=0,1,IF($H17+2-$E17&gt;6,1,INDEX(Indstillinger!$C$18:$C$23,$H17+2-$E17)))))</f>
        <v>0</v>
      </c>
      <c r="M17" s="40" t="n">
        <f aca="false">IF($B17="",0,IF(OR(3&lt;$E17,3&gt;$F17),0,INDEX(Indstillinger!$D$27:$D$38,3)*$G17*$C17*IF($H17=0,1,IF($H17+3-$E17&gt;6,1,INDEX(Indstillinger!$C$18:$C$23,$H17+3-$E17)))))</f>
        <v>0</v>
      </c>
      <c r="N17" s="40" t="n">
        <f aca="false">IF($B17="",0,IF(OR(4&lt;$E17,4&gt;$F17),0,INDEX(Indstillinger!$D$27:$D$38,4)*$G17*$C17*IF($H17=0,1,IF($H17+4-$E17&gt;6,1,INDEX(Indstillinger!$C$18:$C$23,$H17+4-$E17)))))</f>
        <v>0</v>
      </c>
      <c r="O17" s="40" t="n">
        <f aca="false">IF($B17="",0,IF(OR(5&lt;$E17,5&gt;$F17),0,INDEX(Indstillinger!$D$27:$D$38,5)*$G17*$C17*IF($H17=0,1,IF($H17+5-$E17&gt;6,1,INDEX(Indstillinger!$C$18:$C$23,$H17+5-$E17)))))</f>
        <v>0</v>
      </c>
      <c r="P17" s="40" t="n">
        <f aca="false">IF($B17="",0,IF(OR(6&lt;$E17,6&gt;$F17),0,INDEX(Indstillinger!$D$27:$D$38,6)*$G17*$C17*IF($H17=0,1,IF($H17+6-$E17&gt;6,1,INDEX(Indstillinger!$C$18:$C$23,$H17+6-$E17)))))</f>
        <v>0</v>
      </c>
      <c r="Q17" s="40" t="n">
        <f aca="false">IF($B17="",0,IF(OR(7&lt;$E17,7&gt;$F17),0,INDEX(Indstillinger!$D$27:$D$38,7)*$G17*$C17*IF($H17=0,1,IF($H17+7-$E17&gt;6,1,INDEX(Indstillinger!$C$18:$C$23,$H17+7-$E17)))))</f>
        <v>0</v>
      </c>
      <c r="R17" s="40" t="n">
        <f aca="false">IF($B17="",0,IF(OR(8&lt;$E17,8&gt;$F17),0,INDEX(Indstillinger!$D$27:$D$38,8)*$G17*$C17*IF($H17=0,1,IF($H17+8-$E17&gt;6,1,INDEX(Indstillinger!$C$18:$C$23,$H17+8-$E17)))))</f>
        <v>0</v>
      </c>
      <c r="S17" s="40" t="n">
        <f aca="false">IF($B17="",0,IF(OR(9&lt;$E17,9&gt;$F17),0,INDEX(Indstillinger!$D$27:$D$38,9)*$G17*$C17*IF($H17=0,1,IF($H17+9-$E17&gt;6,1,INDEX(Indstillinger!$C$18:$C$23,$H17+9-$E17)))))</f>
        <v>0</v>
      </c>
      <c r="T17" s="40" t="n">
        <f aca="false">IF($B17="",0,IF(OR(10&lt;$E17,10&gt;$F17),0,INDEX(Indstillinger!$D$27:$D$38,10)*$G17*$C17*IF($H17=0,1,IF($H17+10-$E17&gt;6,1,INDEX(Indstillinger!$C$18:$C$23,$H17+10-$E17)))))</f>
        <v>0</v>
      </c>
      <c r="U17" s="40" t="n">
        <f aca="false">IF($B17="",0,IF(OR(11&lt;$E17,11&gt;$F17),0,INDEX(Indstillinger!$D$27:$D$38,11)*$G17*$C17*IF($H17=0,1,IF($H17+11-$E17&gt;6,1,INDEX(Indstillinger!$C$18:$C$23,$H17+11-$E17)))))</f>
        <v>0</v>
      </c>
      <c r="V17" s="40" t="n">
        <f aca="false">IF($B17="",0,IF(OR(12&lt;$E17,12&gt;$F17),0,INDEX(Indstillinger!$D$27:$D$38,12)*$G17*$C17*IF($H17=0,1,IF($H17+12-$E17&gt;6,1,INDEX(Indstillinger!$C$18:$C$23,$H17+12-$E17)))))</f>
        <v>0</v>
      </c>
      <c r="W17" s="40" t="n">
        <f aca="false">SUM(K17:V17)</f>
        <v>0</v>
      </c>
      <c r="X17" s="33" t="n">
        <f aca="false">IF($J17=1,N(Sælgere!$H$17),0)</f>
        <v>0</v>
      </c>
      <c r="Y17" s="40" t="n">
        <f aca="false">IF($J17=1,0,W17)</f>
        <v>0</v>
      </c>
      <c r="Z17" s="32" t="n">
        <f aca="false">IF(OR($B17="",$J17=1),0,SUMPRODUCT(--(K17:V17&gt;0),$K$4:$V$4)*$G17)</f>
        <v>0</v>
      </c>
    </row>
    <row r="18" customFormat="false" ht="15" hidden="false" customHeight="false" outlineLevel="0" collapsed="false">
      <c r="B18" s="12" t="str">
        <f aca="false">IF(Sælgere!$B$18="","",Sælgere!$B$18)</f>
        <v/>
      </c>
      <c r="C18" s="32" t="str">
        <f aca="false">IF($B18="","",IFERROR(IF(INDEX(Territorier!$C$6:$C$15,MATCH(Sælgere!$C$18,Territorier!$B$6:$B$15,0))="",1,INDEX(Territorier!$C$6:$C$15,MATCH(Sælgere!$C$18,Territorier!$B$6:$B$15,0))/100),1))</f>
        <v/>
      </c>
      <c r="D18" s="12" t="str">
        <f aca="false">IF($B18="","",Sælgere!$C$18&amp;"")</f>
        <v/>
      </c>
      <c r="E18" s="41" t="str">
        <f aca="false">IF($B18="","",IF(N(Sælgere!$D$18)&lt;1,1,Sælgere!$D$18))</f>
        <v/>
      </c>
      <c r="F18" s="41" t="str">
        <f aca="false">IF($B18="","",IF(N(Sælgere!$F$18)&lt;1,12,Sælgere!$F$18))</f>
        <v/>
      </c>
      <c r="G18" s="42" t="n">
        <f aca="false">IF($B18="",0,IF(Sælgere!$G$18="",1,N(Sælgere!$G$18)))</f>
        <v>0</v>
      </c>
      <c r="H18" s="41" t="str">
        <f aca="false">IF($B18="","",N(Sælgere!$E$18))</f>
        <v/>
      </c>
      <c r="I18" s="41" t="n">
        <f aca="false">IF(AND($B18&lt;&gt;"",ISNA(MATCH(Sælgere!$C$18,Territorier!$B$6:$B$15,0))),1,0)</f>
        <v>0</v>
      </c>
      <c r="J18" s="41" t="n">
        <f aca="false">IF(AND($B18&lt;&gt;"",N(Sælgere!$H$18)&gt;0),1,0)</f>
        <v>0</v>
      </c>
      <c r="K18" s="40" t="n">
        <f aca="false">IF($B18="",0,IF(OR(1&lt;$E18,1&gt;$F18),0,INDEX(Indstillinger!$D$27:$D$38,1)*$G18*$C18*IF($H18=0,1,IF($H18+1-$E18&gt;6,1,INDEX(Indstillinger!$C$18:$C$23,$H18+1-$E18)))))</f>
        <v>0</v>
      </c>
      <c r="L18" s="40" t="n">
        <f aca="false">IF($B18="",0,IF(OR(2&lt;$E18,2&gt;$F18),0,INDEX(Indstillinger!$D$27:$D$38,2)*$G18*$C18*IF($H18=0,1,IF($H18+2-$E18&gt;6,1,INDEX(Indstillinger!$C$18:$C$23,$H18+2-$E18)))))</f>
        <v>0</v>
      </c>
      <c r="M18" s="40" t="n">
        <f aca="false">IF($B18="",0,IF(OR(3&lt;$E18,3&gt;$F18),0,INDEX(Indstillinger!$D$27:$D$38,3)*$G18*$C18*IF($H18=0,1,IF($H18+3-$E18&gt;6,1,INDEX(Indstillinger!$C$18:$C$23,$H18+3-$E18)))))</f>
        <v>0</v>
      </c>
      <c r="N18" s="40" t="n">
        <f aca="false">IF($B18="",0,IF(OR(4&lt;$E18,4&gt;$F18),0,INDEX(Indstillinger!$D$27:$D$38,4)*$G18*$C18*IF($H18=0,1,IF($H18+4-$E18&gt;6,1,INDEX(Indstillinger!$C$18:$C$23,$H18+4-$E18)))))</f>
        <v>0</v>
      </c>
      <c r="O18" s="40" t="n">
        <f aca="false">IF($B18="",0,IF(OR(5&lt;$E18,5&gt;$F18),0,INDEX(Indstillinger!$D$27:$D$38,5)*$G18*$C18*IF($H18=0,1,IF($H18+5-$E18&gt;6,1,INDEX(Indstillinger!$C$18:$C$23,$H18+5-$E18)))))</f>
        <v>0</v>
      </c>
      <c r="P18" s="40" t="n">
        <f aca="false">IF($B18="",0,IF(OR(6&lt;$E18,6&gt;$F18),0,INDEX(Indstillinger!$D$27:$D$38,6)*$G18*$C18*IF($H18=0,1,IF($H18+6-$E18&gt;6,1,INDEX(Indstillinger!$C$18:$C$23,$H18+6-$E18)))))</f>
        <v>0</v>
      </c>
      <c r="Q18" s="40" t="n">
        <f aca="false">IF($B18="",0,IF(OR(7&lt;$E18,7&gt;$F18),0,INDEX(Indstillinger!$D$27:$D$38,7)*$G18*$C18*IF($H18=0,1,IF($H18+7-$E18&gt;6,1,INDEX(Indstillinger!$C$18:$C$23,$H18+7-$E18)))))</f>
        <v>0</v>
      </c>
      <c r="R18" s="40" t="n">
        <f aca="false">IF($B18="",0,IF(OR(8&lt;$E18,8&gt;$F18),0,INDEX(Indstillinger!$D$27:$D$38,8)*$G18*$C18*IF($H18=0,1,IF($H18+8-$E18&gt;6,1,INDEX(Indstillinger!$C$18:$C$23,$H18+8-$E18)))))</f>
        <v>0</v>
      </c>
      <c r="S18" s="40" t="n">
        <f aca="false">IF($B18="",0,IF(OR(9&lt;$E18,9&gt;$F18),0,INDEX(Indstillinger!$D$27:$D$38,9)*$G18*$C18*IF($H18=0,1,IF($H18+9-$E18&gt;6,1,INDEX(Indstillinger!$C$18:$C$23,$H18+9-$E18)))))</f>
        <v>0</v>
      </c>
      <c r="T18" s="40" t="n">
        <f aca="false">IF($B18="",0,IF(OR(10&lt;$E18,10&gt;$F18),0,INDEX(Indstillinger!$D$27:$D$38,10)*$G18*$C18*IF($H18=0,1,IF($H18+10-$E18&gt;6,1,INDEX(Indstillinger!$C$18:$C$23,$H18+10-$E18)))))</f>
        <v>0</v>
      </c>
      <c r="U18" s="40" t="n">
        <f aca="false">IF($B18="",0,IF(OR(11&lt;$E18,11&gt;$F18),0,INDEX(Indstillinger!$D$27:$D$38,11)*$G18*$C18*IF($H18=0,1,IF($H18+11-$E18&gt;6,1,INDEX(Indstillinger!$C$18:$C$23,$H18+11-$E18)))))</f>
        <v>0</v>
      </c>
      <c r="V18" s="40" t="n">
        <f aca="false">IF($B18="",0,IF(OR(12&lt;$E18,12&gt;$F18),0,INDEX(Indstillinger!$D$27:$D$38,12)*$G18*$C18*IF($H18=0,1,IF($H18+12-$E18&gt;6,1,INDEX(Indstillinger!$C$18:$C$23,$H18+12-$E18)))))</f>
        <v>0</v>
      </c>
      <c r="W18" s="40" t="n">
        <f aca="false">SUM(K18:V18)</f>
        <v>0</v>
      </c>
      <c r="X18" s="33" t="n">
        <f aca="false">IF($J18=1,N(Sælgere!$H$18),0)</f>
        <v>0</v>
      </c>
      <c r="Y18" s="40" t="n">
        <f aca="false">IF($J18=1,0,W18)</f>
        <v>0</v>
      </c>
      <c r="Z18" s="32" t="n">
        <f aca="false">IF(OR($B18="",$J18=1),0,SUMPRODUCT(--(K18:V18&gt;0),$K$4:$V$4)*$G18)</f>
        <v>0</v>
      </c>
    </row>
    <row r="19" customFormat="false" ht="15" hidden="false" customHeight="false" outlineLevel="0" collapsed="false">
      <c r="B19" s="12" t="str">
        <f aca="false">IF(Sælgere!$B$19="","",Sælgere!$B$19)</f>
        <v/>
      </c>
      <c r="C19" s="32" t="str">
        <f aca="false">IF($B19="","",IFERROR(IF(INDEX(Territorier!$C$6:$C$15,MATCH(Sælgere!$C$19,Territorier!$B$6:$B$15,0))="",1,INDEX(Territorier!$C$6:$C$15,MATCH(Sælgere!$C$19,Territorier!$B$6:$B$15,0))/100),1))</f>
        <v/>
      </c>
      <c r="D19" s="12" t="str">
        <f aca="false">IF($B19="","",Sælgere!$C$19&amp;"")</f>
        <v/>
      </c>
      <c r="E19" s="41" t="str">
        <f aca="false">IF($B19="","",IF(N(Sælgere!$D$19)&lt;1,1,Sælgere!$D$19))</f>
        <v/>
      </c>
      <c r="F19" s="41" t="str">
        <f aca="false">IF($B19="","",IF(N(Sælgere!$F$19)&lt;1,12,Sælgere!$F$19))</f>
        <v/>
      </c>
      <c r="G19" s="42" t="n">
        <f aca="false">IF($B19="",0,IF(Sælgere!$G$19="",1,N(Sælgere!$G$19)))</f>
        <v>0</v>
      </c>
      <c r="H19" s="41" t="str">
        <f aca="false">IF($B19="","",N(Sælgere!$E$19))</f>
        <v/>
      </c>
      <c r="I19" s="41" t="n">
        <f aca="false">IF(AND($B19&lt;&gt;"",ISNA(MATCH(Sælgere!$C$19,Territorier!$B$6:$B$15,0))),1,0)</f>
        <v>0</v>
      </c>
      <c r="J19" s="41" t="n">
        <f aca="false">IF(AND($B19&lt;&gt;"",N(Sælgere!$H$19)&gt;0),1,0)</f>
        <v>0</v>
      </c>
      <c r="K19" s="40" t="n">
        <f aca="false">IF($B19="",0,IF(OR(1&lt;$E19,1&gt;$F19),0,INDEX(Indstillinger!$D$27:$D$38,1)*$G19*$C19*IF($H19=0,1,IF($H19+1-$E19&gt;6,1,INDEX(Indstillinger!$C$18:$C$23,$H19+1-$E19)))))</f>
        <v>0</v>
      </c>
      <c r="L19" s="40" t="n">
        <f aca="false">IF($B19="",0,IF(OR(2&lt;$E19,2&gt;$F19),0,INDEX(Indstillinger!$D$27:$D$38,2)*$G19*$C19*IF($H19=0,1,IF($H19+2-$E19&gt;6,1,INDEX(Indstillinger!$C$18:$C$23,$H19+2-$E19)))))</f>
        <v>0</v>
      </c>
      <c r="M19" s="40" t="n">
        <f aca="false">IF($B19="",0,IF(OR(3&lt;$E19,3&gt;$F19),0,INDEX(Indstillinger!$D$27:$D$38,3)*$G19*$C19*IF($H19=0,1,IF($H19+3-$E19&gt;6,1,INDEX(Indstillinger!$C$18:$C$23,$H19+3-$E19)))))</f>
        <v>0</v>
      </c>
      <c r="N19" s="40" t="n">
        <f aca="false">IF($B19="",0,IF(OR(4&lt;$E19,4&gt;$F19),0,INDEX(Indstillinger!$D$27:$D$38,4)*$G19*$C19*IF($H19=0,1,IF($H19+4-$E19&gt;6,1,INDEX(Indstillinger!$C$18:$C$23,$H19+4-$E19)))))</f>
        <v>0</v>
      </c>
      <c r="O19" s="40" t="n">
        <f aca="false">IF($B19="",0,IF(OR(5&lt;$E19,5&gt;$F19),0,INDEX(Indstillinger!$D$27:$D$38,5)*$G19*$C19*IF($H19=0,1,IF($H19+5-$E19&gt;6,1,INDEX(Indstillinger!$C$18:$C$23,$H19+5-$E19)))))</f>
        <v>0</v>
      </c>
      <c r="P19" s="40" t="n">
        <f aca="false">IF($B19="",0,IF(OR(6&lt;$E19,6&gt;$F19),0,INDEX(Indstillinger!$D$27:$D$38,6)*$G19*$C19*IF($H19=0,1,IF($H19+6-$E19&gt;6,1,INDEX(Indstillinger!$C$18:$C$23,$H19+6-$E19)))))</f>
        <v>0</v>
      </c>
      <c r="Q19" s="40" t="n">
        <f aca="false">IF($B19="",0,IF(OR(7&lt;$E19,7&gt;$F19),0,INDEX(Indstillinger!$D$27:$D$38,7)*$G19*$C19*IF($H19=0,1,IF($H19+7-$E19&gt;6,1,INDEX(Indstillinger!$C$18:$C$23,$H19+7-$E19)))))</f>
        <v>0</v>
      </c>
      <c r="R19" s="40" t="n">
        <f aca="false">IF($B19="",0,IF(OR(8&lt;$E19,8&gt;$F19),0,INDEX(Indstillinger!$D$27:$D$38,8)*$G19*$C19*IF($H19=0,1,IF($H19+8-$E19&gt;6,1,INDEX(Indstillinger!$C$18:$C$23,$H19+8-$E19)))))</f>
        <v>0</v>
      </c>
      <c r="S19" s="40" t="n">
        <f aca="false">IF($B19="",0,IF(OR(9&lt;$E19,9&gt;$F19),0,INDEX(Indstillinger!$D$27:$D$38,9)*$G19*$C19*IF($H19=0,1,IF($H19+9-$E19&gt;6,1,INDEX(Indstillinger!$C$18:$C$23,$H19+9-$E19)))))</f>
        <v>0</v>
      </c>
      <c r="T19" s="40" t="n">
        <f aca="false">IF($B19="",0,IF(OR(10&lt;$E19,10&gt;$F19),0,INDEX(Indstillinger!$D$27:$D$38,10)*$G19*$C19*IF($H19=0,1,IF($H19+10-$E19&gt;6,1,INDEX(Indstillinger!$C$18:$C$23,$H19+10-$E19)))))</f>
        <v>0</v>
      </c>
      <c r="U19" s="40" t="n">
        <f aca="false">IF($B19="",0,IF(OR(11&lt;$E19,11&gt;$F19),0,INDEX(Indstillinger!$D$27:$D$38,11)*$G19*$C19*IF($H19=0,1,IF($H19+11-$E19&gt;6,1,INDEX(Indstillinger!$C$18:$C$23,$H19+11-$E19)))))</f>
        <v>0</v>
      </c>
      <c r="V19" s="40" t="n">
        <f aca="false">IF($B19="",0,IF(OR(12&lt;$E19,12&gt;$F19),0,INDEX(Indstillinger!$D$27:$D$38,12)*$G19*$C19*IF($H19=0,1,IF($H19+12-$E19&gt;6,1,INDEX(Indstillinger!$C$18:$C$23,$H19+12-$E19)))))</f>
        <v>0</v>
      </c>
      <c r="W19" s="40" t="n">
        <f aca="false">SUM(K19:V19)</f>
        <v>0</v>
      </c>
      <c r="X19" s="33" t="n">
        <f aca="false">IF($J19=1,N(Sælgere!$H$19),0)</f>
        <v>0</v>
      </c>
      <c r="Y19" s="40" t="n">
        <f aca="false">IF($J19=1,0,W19)</f>
        <v>0</v>
      </c>
      <c r="Z19" s="32" t="n">
        <f aca="false">IF(OR($B19="",$J19=1),0,SUMPRODUCT(--(K19:V19&gt;0),$K$4:$V$4)*$G19)</f>
        <v>0</v>
      </c>
    </row>
    <row r="20" customFormat="false" ht="15" hidden="false" customHeight="false" outlineLevel="0" collapsed="false">
      <c r="B20" s="12" t="str">
        <f aca="false">IF(Sælgere!$B$20="","",Sælgere!$B$20)</f>
        <v/>
      </c>
      <c r="C20" s="32" t="str">
        <f aca="false">IF($B20="","",IFERROR(IF(INDEX(Territorier!$C$6:$C$15,MATCH(Sælgere!$C$20,Territorier!$B$6:$B$15,0))="",1,INDEX(Territorier!$C$6:$C$15,MATCH(Sælgere!$C$20,Territorier!$B$6:$B$15,0))/100),1))</f>
        <v/>
      </c>
      <c r="D20" s="12" t="str">
        <f aca="false">IF($B20="","",Sælgere!$C$20&amp;"")</f>
        <v/>
      </c>
      <c r="E20" s="41" t="str">
        <f aca="false">IF($B20="","",IF(N(Sælgere!$D$20)&lt;1,1,Sælgere!$D$20))</f>
        <v/>
      </c>
      <c r="F20" s="41" t="str">
        <f aca="false">IF($B20="","",IF(N(Sælgere!$F$20)&lt;1,12,Sælgere!$F$20))</f>
        <v/>
      </c>
      <c r="G20" s="42" t="n">
        <f aca="false">IF($B20="",0,IF(Sælgere!$G$20="",1,N(Sælgere!$G$20)))</f>
        <v>0</v>
      </c>
      <c r="H20" s="41" t="str">
        <f aca="false">IF($B20="","",N(Sælgere!$E$20))</f>
        <v/>
      </c>
      <c r="I20" s="41" t="n">
        <f aca="false">IF(AND($B20&lt;&gt;"",ISNA(MATCH(Sælgere!$C$20,Territorier!$B$6:$B$15,0))),1,0)</f>
        <v>0</v>
      </c>
      <c r="J20" s="41" t="n">
        <f aca="false">IF(AND($B20&lt;&gt;"",N(Sælgere!$H$20)&gt;0),1,0)</f>
        <v>0</v>
      </c>
      <c r="K20" s="40" t="n">
        <f aca="false">IF($B20="",0,IF(OR(1&lt;$E20,1&gt;$F20),0,INDEX(Indstillinger!$D$27:$D$38,1)*$G20*$C20*IF($H20=0,1,IF($H20+1-$E20&gt;6,1,INDEX(Indstillinger!$C$18:$C$23,$H20+1-$E20)))))</f>
        <v>0</v>
      </c>
      <c r="L20" s="40" t="n">
        <f aca="false">IF($B20="",0,IF(OR(2&lt;$E20,2&gt;$F20),0,INDEX(Indstillinger!$D$27:$D$38,2)*$G20*$C20*IF($H20=0,1,IF($H20+2-$E20&gt;6,1,INDEX(Indstillinger!$C$18:$C$23,$H20+2-$E20)))))</f>
        <v>0</v>
      </c>
      <c r="M20" s="40" t="n">
        <f aca="false">IF($B20="",0,IF(OR(3&lt;$E20,3&gt;$F20),0,INDEX(Indstillinger!$D$27:$D$38,3)*$G20*$C20*IF($H20=0,1,IF($H20+3-$E20&gt;6,1,INDEX(Indstillinger!$C$18:$C$23,$H20+3-$E20)))))</f>
        <v>0</v>
      </c>
      <c r="N20" s="40" t="n">
        <f aca="false">IF($B20="",0,IF(OR(4&lt;$E20,4&gt;$F20),0,INDEX(Indstillinger!$D$27:$D$38,4)*$G20*$C20*IF($H20=0,1,IF($H20+4-$E20&gt;6,1,INDEX(Indstillinger!$C$18:$C$23,$H20+4-$E20)))))</f>
        <v>0</v>
      </c>
      <c r="O20" s="40" t="n">
        <f aca="false">IF($B20="",0,IF(OR(5&lt;$E20,5&gt;$F20),0,INDEX(Indstillinger!$D$27:$D$38,5)*$G20*$C20*IF($H20=0,1,IF($H20+5-$E20&gt;6,1,INDEX(Indstillinger!$C$18:$C$23,$H20+5-$E20)))))</f>
        <v>0</v>
      </c>
      <c r="P20" s="40" t="n">
        <f aca="false">IF($B20="",0,IF(OR(6&lt;$E20,6&gt;$F20),0,INDEX(Indstillinger!$D$27:$D$38,6)*$G20*$C20*IF($H20=0,1,IF($H20+6-$E20&gt;6,1,INDEX(Indstillinger!$C$18:$C$23,$H20+6-$E20)))))</f>
        <v>0</v>
      </c>
      <c r="Q20" s="40" t="n">
        <f aca="false">IF($B20="",0,IF(OR(7&lt;$E20,7&gt;$F20),0,INDEX(Indstillinger!$D$27:$D$38,7)*$G20*$C20*IF($H20=0,1,IF($H20+7-$E20&gt;6,1,INDEX(Indstillinger!$C$18:$C$23,$H20+7-$E20)))))</f>
        <v>0</v>
      </c>
      <c r="R20" s="40" t="n">
        <f aca="false">IF($B20="",0,IF(OR(8&lt;$E20,8&gt;$F20),0,INDEX(Indstillinger!$D$27:$D$38,8)*$G20*$C20*IF($H20=0,1,IF($H20+8-$E20&gt;6,1,INDEX(Indstillinger!$C$18:$C$23,$H20+8-$E20)))))</f>
        <v>0</v>
      </c>
      <c r="S20" s="40" t="n">
        <f aca="false">IF($B20="",0,IF(OR(9&lt;$E20,9&gt;$F20),0,INDEX(Indstillinger!$D$27:$D$38,9)*$G20*$C20*IF($H20=0,1,IF($H20+9-$E20&gt;6,1,INDEX(Indstillinger!$C$18:$C$23,$H20+9-$E20)))))</f>
        <v>0</v>
      </c>
      <c r="T20" s="40" t="n">
        <f aca="false">IF($B20="",0,IF(OR(10&lt;$E20,10&gt;$F20),0,INDEX(Indstillinger!$D$27:$D$38,10)*$G20*$C20*IF($H20=0,1,IF($H20+10-$E20&gt;6,1,INDEX(Indstillinger!$C$18:$C$23,$H20+10-$E20)))))</f>
        <v>0</v>
      </c>
      <c r="U20" s="40" t="n">
        <f aca="false">IF($B20="",0,IF(OR(11&lt;$E20,11&gt;$F20),0,INDEX(Indstillinger!$D$27:$D$38,11)*$G20*$C20*IF($H20=0,1,IF($H20+11-$E20&gt;6,1,INDEX(Indstillinger!$C$18:$C$23,$H20+11-$E20)))))</f>
        <v>0</v>
      </c>
      <c r="V20" s="40" t="n">
        <f aca="false">IF($B20="",0,IF(OR(12&lt;$E20,12&gt;$F20),0,INDEX(Indstillinger!$D$27:$D$38,12)*$G20*$C20*IF($H20=0,1,IF($H20+12-$E20&gt;6,1,INDEX(Indstillinger!$C$18:$C$23,$H20+12-$E20)))))</f>
        <v>0</v>
      </c>
      <c r="W20" s="40" t="n">
        <f aca="false">SUM(K20:V20)</f>
        <v>0</v>
      </c>
      <c r="X20" s="33" t="n">
        <f aca="false">IF($J20=1,N(Sælgere!$H$20),0)</f>
        <v>0</v>
      </c>
      <c r="Y20" s="40" t="n">
        <f aca="false">IF($J20=1,0,W20)</f>
        <v>0</v>
      </c>
      <c r="Z20" s="32" t="n">
        <f aca="false">IF(OR($B20="",$J20=1),0,SUMPRODUCT(--(K20:V20&gt;0),$K$4:$V$4)*$G20)</f>
        <v>0</v>
      </c>
    </row>
    <row r="21" customFormat="false" ht="15" hidden="false" customHeight="false" outlineLevel="0" collapsed="false">
      <c r="B21" s="12" t="str">
        <f aca="false">IF(Sælgere!$B$21="","",Sælgere!$B$21)</f>
        <v/>
      </c>
      <c r="C21" s="32" t="str">
        <f aca="false">IF($B21="","",IFERROR(IF(INDEX(Territorier!$C$6:$C$15,MATCH(Sælgere!$C$21,Territorier!$B$6:$B$15,0))="",1,INDEX(Territorier!$C$6:$C$15,MATCH(Sælgere!$C$21,Territorier!$B$6:$B$15,0))/100),1))</f>
        <v/>
      </c>
      <c r="D21" s="12" t="str">
        <f aca="false">IF($B21="","",Sælgere!$C$21&amp;"")</f>
        <v/>
      </c>
      <c r="E21" s="41" t="str">
        <f aca="false">IF($B21="","",IF(N(Sælgere!$D$21)&lt;1,1,Sælgere!$D$21))</f>
        <v/>
      </c>
      <c r="F21" s="41" t="str">
        <f aca="false">IF($B21="","",IF(N(Sælgere!$F$21)&lt;1,12,Sælgere!$F$21))</f>
        <v/>
      </c>
      <c r="G21" s="42" t="n">
        <f aca="false">IF($B21="",0,IF(Sælgere!$G$21="",1,N(Sælgere!$G$21)))</f>
        <v>0</v>
      </c>
      <c r="H21" s="41" t="str">
        <f aca="false">IF($B21="","",N(Sælgere!$E$21))</f>
        <v/>
      </c>
      <c r="I21" s="41" t="n">
        <f aca="false">IF(AND($B21&lt;&gt;"",ISNA(MATCH(Sælgere!$C$21,Territorier!$B$6:$B$15,0))),1,0)</f>
        <v>0</v>
      </c>
      <c r="J21" s="41" t="n">
        <f aca="false">IF(AND($B21&lt;&gt;"",N(Sælgere!$H$21)&gt;0),1,0)</f>
        <v>0</v>
      </c>
      <c r="K21" s="40" t="n">
        <f aca="false">IF($B21="",0,IF(OR(1&lt;$E21,1&gt;$F21),0,INDEX(Indstillinger!$D$27:$D$38,1)*$G21*$C21*IF($H21=0,1,IF($H21+1-$E21&gt;6,1,INDEX(Indstillinger!$C$18:$C$23,$H21+1-$E21)))))</f>
        <v>0</v>
      </c>
      <c r="L21" s="40" t="n">
        <f aca="false">IF($B21="",0,IF(OR(2&lt;$E21,2&gt;$F21),0,INDEX(Indstillinger!$D$27:$D$38,2)*$G21*$C21*IF($H21=0,1,IF($H21+2-$E21&gt;6,1,INDEX(Indstillinger!$C$18:$C$23,$H21+2-$E21)))))</f>
        <v>0</v>
      </c>
      <c r="M21" s="40" t="n">
        <f aca="false">IF($B21="",0,IF(OR(3&lt;$E21,3&gt;$F21),0,INDEX(Indstillinger!$D$27:$D$38,3)*$G21*$C21*IF($H21=0,1,IF($H21+3-$E21&gt;6,1,INDEX(Indstillinger!$C$18:$C$23,$H21+3-$E21)))))</f>
        <v>0</v>
      </c>
      <c r="N21" s="40" t="n">
        <f aca="false">IF($B21="",0,IF(OR(4&lt;$E21,4&gt;$F21),0,INDEX(Indstillinger!$D$27:$D$38,4)*$G21*$C21*IF($H21=0,1,IF($H21+4-$E21&gt;6,1,INDEX(Indstillinger!$C$18:$C$23,$H21+4-$E21)))))</f>
        <v>0</v>
      </c>
      <c r="O21" s="40" t="n">
        <f aca="false">IF($B21="",0,IF(OR(5&lt;$E21,5&gt;$F21),0,INDEX(Indstillinger!$D$27:$D$38,5)*$G21*$C21*IF($H21=0,1,IF($H21+5-$E21&gt;6,1,INDEX(Indstillinger!$C$18:$C$23,$H21+5-$E21)))))</f>
        <v>0</v>
      </c>
      <c r="P21" s="40" t="n">
        <f aca="false">IF($B21="",0,IF(OR(6&lt;$E21,6&gt;$F21),0,INDEX(Indstillinger!$D$27:$D$38,6)*$G21*$C21*IF($H21=0,1,IF($H21+6-$E21&gt;6,1,INDEX(Indstillinger!$C$18:$C$23,$H21+6-$E21)))))</f>
        <v>0</v>
      </c>
      <c r="Q21" s="40" t="n">
        <f aca="false">IF($B21="",0,IF(OR(7&lt;$E21,7&gt;$F21),0,INDEX(Indstillinger!$D$27:$D$38,7)*$G21*$C21*IF($H21=0,1,IF($H21+7-$E21&gt;6,1,INDEX(Indstillinger!$C$18:$C$23,$H21+7-$E21)))))</f>
        <v>0</v>
      </c>
      <c r="R21" s="40" t="n">
        <f aca="false">IF($B21="",0,IF(OR(8&lt;$E21,8&gt;$F21),0,INDEX(Indstillinger!$D$27:$D$38,8)*$G21*$C21*IF($H21=0,1,IF($H21+8-$E21&gt;6,1,INDEX(Indstillinger!$C$18:$C$23,$H21+8-$E21)))))</f>
        <v>0</v>
      </c>
      <c r="S21" s="40" t="n">
        <f aca="false">IF($B21="",0,IF(OR(9&lt;$E21,9&gt;$F21),0,INDEX(Indstillinger!$D$27:$D$38,9)*$G21*$C21*IF($H21=0,1,IF($H21+9-$E21&gt;6,1,INDEX(Indstillinger!$C$18:$C$23,$H21+9-$E21)))))</f>
        <v>0</v>
      </c>
      <c r="T21" s="40" t="n">
        <f aca="false">IF($B21="",0,IF(OR(10&lt;$E21,10&gt;$F21),0,INDEX(Indstillinger!$D$27:$D$38,10)*$G21*$C21*IF($H21=0,1,IF($H21+10-$E21&gt;6,1,INDEX(Indstillinger!$C$18:$C$23,$H21+10-$E21)))))</f>
        <v>0</v>
      </c>
      <c r="U21" s="40" t="n">
        <f aca="false">IF($B21="",0,IF(OR(11&lt;$E21,11&gt;$F21),0,INDEX(Indstillinger!$D$27:$D$38,11)*$G21*$C21*IF($H21=0,1,IF($H21+11-$E21&gt;6,1,INDEX(Indstillinger!$C$18:$C$23,$H21+11-$E21)))))</f>
        <v>0</v>
      </c>
      <c r="V21" s="40" t="n">
        <f aca="false">IF($B21="",0,IF(OR(12&lt;$E21,12&gt;$F21),0,INDEX(Indstillinger!$D$27:$D$38,12)*$G21*$C21*IF($H21=0,1,IF($H21+12-$E21&gt;6,1,INDEX(Indstillinger!$C$18:$C$23,$H21+12-$E21)))))</f>
        <v>0</v>
      </c>
      <c r="W21" s="40" t="n">
        <f aca="false">SUM(K21:V21)</f>
        <v>0</v>
      </c>
      <c r="X21" s="33" t="n">
        <f aca="false">IF($J21=1,N(Sælgere!$H$21),0)</f>
        <v>0</v>
      </c>
      <c r="Y21" s="40" t="n">
        <f aca="false">IF($J21=1,0,W21)</f>
        <v>0</v>
      </c>
      <c r="Z21" s="32" t="n">
        <f aca="false">IF(OR($B21="",$J21=1),0,SUMPRODUCT(--(K21:V21&gt;0),$K$4:$V$4)*$G21)</f>
        <v>0</v>
      </c>
    </row>
    <row r="22" customFormat="false" ht="15" hidden="false" customHeight="false" outlineLevel="0" collapsed="false">
      <c r="B22" s="12" t="str">
        <f aca="false">IF(Sælgere!$B$22="","",Sælgere!$B$22)</f>
        <v/>
      </c>
      <c r="C22" s="32" t="str">
        <f aca="false">IF($B22="","",IFERROR(IF(INDEX(Territorier!$C$6:$C$15,MATCH(Sælgere!$C$22,Territorier!$B$6:$B$15,0))="",1,INDEX(Territorier!$C$6:$C$15,MATCH(Sælgere!$C$22,Territorier!$B$6:$B$15,0))/100),1))</f>
        <v/>
      </c>
      <c r="D22" s="12" t="str">
        <f aca="false">IF($B22="","",Sælgere!$C$22&amp;"")</f>
        <v/>
      </c>
      <c r="E22" s="41" t="str">
        <f aca="false">IF($B22="","",IF(N(Sælgere!$D$22)&lt;1,1,Sælgere!$D$22))</f>
        <v/>
      </c>
      <c r="F22" s="41" t="str">
        <f aca="false">IF($B22="","",IF(N(Sælgere!$F$22)&lt;1,12,Sælgere!$F$22))</f>
        <v/>
      </c>
      <c r="G22" s="42" t="n">
        <f aca="false">IF($B22="",0,IF(Sælgere!$G$22="",1,N(Sælgere!$G$22)))</f>
        <v>0</v>
      </c>
      <c r="H22" s="41" t="str">
        <f aca="false">IF($B22="","",N(Sælgere!$E$22))</f>
        <v/>
      </c>
      <c r="I22" s="41" t="n">
        <f aca="false">IF(AND($B22&lt;&gt;"",ISNA(MATCH(Sælgere!$C$22,Territorier!$B$6:$B$15,0))),1,0)</f>
        <v>0</v>
      </c>
      <c r="J22" s="41" t="n">
        <f aca="false">IF(AND($B22&lt;&gt;"",N(Sælgere!$H$22)&gt;0),1,0)</f>
        <v>0</v>
      </c>
      <c r="K22" s="40" t="n">
        <f aca="false">IF($B22="",0,IF(OR(1&lt;$E22,1&gt;$F22),0,INDEX(Indstillinger!$D$27:$D$38,1)*$G22*$C22*IF($H22=0,1,IF($H22+1-$E22&gt;6,1,INDEX(Indstillinger!$C$18:$C$23,$H22+1-$E22)))))</f>
        <v>0</v>
      </c>
      <c r="L22" s="40" t="n">
        <f aca="false">IF($B22="",0,IF(OR(2&lt;$E22,2&gt;$F22),0,INDEX(Indstillinger!$D$27:$D$38,2)*$G22*$C22*IF($H22=0,1,IF($H22+2-$E22&gt;6,1,INDEX(Indstillinger!$C$18:$C$23,$H22+2-$E22)))))</f>
        <v>0</v>
      </c>
      <c r="M22" s="40" t="n">
        <f aca="false">IF($B22="",0,IF(OR(3&lt;$E22,3&gt;$F22),0,INDEX(Indstillinger!$D$27:$D$38,3)*$G22*$C22*IF($H22=0,1,IF($H22+3-$E22&gt;6,1,INDEX(Indstillinger!$C$18:$C$23,$H22+3-$E22)))))</f>
        <v>0</v>
      </c>
      <c r="N22" s="40" t="n">
        <f aca="false">IF($B22="",0,IF(OR(4&lt;$E22,4&gt;$F22),0,INDEX(Indstillinger!$D$27:$D$38,4)*$G22*$C22*IF($H22=0,1,IF($H22+4-$E22&gt;6,1,INDEX(Indstillinger!$C$18:$C$23,$H22+4-$E22)))))</f>
        <v>0</v>
      </c>
      <c r="O22" s="40" t="n">
        <f aca="false">IF($B22="",0,IF(OR(5&lt;$E22,5&gt;$F22),0,INDEX(Indstillinger!$D$27:$D$38,5)*$G22*$C22*IF($H22=0,1,IF($H22+5-$E22&gt;6,1,INDEX(Indstillinger!$C$18:$C$23,$H22+5-$E22)))))</f>
        <v>0</v>
      </c>
      <c r="P22" s="40" t="n">
        <f aca="false">IF($B22="",0,IF(OR(6&lt;$E22,6&gt;$F22),0,INDEX(Indstillinger!$D$27:$D$38,6)*$G22*$C22*IF($H22=0,1,IF($H22+6-$E22&gt;6,1,INDEX(Indstillinger!$C$18:$C$23,$H22+6-$E22)))))</f>
        <v>0</v>
      </c>
      <c r="Q22" s="40" t="n">
        <f aca="false">IF($B22="",0,IF(OR(7&lt;$E22,7&gt;$F22),0,INDEX(Indstillinger!$D$27:$D$38,7)*$G22*$C22*IF($H22=0,1,IF($H22+7-$E22&gt;6,1,INDEX(Indstillinger!$C$18:$C$23,$H22+7-$E22)))))</f>
        <v>0</v>
      </c>
      <c r="R22" s="40" t="n">
        <f aca="false">IF($B22="",0,IF(OR(8&lt;$E22,8&gt;$F22),0,INDEX(Indstillinger!$D$27:$D$38,8)*$G22*$C22*IF($H22=0,1,IF($H22+8-$E22&gt;6,1,INDEX(Indstillinger!$C$18:$C$23,$H22+8-$E22)))))</f>
        <v>0</v>
      </c>
      <c r="S22" s="40" t="n">
        <f aca="false">IF($B22="",0,IF(OR(9&lt;$E22,9&gt;$F22),0,INDEX(Indstillinger!$D$27:$D$38,9)*$G22*$C22*IF($H22=0,1,IF($H22+9-$E22&gt;6,1,INDEX(Indstillinger!$C$18:$C$23,$H22+9-$E22)))))</f>
        <v>0</v>
      </c>
      <c r="T22" s="40" t="n">
        <f aca="false">IF($B22="",0,IF(OR(10&lt;$E22,10&gt;$F22),0,INDEX(Indstillinger!$D$27:$D$38,10)*$G22*$C22*IF($H22=0,1,IF($H22+10-$E22&gt;6,1,INDEX(Indstillinger!$C$18:$C$23,$H22+10-$E22)))))</f>
        <v>0</v>
      </c>
      <c r="U22" s="40" t="n">
        <f aca="false">IF($B22="",0,IF(OR(11&lt;$E22,11&gt;$F22),0,INDEX(Indstillinger!$D$27:$D$38,11)*$G22*$C22*IF($H22=0,1,IF($H22+11-$E22&gt;6,1,INDEX(Indstillinger!$C$18:$C$23,$H22+11-$E22)))))</f>
        <v>0</v>
      </c>
      <c r="V22" s="40" t="n">
        <f aca="false">IF($B22="",0,IF(OR(12&lt;$E22,12&gt;$F22),0,INDEX(Indstillinger!$D$27:$D$38,12)*$G22*$C22*IF($H22=0,1,IF($H22+12-$E22&gt;6,1,INDEX(Indstillinger!$C$18:$C$23,$H22+12-$E22)))))</f>
        <v>0</v>
      </c>
      <c r="W22" s="40" t="n">
        <f aca="false">SUM(K22:V22)</f>
        <v>0</v>
      </c>
      <c r="X22" s="33" t="n">
        <f aca="false">IF($J22=1,N(Sælgere!$H$22),0)</f>
        <v>0</v>
      </c>
      <c r="Y22" s="40" t="n">
        <f aca="false">IF($J22=1,0,W22)</f>
        <v>0</v>
      </c>
      <c r="Z22" s="32" t="n">
        <f aca="false">IF(OR($B22="",$J22=1),0,SUMPRODUCT(--(K22:V22&gt;0),$K$4:$V$4)*$G22)</f>
        <v>0</v>
      </c>
    </row>
    <row r="23" customFormat="false" ht="15" hidden="false" customHeight="false" outlineLevel="0" collapsed="false">
      <c r="B23" s="12" t="str">
        <f aca="false">IF(Sælgere!$B$23="","",Sælgere!$B$23)</f>
        <v/>
      </c>
      <c r="C23" s="32" t="str">
        <f aca="false">IF($B23="","",IFERROR(IF(INDEX(Territorier!$C$6:$C$15,MATCH(Sælgere!$C$23,Territorier!$B$6:$B$15,0))="",1,INDEX(Territorier!$C$6:$C$15,MATCH(Sælgere!$C$23,Territorier!$B$6:$B$15,0))/100),1))</f>
        <v/>
      </c>
      <c r="D23" s="12" t="str">
        <f aca="false">IF($B23="","",Sælgere!$C$23&amp;"")</f>
        <v/>
      </c>
      <c r="E23" s="41" t="str">
        <f aca="false">IF($B23="","",IF(N(Sælgere!$D$23)&lt;1,1,Sælgere!$D$23))</f>
        <v/>
      </c>
      <c r="F23" s="41" t="str">
        <f aca="false">IF($B23="","",IF(N(Sælgere!$F$23)&lt;1,12,Sælgere!$F$23))</f>
        <v/>
      </c>
      <c r="G23" s="42" t="n">
        <f aca="false">IF($B23="",0,IF(Sælgere!$G$23="",1,N(Sælgere!$G$23)))</f>
        <v>0</v>
      </c>
      <c r="H23" s="41" t="str">
        <f aca="false">IF($B23="","",N(Sælgere!$E$23))</f>
        <v/>
      </c>
      <c r="I23" s="41" t="n">
        <f aca="false">IF(AND($B23&lt;&gt;"",ISNA(MATCH(Sælgere!$C$23,Territorier!$B$6:$B$15,0))),1,0)</f>
        <v>0</v>
      </c>
      <c r="J23" s="41" t="n">
        <f aca="false">IF(AND($B23&lt;&gt;"",N(Sælgere!$H$23)&gt;0),1,0)</f>
        <v>0</v>
      </c>
      <c r="K23" s="40" t="n">
        <f aca="false">IF($B23="",0,IF(OR(1&lt;$E23,1&gt;$F23),0,INDEX(Indstillinger!$D$27:$D$38,1)*$G23*$C23*IF($H23=0,1,IF($H23+1-$E23&gt;6,1,INDEX(Indstillinger!$C$18:$C$23,$H23+1-$E23)))))</f>
        <v>0</v>
      </c>
      <c r="L23" s="40" t="n">
        <f aca="false">IF($B23="",0,IF(OR(2&lt;$E23,2&gt;$F23),0,INDEX(Indstillinger!$D$27:$D$38,2)*$G23*$C23*IF($H23=0,1,IF($H23+2-$E23&gt;6,1,INDEX(Indstillinger!$C$18:$C$23,$H23+2-$E23)))))</f>
        <v>0</v>
      </c>
      <c r="M23" s="40" t="n">
        <f aca="false">IF($B23="",0,IF(OR(3&lt;$E23,3&gt;$F23),0,INDEX(Indstillinger!$D$27:$D$38,3)*$G23*$C23*IF($H23=0,1,IF($H23+3-$E23&gt;6,1,INDEX(Indstillinger!$C$18:$C$23,$H23+3-$E23)))))</f>
        <v>0</v>
      </c>
      <c r="N23" s="40" t="n">
        <f aca="false">IF($B23="",0,IF(OR(4&lt;$E23,4&gt;$F23),0,INDEX(Indstillinger!$D$27:$D$38,4)*$G23*$C23*IF($H23=0,1,IF($H23+4-$E23&gt;6,1,INDEX(Indstillinger!$C$18:$C$23,$H23+4-$E23)))))</f>
        <v>0</v>
      </c>
      <c r="O23" s="40" t="n">
        <f aca="false">IF($B23="",0,IF(OR(5&lt;$E23,5&gt;$F23),0,INDEX(Indstillinger!$D$27:$D$38,5)*$G23*$C23*IF($H23=0,1,IF($H23+5-$E23&gt;6,1,INDEX(Indstillinger!$C$18:$C$23,$H23+5-$E23)))))</f>
        <v>0</v>
      </c>
      <c r="P23" s="40" t="n">
        <f aca="false">IF($B23="",0,IF(OR(6&lt;$E23,6&gt;$F23),0,INDEX(Indstillinger!$D$27:$D$38,6)*$G23*$C23*IF($H23=0,1,IF($H23+6-$E23&gt;6,1,INDEX(Indstillinger!$C$18:$C$23,$H23+6-$E23)))))</f>
        <v>0</v>
      </c>
      <c r="Q23" s="40" t="n">
        <f aca="false">IF($B23="",0,IF(OR(7&lt;$E23,7&gt;$F23),0,INDEX(Indstillinger!$D$27:$D$38,7)*$G23*$C23*IF($H23=0,1,IF($H23+7-$E23&gt;6,1,INDEX(Indstillinger!$C$18:$C$23,$H23+7-$E23)))))</f>
        <v>0</v>
      </c>
      <c r="R23" s="40" t="n">
        <f aca="false">IF($B23="",0,IF(OR(8&lt;$E23,8&gt;$F23),0,INDEX(Indstillinger!$D$27:$D$38,8)*$G23*$C23*IF($H23=0,1,IF($H23+8-$E23&gt;6,1,INDEX(Indstillinger!$C$18:$C$23,$H23+8-$E23)))))</f>
        <v>0</v>
      </c>
      <c r="S23" s="40" t="n">
        <f aca="false">IF($B23="",0,IF(OR(9&lt;$E23,9&gt;$F23),0,INDEX(Indstillinger!$D$27:$D$38,9)*$G23*$C23*IF($H23=0,1,IF($H23+9-$E23&gt;6,1,INDEX(Indstillinger!$C$18:$C$23,$H23+9-$E23)))))</f>
        <v>0</v>
      </c>
      <c r="T23" s="40" t="n">
        <f aca="false">IF($B23="",0,IF(OR(10&lt;$E23,10&gt;$F23),0,INDEX(Indstillinger!$D$27:$D$38,10)*$G23*$C23*IF($H23=0,1,IF($H23+10-$E23&gt;6,1,INDEX(Indstillinger!$C$18:$C$23,$H23+10-$E23)))))</f>
        <v>0</v>
      </c>
      <c r="U23" s="40" t="n">
        <f aca="false">IF($B23="",0,IF(OR(11&lt;$E23,11&gt;$F23),0,INDEX(Indstillinger!$D$27:$D$38,11)*$G23*$C23*IF($H23=0,1,IF($H23+11-$E23&gt;6,1,INDEX(Indstillinger!$C$18:$C$23,$H23+11-$E23)))))</f>
        <v>0</v>
      </c>
      <c r="V23" s="40" t="n">
        <f aca="false">IF($B23="",0,IF(OR(12&lt;$E23,12&gt;$F23),0,INDEX(Indstillinger!$D$27:$D$38,12)*$G23*$C23*IF($H23=0,1,IF($H23+12-$E23&gt;6,1,INDEX(Indstillinger!$C$18:$C$23,$H23+12-$E23)))))</f>
        <v>0</v>
      </c>
      <c r="W23" s="40" t="n">
        <f aca="false">SUM(K23:V23)</f>
        <v>0</v>
      </c>
      <c r="X23" s="33" t="n">
        <f aca="false">IF($J23=1,N(Sælgere!$H$23),0)</f>
        <v>0</v>
      </c>
      <c r="Y23" s="40" t="n">
        <f aca="false">IF($J23=1,0,W23)</f>
        <v>0</v>
      </c>
      <c r="Z23" s="32" t="n">
        <f aca="false">IF(OR($B23="",$J23=1),0,SUMPRODUCT(--(K23:V23&gt;0),$K$4:$V$4)*$G23)</f>
        <v>0</v>
      </c>
    </row>
    <row r="24" customFormat="false" ht="15" hidden="false" customHeight="false" outlineLevel="0" collapsed="false">
      <c r="B24" s="12" t="str">
        <f aca="false">IF(Sælgere!$B$24="","",Sælgere!$B$24)</f>
        <v/>
      </c>
      <c r="C24" s="32" t="str">
        <f aca="false">IF($B24="","",IFERROR(IF(INDEX(Territorier!$C$6:$C$15,MATCH(Sælgere!$C$24,Territorier!$B$6:$B$15,0))="",1,INDEX(Territorier!$C$6:$C$15,MATCH(Sælgere!$C$24,Territorier!$B$6:$B$15,0))/100),1))</f>
        <v/>
      </c>
      <c r="D24" s="12" t="str">
        <f aca="false">IF($B24="","",Sælgere!$C$24&amp;"")</f>
        <v/>
      </c>
      <c r="E24" s="41" t="str">
        <f aca="false">IF($B24="","",IF(N(Sælgere!$D$24)&lt;1,1,Sælgere!$D$24))</f>
        <v/>
      </c>
      <c r="F24" s="41" t="str">
        <f aca="false">IF($B24="","",IF(N(Sælgere!$F$24)&lt;1,12,Sælgere!$F$24))</f>
        <v/>
      </c>
      <c r="G24" s="42" t="n">
        <f aca="false">IF($B24="",0,IF(Sælgere!$G$24="",1,N(Sælgere!$G$24)))</f>
        <v>0</v>
      </c>
      <c r="H24" s="41" t="str">
        <f aca="false">IF($B24="","",N(Sælgere!$E$24))</f>
        <v/>
      </c>
      <c r="I24" s="41" t="n">
        <f aca="false">IF(AND($B24&lt;&gt;"",ISNA(MATCH(Sælgere!$C$24,Territorier!$B$6:$B$15,0))),1,0)</f>
        <v>0</v>
      </c>
      <c r="J24" s="41" t="n">
        <f aca="false">IF(AND($B24&lt;&gt;"",N(Sælgere!$H$24)&gt;0),1,0)</f>
        <v>0</v>
      </c>
      <c r="K24" s="40" t="n">
        <f aca="false">IF($B24="",0,IF(OR(1&lt;$E24,1&gt;$F24),0,INDEX(Indstillinger!$D$27:$D$38,1)*$G24*$C24*IF($H24=0,1,IF($H24+1-$E24&gt;6,1,INDEX(Indstillinger!$C$18:$C$23,$H24+1-$E24)))))</f>
        <v>0</v>
      </c>
      <c r="L24" s="40" t="n">
        <f aca="false">IF($B24="",0,IF(OR(2&lt;$E24,2&gt;$F24),0,INDEX(Indstillinger!$D$27:$D$38,2)*$G24*$C24*IF($H24=0,1,IF($H24+2-$E24&gt;6,1,INDEX(Indstillinger!$C$18:$C$23,$H24+2-$E24)))))</f>
        <v>0</v>
      </c>
      <c r="M24" s="40" t="n">
        <f aca="false">IF($B24="",0,IF(OR(3&lt;$E24,3&gt;$F24),0,INDEX(Indstillinger!$D$27:$D$38,3)*$G24*$C24*IF($H24=0,1,IF($H24+3-$E24&gt;6,1,INDEX(Indstillinger!$C$18:$C$23,$H24+3-$E24)))))</f>
        <v>0</v>
      </c>
      <c r="N24" s="40" t="n">
        <f aca="false">IF($B24="",0,IF(OR(4&lt;$E24,4&gt;$F24),0,INDEX(Indstillinger!$D$27:$D$38,4)*$G24*$C24*IF($H24=0,1,IF($H24+4-$E24&gt;6,1,INDEX(Indstillinger!$C$18:$C$23,$H24+4-$E24)))))</f>
        <v>0</v>
      </c>
      <c r="O24" s="40" t="n">
        <f aca="false">IF($B24="",0,IF(OR(5&lt;$E24,5&gt;$F24),0,INDEX(Indstillinger!$D$27:$D$38,5)*$G24*$C24*IF($H24=0,1,IF($H24+5-$E24&gt;6,1,INDEX(Indstillinger!$C$18:$C$23,$H24+5-$E24)))))</f>
        <v>0</v>
      </c>
      <c r="P24" s="40" t="n">
        <f aca="false">IF($B24="",0,IF(OR(6&lt;$E24,6&gt;$F24),0,INDEX(Indstillinger!$D$27:$D$38,6)*$G24*$C24*IF($H24=0,1,IF($H24+6-$E24&gt;6,1,INDEX(Indstillinger!$C$18:$C$23,$H24+6-$E24)))))</f>
        <v>0</v>
      </c>
      <c r="Q24" s="40" t="n">
        <f aca="false">IF($B24="",0,IF(OR(7&lt;$E24,7&gt;$F24),0,INDEX(Indstillinger!$D$27:$D$38,7)*$G24*$C24*IF($H24=0,1,IF($H24+7-$E24&gt;6,1,INDEX(Indstillinger!$C$18:$C$23,$H24+7-$E24)))))</f>
        <v>0</v>
      </c>
      <c r="R24" s="40" t="n">
        <f aca="false">IF($B24="",0,IF(OR(8&lt;$E24,8&gt;$F24),0,INDEX(Indstillinger!$D$27:$D$38,8)*$G24*$C24*IF($H24=0,1,IF($H24+8-$E24&gt;6,1,INDEX(Indstillinger!$C$18:$C$23,$H24+8-$E24)))))</f>
        <v>0</v>
      </c>
      <c r="S24" s="40" t="n">
        <f aca="false">IF($B24="",0,IF(OR(9&lt;$E24,9&gt;$F24),0,INDEX(Indstillinger!$D$27:$D$38,9)*$G24*$C24*IF($H24=0,1,IF($H24+9-$E24&gt;6,1,INDEX(Indstillinger!$C$18:$C$23,$H24+9-$E24)))))</f>
        <v>0</v>
      </c>
      <c r="T24" s="40" t="n">
        <f aca="false">IF($B24="",0,IF(OR(10&lt;$E24,10&gt;$F24),0,INDEX(Indstillinger!$D$27:$D$38,10)*$G24*$C24*IF($H24=0,1,IF($H24+10-$E24&gt;6,1,INDEX(Indstillinger!$C$18:$C$23,$H24+10-$E24)))))</f>
        <v>0</v>
      </c>
      <c r="U24" s="40" t="n">
        <f aca="false">IF($B24="",0,IF(OR(11&lt;$E24,11&gt;$F24),0,INDEX(Indstillinger!$D$27:$D$38,11)*$G24*$C24*IF($H24=0,1,IF($H24+11-$E24&gt;6,1,INDEX(Indstillinger!$C$18:$C$23,$H24+11-$E24)))))</f>
        <v>0</v>
      </c>
      <c r="V24" s="40" t="n">
        <f aca="false">IF($B24="",0,IF(OR(12&lt;$E24,12&gt;$F24),0,INDEX(Indstillinger!$D$27:$D$38,12)*$G24*$C24*IF($H24=0,1,IF($H24+12-$E24&gt;6,1,INDEX(Indstillinger!$C$18:$C$23,$H24+12-$E24)))))</f>
        <v>0</v>
      </c>
      <c r="W24" s="40" t="n">
        <f aca="false">SUM(K24:V24)</f>
        <v>0</v>
      </c>
      <c r="X24" s="33" t="n">
        <f aca="false">IF($J24=1,N(Sælgere!$H$24),0)</f>
        <v>0</v>
      </c>
      <c r="Y24" s="40" t="n">
        <f aca="false">IF($J24=1,0,W24)</f>
        <v>0</v>
      </c>
      <c r="Z24" s="32" t="n">
        <f aca="false">IF(OR($B24="",$J24=1),0,SUMPRODUCT(--(K24:V24&gt;0),$K$4:$V$4)*$G24)</f>
        <v>0</v>
      </c>
    </row>
    <row r="25" customFormat="false" ht="15" hidden="false" customHeight="false" outlineLevel="0" collapsed="false">
      <c r="B25" s="12" t="str">
        <f aca="false">IF(Sælgere!$B$25="","",Sælgere!$B$25)</f>
        <v/>
      </c>
      <c r="C25" s="32" t="str">
        <f aca="false">IF($B25="","",IFERROR(IF(INDEX(Territorier!$C$6:$C$15,MATCH(Sælgere!$C$25,Territorier!$B$6:$B$15,0))="",1,INDEX(Territorier!$C$6:$C$15,MATCH(Sælgere!$C$25,Territorier!$B$6:$B$15,0))/100),1))</f>
        <v/>
      </c>
      <c r="D25" s="12" t="str">
        <f aca="false">IF($B25="","",Sælgere!$C$25&amp;"")</f>
        <v/>
      </c>
      <c r="E25" s="41" t="str">
        <f aca="false">IF($B25="","",IF(N(Sælgere!$D$25)&lt;1,1,Sælgere!$D$25))</f>
        <v/>
      </c>
      <c r="F25" s="41" t="str">
        <f aca="false">IF($B25="","",IF(N(Sælgere!$F$25)&lt;1,12,Sælgere!$F$25))</f>
        <v/>
      </c>
      <c r="G25" s="42" t="n">
        <f aca="false">IF($B25="",0,IF(Sælgere!$G$25="",1,N(Sælgere!$G$25)))</f>
        <v>0</v>
      </c>
      <c r="H25" s="41" t="str">
        <f aca="false">IF($B25="","",N(Sælgere!$E$25))</f>
        <v/>
      </c>
      <c r="I25" s="41" t="n">
        <f aca="false">IF(AND($B25&lt;&gt;"",ISNA(MATCH(Sælgere!$C$25,Territorier!$B$6:$B$15,0))),1,0)</f>
        <v>0</v>
      </c>
      <c r="J25" s="41" t="n">
        <f aca="false">IF(AND($B25&lt;&gt;"",N(Sælgere!$H$25)&gt;0),1,0)</f>
        <v>0</v>
      </c>
      <c r="K25" s="40" t="n">
        <f aca="false">IF($B25="",0,IF(OR(1&lt;$E25,1&gt;$F25),0,INDEX(Indstillinger!$D$27:$D$38,1)*$G25*$C25*IF($H25=0,1,IF($H25+1-$E25&gt;6,1,INDEX(Indstillinger!$C$18:$C$23,$H25+1-$E25)))))</f>
        <v>0</v>
      </c>
      <c r="L25" s="40" t="n">
        <f aca="false">IF($B25="",0,IF(OR(2&lt;$E25,2&gt;$F25),0,INDEX(Indstillinger!$D$27:$D$38,2)*$G25*$C25*IF($H25=0,1,IF($H25+2-$E25&gt;6,1,INDEX(Indstillinger!$C$18:$C$23,$H25+2-$E25)))))</f>
        <v>0</v>
      </c>
      <c r="M25" s="40" t="n">
        <f aca="false">IF($B25="",0,IF(OR(3&lt;$E25,3&gt;$F25),0,INDEX(Indstillinger!$D$27:$D$38,3)*$G25*$C25*IF($H25=0,1,IF($H25+3-$E25&gt;6,1,INDEX(Indstillinger!$C$18:$C$23,$H25+3-$E25)))))</f>
        <v>0</v>
      </c>
      <c r="N25" s="40" t="n">
        <f aca="false">IF($B25="",0,IF(OR(4&lt;$E25,4&gt;$F25),0,INDEX(Indstillinger!$D$27:$D$38,4)*$G25*$C25*IF($H25=0,1,IF($H25+4-$E25&gt;6,1,INDEX(Indstillinger!$C$18:$C$23,$H25+4-$E25)))))</f>
        <v>0</v>
      </c>
      <c r="O25" s="40" t="n">
        <f aca="false">IF($B25="",0,IF(OR(5&lt;$E25,5&gt;$F25),0,INDEX(Indstillinger!$D$27:$D$38,5)*$G25*$C25*IF($H25=0,1,IF($H25+5-$E25&gt;6,1,INDEX(Indstillinger!$C$18:$C$23,$H25+5-$E25)))))</f>
        <v>0</v>
      </c>
      <c r="P25" s="40" t="n">
        <f aca="false">IF($B25="",0,IF(OR(6&lt;$E25,6&gt;$F25),0,INDEX(Indstillinger!$D$27:$D$38,6)*$G25*$C25*IF($H25=0,1,IF($H25+6-$E25&gt;6,1,INDEX(Indstillinger!$C$18:$C$23,$H25+6-$E25)))))</f>
        <v>0</v>
      </c>
      <c r="Q25" s="40" t="n">
        <f aca="false">IF($B25="",0,IF(OR(7&lt;$E25,7&gt;$F25),0,INDEX(Indstillinger!$D$27:$D$38,7)*$G25*$C25*IF($H25=0,1,IF($H25+7-$E25&gt;6,1,INDEX(Indstillinger!$C$18:$C$23,$H25+7-$E25)))))</f>
        <v>0</v>
      </c>
      <c r="R25" s="40" t="n">
        <f aca="false">IF($B25="",0,IF(OR(8&lt;$E25,8&gt;$F25),0,INDEX(Indstillinger!$D$27:$D$38,8)*$G25*$C25*IF($H25=0,1,IF($H25+8-$E25&gt;6,1,INDEX(Indstillinger!$C$18:$C$23,$H25+8-$E25)))))</f>
        <v>0</v>
      </c>
      <c r="S25" s="40" t="n">
        <f aca="false">IF($B25="",0,IF(OR(9&lt;$E25,9&gt;$F25),0,INDEX(Indstillinger!$D$27:$D$38,9)*$G25*$C25*IF($H25=0,1,IF($H25+9-$E25&gt;6,1,INDEX(Indstillinger!$C$18:$C$23,$H25+9-$E25)))))</f>
        <v>0</v>
      </c>
      <c r="T25" s="40" t="n">
        <f aca="false">IF($B25="",0,IF(OR(10&lt;$E25,10&gt;$F25),0,INDEX(Indstillinger!$D$27:$D$38,10)*$G25*$C25*IF($H25=0,1,IF($H25+10-$E25&gt;6,1,INDEX(Indstillinger!$C$18:$C$23,$H25+10-$E25)))))</f>
        <v>0</v>
      </c>
      <c r="U25" s="40" t="n">
        <f aca="false">IF($B25="",0,IF(OR(11&lt;$E25,11&gt;$F25),0,INDEX(Indstillinger!$D$27:$D$38,11)*$G25*$C25*IF($H25=0,1,IF($H25+11-$E25&gt;6,1,INDEX(Indstillinger!$C$18:$C$23,$H25+11-$E25)))))</f>
        <v>0</v>
      </c>
      <c r="V25" s="40" t="n">
        <f aca="false">IF($B25="",0,IF(OR(12&lt;$E25,12&gt;$F25),0,INDEX(Indstillinger!$D$27:$D$38,12)*$G25*$C25*IF($H25=0,1,IF($H25+12-$E25&gt;6,1,INDEX(Indstillinger!$C$18:$C$23,$H25+12-$E25)))))</f>
        <v>0</v>
      </c>
      <c r="W25" s="40" t="n">
        <f aca="false">SUM(K25:V25)</f>
        <v>0</v>
      </c>
      <c r="X25" s="33" t="n">
        <f aca="false">IF($J25=1,N(Sælgere!$H$25),0)</f>
        <v>0</v>
      </c>
      <c r="Y25" s="40" t="n">
        <f aca="false">IF($J25=1,0,W25)</f>
        <v>0</v>
      </c>
      <c r="Z25" s="32" t="n">
        <f aca="false">IF(OR($B25="",$J25=1),0,SUMPRODUCT(--(K25:V25&gt;0),$K$4:$V$4)*$G25)</f>
        <v>0</v>
      </c>
    </row>
    <row r="26" customFormat="false" ht="15" hidden="false" customHeight="false" outlineLevel="0" collapsed="false">
      <c r="B26" s="12" t="str">
        <f aca="false">IF(Sælgere!$B$26="","",Sælgere!$B$26)</f>
        <v/>
      </c>
      <c r="C26" s="32" t="str">
        <f aca="false">IF($B26="","",IFERROR(IF(INDEX(Territorier!$C$6:$C$15,MATCH(Sælgere!$C$26,Territorier!$B$6:$B$15,0))="",1,INDEX(Territorier!$C$6:$C$15,MATCH(Sælgere!$C$26,Territorier!$B$6:$B$15,0))/100),1))</f>
        <v/>
      </c>
      <c r="D26" s="12" t="str">
        <f aca="false">IF($B26="","",Sælgere!$C$26&amp;"")</f>
        <v/>
      </c>
      <c r="E26" s="41" t="str">
        <f aca="false">IF($B26="","",IF(N(Sælgere!$D$26)&lt;1,1,Sælgere!$D$26))</f>
        <v/>
      </c>
      <c r="F26" s="41" t="str">
        <f aca="false">IF($B26="","",IF(N(Sælgere!$F$26)&lt;1,12,Sælgere!$F$26))</f>
        <v/>
      </c>
      <c r="G26" s="42" t="n">
        <f aca="false">IF($B26="",0,IF(Sælgere!$G$26="",1,N(Sælgere!$G$26)))</f>
        <v>0</v>
      </c>
      <c r="H26" s="41" t="str">
        <f aca="false">IF($B26="","",N(Sælgere!$E$26))</f>
        <v/>
      </c>
      <c r="I26" s="41" t="n">
        <f aca="false">IF(AND($B26&lt;&gt;"",ISNA(MATCH(Sælgere!$C$26,Territorier!$B$6:$B$15,0))),1,0)</f>
        <v>0</v>
      </c>
      <c r="J26" s="41" t="n">
        <f aca="false">IF(AND($B26&lt;&gt;"",N(Sælgere!$H$26)&gt;0),1,0)</f>
        <v>0</v>
      </c>
      <c r="K26" s="40" t="n">
        <f aca="false">IF($B26="",0,IF(OR(1&lt;$E26,1&gt;$F26),0,INDEX(Indstillinger!$D$27:$D$38,1)*$G26*$C26*IF($H26=0,1,IF($H26+1-$E26&gt;6,1,INDEX(Indstillinger!$C$18:$C$23,$H26+1-$E26)))))</f>
        <v>0</v>
      </c>
      <c r="L26" s="40" t="n">
        <f aca="false">IF($B26="",0,IF(OR(2&lt;$E26,2&gt;$F26),0,INDEX(Indstillinger!$D$27:$D$38,2)*$G26*$C26*IF($H26=0,1,IF($H26+2-$E26&gt;6,1,INDEX(Indstillinger!$C$18:$C$23,$H26+2-$E26)))))</f>
        <v>0</v>
      </c>
      <c r="M26" s="40" t="n">
        <f aca="false">IF($B26="",0,IF(OR(3&lt;$E26,3&gt;$F26),0,INDEX(Indstillinger!$D$27:$D$38,3)*$G26*$C26*IF($H26=0,1,IF($H26+3-$E26&gt;6,1,INDEX(Indstillinger!$C$18:$C$23,$H26+3-$E26)))))</f>
        <v>0</v>
      </c>
      <c r="N26" s="40" t="n">
        <f aca="false">IF($B26="",0,IF(OR(4&lt;$E26,4&gt;$F26),0,INDEX(Indstillinger!$D$27:$D$38,4)*$G26*$C26*IF($H26=0,1,IF($H26+4-$E26&gt;6,1,INDEX(Indstillinger!$C$18:$C$23,$H26+4-$E26)))))</f>
        <v>0</v>
      </c>
      <c r="O26" s="40" t="n">
        <f aca="false">IF($B26="",0,IF(OR(5&lt;$E26,5&gt;$F26),0,INDEX(Indstillinger!$D$27:$D$38,5)*$G26*$C26*IF($H26=0,1,IF($H26+5-$E26&gt;6,1,INDEX(Indstillinger!$C$18:$C$23,$H26+5-$E26)))))</f>
        <v>0</v>
      </c>
      <c r="P26" s="40" t="n">
        <f aca="false">IF($B26="",0,IF(OR(6&lt;$E26,6&gt;$F26),0,INDEX(Indstillinger!$D$27:$D$38,6)*$G26*$C26*IF($H26=0,1,IF($H26+6-$E26&gt;6,1,INDEX(Indstillinger!$C$18:$C$23,$H26+6-$E26)))))</f>
        <v>0</v>
      </c>
      <c r="Q26" s="40" t="n">
        <f aca="false">IF($B26="",0,IF(OR(7&lt;$E26,7&gt;$F26),0,INDEX(Indstillinger!$D$27:$D$38,7)*$G26*$C26*IF($H26=0,1,IF($H26+7-$E26&gt;6,1,INDEX(Indstillinger!$C$18:$C$23,$H26+7-$E26)))))</f>
        <v>0</v>
      </c>
      <c r="R26" s="40" t="n">
        <f aca="false">IF($B26="",0,IF(OR(8&lt;$E26,8&gt;$F26),0,INDEX(Indstillinger!$D$27:$D$38,8)*$G26*$C26*IF($H26=0,1,IF($H26+8-$E26&gt;6,1,INDEX(Indstillinger!$C$18:$C$23,$H26+8-$E26)))))</f>
        <v>0</v>
      </c>
      <c r="S26" s="40" t="n">
        <f aca="false">IF($B26="",0,IF(OR(9&lt;$E26,9&gt;$F26),0,INDEX(Indstillinger!$D$27:$D$38,9)*$G26*$C26*IF($H26=0,1,IF($H26+9-$E26&gt;6,1,INDEX(Indstillinger!$C$18:$C$23,$H26+9-$E26)))))</f>
        <v>0</v>
      </c>
      <c r="T26" s="40" t="n">
        <f aca="false">IF($B26="",0,IF(OR(10&lt;$E26,10&gt;$F26),0,INDEX(Indstillinger!$D$27:$D$38,10)*$G26*$C26*IF($H26=0,1,IF($H26+10-$E26&gt;6,1,INDEX(Indstillinger!$C$18:$C$23,$H26+10-$E26)))))</f>
        <v>0</v>
      </c>
      <c r="U26" s="40" t="n">
        <f aca="false">IF($B26="",0,IF(OR(11&lt;$E26,11&gt;$F26),0,INDEX(Indstillinger!$D$27:$D$38,11)*$G26*$C26*IF($H26=0,1,IF($H26+11-$E26&gt;6,1,INDEX(Indstillinger!$C$18:$C$23,$H26+11-$E26)))))</f>
        <v>0</v>
      </c>
      <c r="V26" s="40" t="n">
        <f aca="false">IF($B26="",0,IF(OR(12&lt;$E26,12&gt;$F26),0,INDEX(Indstillinger!$D$27:$D$38,12)*$G26*$C26*IF($H26=0,1,IF($H26+12-$E26&gt;6,1,INDEX(Indstillinger!$C$18:$C$23,$H26+12-$E26)))))</f>
        <v>0</v>
      </c>
      <c r="W26" s="40" t="n">
        <f aca="false">SUM(K26:V26)</f>
        <v>0</v>
      </c>
      <c r="X26" s="33" t="n">
        <f aca="false">IF($J26=1,N(Sælgere!$H$26),0)</f>
        <v>0</v>
      </c>
      <c r="Y26" s="40" t="n">
        <f aca="false">IF($J26=1,0,W26)</f>
        <v>0</v>
      </c>
      <c r="Z26" s="32" t="n">
        <f aca="false">IF(OR($B26="",$J26=1),0,SUMPRODUCT(--(K26:V26&gt;0),$K$4:$V$4)*$G26)</f>
        <v>0</v>
      </c>
    </row>
    <row r="27" customFormat="false" ht="15" hidden="false" customHeight="false" outlineLevel="0" collapsed="false">
      <c r="B27" s="12" t="str">
        <f aca="false">IF(Sælgere!$B$27="","",Sælgere!$B$27)</f>
        <v/>
      </c>
      <c r="C27" s="32" t="str">
        <f aca="false">IF($B27="","",IFERROR(IF(INDEX(Territorier!$C$6:$C$15,MATCH(Sælgere!$C$27,Territorier!$B$6:$B$15,0))="",1,INDEX(Territorier!$C$6:$C$15,MATCH(Sælgere!$C$27,Territorier!$B$6:$B$15,0))/100),1))</f>
        <v/>
      </c>
      <c r="D27" s="12" t="str">
        <f aca="false">IF($B27="","",Sælgere!$C$27&amp;"")</f>
        <v/>
      </c>
      <c r="E27" s="41" t="str">
        <f aca="false">IF($B27="","",IF(N(Sælgere!$D$27)&lt;1,1,Sælgere!$D$27))</f>
        <v/>
      </c>
      <c r="F27" s="41" t="str">
        <f aca="false">IF($B27="","",IF(N(Sælgere!$F$27)&lt;1,12,Sælgere!$F$27))</f>
        <v/>
      </c>
      <c r="G27" s="42" t="n">
        <f aca="false">IF($B27="",0,IF(Sælgere!$G$27="",1,N(Sælgere!$G$27)))</f>
        <v>0</v>
      </c>
      <c r="H27" s="41" t="str">
        <f aca="false">IF($B27="","",N(Sælgere!$E$27))</f>
        <v/>
      </c>
      <c r="I27" s="41" t="n">
        <f aca="false">IF(AND($B27&lt;&gt;"",ISNA(MATCH(Sælgere!$C$27,Territorier!$B$6:$B$15,0))),1,0)</f>
        <v>0</v>
      </c>
      <c r="J27" s="41" t="n">
        <f aca="false">IF(AND($B27&lt;&gt;"",N(Sælgere!$H$27)&gt;0),1,0)</f>
        <v>0</v>
      </c>
      <c r="K27" s="40" t="n">
        <f aca="false">IF($B27="",0,IF(OR(1&lt;$E27,1&gt;$F27),0,INDEX(Indstillinger!$D$27:$D$38,1)*$G27*$C27*IF($H27=0,1,IF($H27+1-$E27&gt;6,1,INDEX(Indstillinger!$C$18:$C$23,$H27+1-$E27)))))</f>
        <v>0</v>
      </c>
      <c r="L27" s="40" t="n">
        <f aca="false">IF($B27="",0,IF(OR(2&lt;$E27,2&gt;$F27),0,INDEX(Indstillinger!$D$27:$D$38,2)*$G27*$C27*IF($H27=0,1,IF($H27+2-$E27&gt;6,1,INDEX(Indstillinger!$C$18:$C$23,$H27+2-$E27)))))</f>
        <v>0</v>
      </c>
      <c r="M27" s="40" t="n">
        <f aca="false">IF($B27="",0,IF(OR(3&lt;$E27,3&gt;$F27),0,INDEX(Indstillinger!$D$27:$D$38,3)*$G27*$C27*IF($H27=0,1,IF($H27+3-$E27&gt;6,1,INDEX(Indstillinger!$C$18:$C$23,$H27+3-$E27)))))</f>
        <v>0</v>
      </c>
      <c r="N27" s="40" t="n">
        <f aca="false">IF($B27="",0,IF(OR(4&lt;$E27,4&gt;$F27),0,INDEX(Indstillinger!$D$27:$D$38,4)*$G27*$C27*IF($H27=0,1,IF($H27+4-$E27&gt;6,1,INDEX(Indstillinger!$C$18:$C$23,$H27+4-$E27)))))</f>
        <v>0</v>
      </c>
      <c r="O27" s="40" t="n">
        <f aca="false">IF($B27="",0,IF(OR(5&lt;$E27,5&gt;$F27),0,INDEX(Indstillinger!$D$27:$D$38,5)*$G27*$C27*IF($H27=0,1,IF($H27+5-$E27&gt;6,1,INDEX(Indstillinger!$C$18:$C$23,$H27+5-$E27)))))</f>
        <v>0</v>
      </c>
      <c r="P27" s="40" t="n">
        <f aca="false">IF($B27="",0,IF(OR(6&lt;$E27,6&gt;$F27),0,INDEX(Indstillinger!$D$27:$D$38,6)*$G27*$C27*IF($H27=0,1,IF($H27+6-$E27&gt;6,1,INDEX(Indstillinger!$C$18:$C$23,$H27+6-$E27)))))</f>
        <v>0</v>
      </c>
      <c r="Q27" s="40" t="n">
        <f aca="false">IF($B27="",0,IF(OR(7&lt;$E27,7&gt;$F27),0,INDEX(Indstillinger!$D$27:$D$38,7)*$G27*$C27*IF($H27=0,1,IF($H27+7-$E27&gt;6,1,INDEX(Indstillinger!$C$18:$C$23,$H27+7-$E27)))))</f>
        <v>0</v>
      </c>
      <c r="R27" s="40" t="n">
        <f aca="false">IF($B27="",0,IF(OR(8&lt;$E27,8&gt;$F27),0,INDEX(Indstillinger!$D$27:$D$38,8)*$G27*$C27*IF($H27=0,1,IF($H27+8-$E27&gt;6,1,INDEX(Indstillinger!$C$18:$C$23,$H27+8-$E27)))))</f>
        <v>0</v>
      </c>
      <c r="S27" s="40" t="n">
        <f aca="false">IF($B27="",0,IF(OR(9&lt;$E27,9&gt;$F27),0,INDEX(Indstillinger!$D$27:$D$38,9)*$G27*$C27*IF($H27=0,1,IF($H27+9-$E27&gt;6,1,INDEX(Indstillinger!$C$18:$C$23,$H27+9-$E27)))))</f>
        <v>0</v>
      </c>
      <c r="T27" s="40" t="n">
        <f aca="false">IF($B27="",0,IF(OR(10&lt;$E27,10&gt;$F27),0,INDEX(Indstillinger!$D$27:$D$38,10)*$G27*$C27*IF($H27=0,1,IF($H27+10-$E27&gt;6,1,INDEX(Indstillinger!$C$18:$C$23,$H27+10-$E27)))))</f>
        <v>0</v>
      </c>
      <c r="U27" s="40" t="n">
        <f aca="false">IF($B27="",0,IF(OR(11&lt;$E27,11&gt;$F27),0,INDEX(Indstillinger!$D$27:$D$38,11)*$G27*$C27*IF($H27=0,1,IF($H27+11-$E27&gt;6,1,INDEX(Indstillinger!$C$18:$C$23,$H27+11-$E27)))))</f>
        <v>0</v>
      </c>
      <c r="V27" s="40" t="n">
        <f aca="false">IF($B27="",0,IF(OR(12&lt;$E27,12&gt;$F27),0,INDEX(Indstillinger!$D$27:$D$38,12)*$G27*$C27*IF($H27=0,1,IF($H27+12-$E27&gt;6,1,INDEX(Indstillinger!$C$18:$C$23,$H27+12-$E27)))))</f>
        <v>0</v>
      </c>
      <c r="W27" s="40" t="n">
        <f aca="false">SUM(K27:V27)</f>
        <v>0</v>
      </c>
      <c r="X27" s="33" t="n">
        <f aca="false">IF($J27=1,N(Sælgere!$H$27),0)</f>
        <v>0</v>
      </c>
      <c r="Y27" s="40" t="n">
        <f aca="false">IF($J27=1,0,W27)</f>
        <v>0</v>
      </c>
      <c r="Z27" s="32" t="n">
        <f aca="false">IF(OR($B27="",$J27=1),0,SUMPRODUCT(--(K27:V27&gt;0),$K$4:$V$4)*$G27)</f>
        <v>0</v>
      </c>
    </row>
    <row r="28" customFormat="false" ht="15" hidden="false" customHeight="false" outlineLevel="0" collapsed="false">
      <c r="B28" s="12" t="str">
        <f aca="false">IF(Sælgere!$B$28="","",Sælgere!$B$28)</f>
        <v/>
      </c>
      <c r="C28" s="32" t="str">
        <f aca="false">IF($B28="","",IFERROR(IF(INDEX(Territorier!$C$6:$C$15,MATCH(Sælgere!$C$28,Territorier!$B$6:$B$15,0))="",1,INDEX(Territorier!$C$6:$C$15,MATCH(Sælgere!$C$28,Territorier!$B$6:$B$15,0))/100),1))</f>
        <v/>
      </c>
      <c r="D28" s="12" t="str">
        <f aca="false">IF($B28="","",Sælgere!$C$28&amp;"")</f>
        <v/>
      </c>
      <c r="E28" s="41" t="str">
        <f aca="false">IF($B28="","",IF(N(Sælgere!$D$28)&lt;1,1,Sælgere!$D$28))</f>
        <v/>
      </c>
      <c r="F28" s="41" t="str">
        <f aca="false">IF($B28="","",IF(N(Sælgere!$F$28)&lt;1,12,Sælgere!$F$28))</f>
        <v/>
      </c>
      <c r="G28" s="42" t="n">
        <f aca="false">IF($B28="",0,IF(Sælgere!$G$28="",1,N(Sælgere!$G$28)))</f>
        <v>0</v>
      </c>
      <c r="H28" s="41" t="str">
        <f aca="false">IF($B28="","",N(Sælgere!$E$28))</f>
        <v/>
      </c>
      <c r="I28" s="41" t="n">
        <f aca="false">IF(AND($B28&lt;&gt;"",ISNA(MATCH(Sælgere!$C$28,Territorier!$B$6:$B$15,0))),1,0)</f>
        <v>0</v>
      </c>
      <c r="J28" s="41" t="n">
        <f aca="false">IF(AND($B28&lt;&gt;"",N(Sælgere!$H$28)&gt;0),1,0)</f>
        <v>0</v>
      </c>
      <c r="K28" s="40" t="n">
        <f aca="false">IF($B28="",0,IF(OR(1&lt;$E28,1&gt;$F28),0,INDEX(Indstillinger!$D$27:$D$38,1)*$G28*$C28*IF($H28=0,1,IF($H28+1-$E28&gt;6,1,INDEX(Indstillinger!$C$18:$C$23,$H28+1-$E28)))))</f>
        <v>0</v>
      </c>
      <c r="L28" s="40" t="n">
        <f aca="false">IF($B28="",0,IF(OR(2&lt;$E28,2&gt;$F28),0,INDEX(Indstillinger!$D$27:$D$38,2)*$G28*$C28*IF($H28=0,1,IF($H28+2-$E28&gt;6,1,INDEX(Indstillinger!$C$18:$C$23,$H28+2-$E28)))))</f>
        <v>0</v>
      </c>
      <c r="M28" s="40" t="n">
        <f aca="false">IF($B28="",0,IF(OR(3&lt;$E28,3&gt;$F28),0,INDEX(Indstillinger!$D$27:$D$38,3)*$G28*$C28*IF($H28=0,1,IF($H28+3-$E28&gt;6,1,INDEX(Indstillinger!$C$18:$C$23,$H28+3-$E28)))))</f>
        <v>0</v>
      </c>
      <c r="N28" s="40" t="n">
        <f aca="false">IF($B28="",0,IF(OR(4&lt;$E28,4&gt;$F28),0,INDEX(Indstillinger!$D$27:$D$38,4)*$G28*$C28*IF($H28=0,1,IF($H28+4-$E28&gt;6,1,INDEX(Indstillinger!$C$18:$C$23,$H28+4-$E28)))))</f>
        <v>0</v>
      </c>
      <c r="O28" s="40" t="n">
        <f aca="false">IF($B28="",0,IF(OR(5&lt;$E28,5&gt;$F28),0,INDEX(Indstillinger!$D$27:$D$38,5)*$G28*$C28*IF($H28=0,1,IF($H28+5-$E28&gt;6,1,INDEX(Indstillinger!$C$18:$C$23,$H28+5-$E28)))))</f>
        <v>0</v>
      </c>
      <c r="P28" s="40" t="n">
        <f aca="false">IF($B28="",0,IF(OR(6&lt;$E28,6&gt;$F28),0,INDEX(Indstillinger!$D$27:$D$38,6)*$G28*$C28*IF($H28=0,1,IF($H28+6-$E28&gt;6,1,INDEX(Indstillinger!$C$18:$C$23,$H28+6-$E28)))))</f>
        <v>0</v>
      </c>
      <c r="Q28" s="40" t="n">
        <f aca="false">IF($B28="",0,IF(OR(7&lt;$E28,7&gt;$F28),0,INDEX(Indstillinger!$D$27:$D$38,7)*$G28*$C28*IF($H28=0,1,IF($H28+7-$E28&gt;6,1,INDEX(Indstillinger!$C$18:$C$23,$H28+7-$E28)))))</f>
        <v>0</v>
      </c>
      <c r="R28" s="40" t="n">
        <f aca="false">IF($B28="",0,IF(OR(8&lt;$E28,8&gt;$F28),0,INDEX(Indstillinger!$D$27:$D$38,8)*$G28*$C28*IF($H28=0,1,IF($H28+8-$E28&gt;6,1,INDEX(Indstillinger!$C$18:$C$23,$H28+8-$E28)))))</f>
        <v>0</v>
      </c>
      <c r="S28" s="40" t="n">
        <f aca="false">IF($B28="",0,IF(OR(9&lt;$E28,9&gt;$F28),0,INDEX(Indstillinger!$D$27:$D$38,9)*$G28*$C28*IF($H28=0,1,IF($H28+9-$E28&gt;6,1,INDEX(Indstillinger!$C$18:$C$23,$H28+9-$E28)))))</f>
        <v>0</v>
      </c>
      <c r="T28" s="40" t="n">
        <f aca="false">IF($B28="",0,IF(OR(10&lt;$E28,10&gt;$F28),0,INDEX(Indstillinger!$D$27:$D$38,10)*$G28*$C28*IF($H28=0,1,IF($H28+10-$E28&gt;6,1,INDEX(Indstillinger!$C$18:$C$23,$H28+10-$E28)))))</f>
        <v>0</v>
      </c>
      <c r="U28" s="40" t="n">
        <f aca="false">IF($B28="",0,IF(OR(11&lt;$E28,11&gt;$F28),0,INDEX(Indstillinger!$D$27:$D$38,11)*$G28*$C28*IF($H28=0,1,IF($H28+11-$E28&gt;6,1,INDEX(Indstillinger!$C$18:$C$23,$H28+11-$E28)))))</f>
        <v>0</v>
      </c>
      <c r="V28" s="40" t="n">
        <f aca="false">IF($B28="",0,IF(OR(12&lt;$E28,12&gt;$F28),0,INDEX(Indstillinger!$D$27:$D$38,12)*$G28*$C28*IF($H28=0,1,IF($H28+12-$E28&gt;6,1,INDEX(Indstillinger!$C$18:$C$23,$H28+12-$E28)))))</f>
        <v>0</v>
      </c>
      <c r="W28" s="40" t="n">
        <f aca="false">SUM(K28:V28)</f>
        <v>0</v>
      </c>
      <c r="X28" s="33" t="n">
        <f aca="false">IF($J28=1,N(Sælgere!$H$28),0)</f>
        <v>0</v>
      </c>
      <c r="Y28" s="40" t="n">
        <f aca="false">IF($J28=1,0,W28)</f>
        <v>0</v>
      </c>
      <c r="Z28" s="32" t="n">
        <f aca="false">IF(OR($B28="",$J28=1),0,SUMPRODUCT(--(K28:V28&gt;0),$K$4:$V$4)*$G28)</f>
        <v>0</v>
      </c>
    </row>
    <row r="29" customFormat="false" ht="15" hidden="false" customHeight="false" outlineLevel="0" collapsed="false">
      <c r="B29" s="12" t="str">
        <f aca="false">IF(Sælgere!$B$29="","",Sælgere!$B$29)</f>
        <v/>
      </c>
      <c r="C29" s="32" t="str">
        <f aca="false">IF($B29="","",IFERROR(IF(INDEX(Territorier!$C$6:$C$15,MATCH(Sælgere!$C$29,Territorier!$B$6:$B$15,0))="",1,INDEX(Territorier!$C$6:$C$15,MATCH(Sælgere!$C$29,Territorier!$B$6:$B$15,0))/100),1))</f>
        <v/>
      </c>
      <c r="D29" s="12" t="str">
        <f aca="false">IF($B29="","",Sælgere!$C$29&amp;"")</f>
        <v/>
      </c>
      <c r="E29" s="41" t="str">
        <f aca="false">IF($B29="","",IF(N(Sælgere!$D$29)&lt;1,1,Sælgere!$D$29))</f>
        <v/>
      </c>
      <c r="F29" s="41" t="str">
        <f aca="false">IF($B29="","",IF(N(Sælgere!$F$29)&lt;1,12,Sælgere!$F$29))</f>
        <v/>
      </c>
      <c r="G29" s="42" t="n">
        <f aca="false">IF($B29="",0,IF(Sælgere!$G$29="",1,N(Sælgere!$G$29)))</f>
        <v>0</v>
      </c>
      <c r="H29" s="41" t="str">
        <f aca="false">IF($B29="","",N(Sælgere!$E$29))</f>
        <v/>
      </c>
      <c r="I29" s="41" t="n">
        <f aca="false">IF(AND($B29&lt;&gt;"",ISNA(MATCH(Sælgere!$C$29,Territorier!$B$6:$B$15,0))),1,0)</f>
        <v>0</v>
      </c>
      <c r="J29" s="41" t="n">
        <f aca="false">IF(AND($B29&lt;&gt;"",N(Sælgere!$H$29)&gt;0),1,0)</f>
        <v>0</v>
      </c>
      <c r="K29" s="40" t="n">
        <f aca="false">IF($B29="",0,IF(OR(1&lt;$E29,1&gt;$F29),0,INDEX(Indstillinger!$D$27:$D$38,1)*$G29*$C29*IF($H29=0,1,IF($H29+1-$E29&gt;6,1,INDEX(Indstillinger!$C$18:$C$23,$H29+1-$E29)))))</f>
        <v>0</v>
      </c>
      <c r="L29" s="40" t="n">
        <f aca="false">IF($B29="",0,IF(OR(2&lt;$E29,2&gt;$F29),0,INDEX(Indstillinger!$D$27:$D$38,2)*$G29*$C29*IF($H29=0,1,IF($H29+2-$E29&gt;6,1,INDEX(Indstillinger!$C$18:$C$23,$H29+2-$E29)))))</f>
        <v>0</v>
      </c>
      <c r="M29" s="40" t="n">
        <f aca="false">IF($B29="",0,IF(OR(3&lt;$E29,3&gt;$F29),0,INDEX(Indstillinger!$D$27:$D$38,3)*$G29*$C29*IF($H29=0,1,IF($H29+3-$E29&gt;6,1,INDEX(Indstillinger!$C$18:$C$23,$H29+3-$E29)))))</f>
        <v>0</v>
      </c>
      <c r="N29" s="40" t="n">
        <f aca="false">IF($B29="",0,IF(OR(4&lt;$E29,4&gt;$F29),0,INDEX(Indstillinger!$D$27:$D$38,4)*$G29*$C29*IF($H29=0,1,IF($H29+4-$E29&gt;6,1,INDEX(Indstillinger!$C$18:$C$23,$H29+4-$E29)))))</f>
        <v>0</v>
      </c>
      <c r="O29" s="40" t="n">
        <f aca="false">IF($B29="",0,IF(OR(5&lt;$E29,5&gt;$F29),0,INDEX(Indstillinger!$D$27:$D$38,5)*$G29*$C29*IF($H29=0,1,IF($H29+5-$E29&gt;6,1,INDEX(Indstillinger!$C$18:$C$23,$H29+5-$E29)))))</f>
        <v>0</v>
      </c>
      <c r="P29" s="40" t="n">
        <f aca="false">IF($B29="",0,IF(OR(6&lt;$E29,6&gt;$F29),0,INDEX(Indstillinger!$D$27:$D$38,6)*$G29*$C29*IF($H29=0,1,IF($H29+6-$E29&gt;6,1,INDEX(Indstillinger!$C$18:$C$23,$H29+6-$E29)))))</f>
        <v>0</v>
      </c>
      <c r="Q29" s="40" t="n">
        <f aca="false">IF($B29="",0,IF(OR(7&lt;$E29,7&gt;$F29),0,INDEX(Indstillinger!$D$27:$D$38,7)*$G29*$C29*IF($H29=0,1,IF($H29+7-$E29&gt;6,1,INDEX(Indstillinger!$C$18:$C$23,$H29+7-$E29)))))</f>
        <v>0</v>
      </c>
      <c r="R29" s="40" t="n">
        <f aca="false">IF($B29="",0,IF(OR(8&lt;$E29,8&gt;$F29),0,INDEX(Indstillinger!$D$27:$D$38,8)*$G29*$C29*IF($H29=0,1,IF($H29+8-$E29&gt;6,1,INDEX(Indstillinger!$C$18:$C$23,$H29+8-$E29)))))</f>
        <v>0</v>
      </c>
      <c r="S29" s="40" t="n">
        <f aca="false">IF($B29="",0,IF(OR(9&lt;$E29,9&gt;$F29),0,INDEX(Indstillinger!$D$27:$D$38,9)*$G29*$C29*IF($H29=0,1,IF($H29+9-$E29&gt;6,1,INDEX(Indstillinger!$C$18:$C$23,$H29+9-$E29)))))</f>
        <v>0</v>
      </c>
      <c r="T29" s="40" t="n">
        <f aca="false">IF($B29="",0,IF(OR(10&lt;$E29,10&gt;$F29),0,INDEX(Indstillinger!$D$27:$D$38,10)*$G29*$C29*IF($H29=0,1,IF($H29+10-$E29&gt;6,1,INDEX(Indstillinger!$C$18:$C$23,$H29+10-$E29)))))</f>
        <v>0</v>
      </c>
      <c r="U29" s="40" t="n">
        <f aca="false">IF($B29="",0,IF(OR(11&lt;$E29,11&gt;$F29),0,INDEX(Indstillinger!$D$27:$D$38,11)*$G29*$C29*IF($H29=0,1,IF($H29+11-$E29&gt;6,1,INDEX(Indstillinger!$C$18:$C$23,$H29+11-$E29)))))</f>
        <v>0</v>
      </c>
      <c r="V29" s="40" t="n">
        <f aca="false">IF($B29="",0,IF(OR(12&lt;$E29,12&gt;$F29),0,INDEX(Indstillinger!$D$27:$D$38,12)*$G29*$C29*IF($H29=0,1,IF($H29+12-$E29&gt;6,1,INDEX(Indstillinger!$C$18:$C$23,$H29+12-$E29)))))</f>
        <v>0</v>
      </c>
      <c r="W29" s="40" t="n">
        <f aca="false">SUM(K29:V29)</f>
        <v>0</v>
      </c>
      <c r="X29" s="33" t="n">
        <f aca="false">IF($J29=1,N(Sælgere!$H$29),0)</f>
        <v>0</v>
      </c>
      <c r="Y29" s="40" t="n">
        <f aca="false">IF($J29=1,0,W29)</f>
        <v>0</v>
      </c>
      <c r="Z29" s="32" t="n">
        <f aca="false">IF(OR($B29="",$J29=1),0,SUMPRODUCT(--(K29:V29&gt;0),$K$4:$V$4)*$G29)</f>
        <v>0</v>
      </c>
    </row>
    <row r="30" customFormat="false" ht="15" hidden="false" customHeight="false" outlineLevel="0" collapsed="false">
      <c r="B30" s="12" t="str">
        <f aca="false">IF(Sælgere!$B$30="","",Sælgere!$B$30)</f>
        <v/>
      </c>
      <c r="C30" s="32" t="str">
        <f aca="false">IF($B30="","",IFERROR(IF(INDEX(Territorier!$C$6:$C$15,MATCH(Sælgere!$C$30,Territorier!$B$6:$B$15,0))="",1,INDEX(Territorier!$C$6:$C$15,MATCH(Sælgere!$C$30,Territorier!$B$6:$B$15,0))/100),1))</f>
        <v/>
      </c>
      <c r="D30" s="12" t="str">
        <f aca="false">IF($B30="","",Sælgere!$C$30&amp;"")</f>
        <v/>
      </c>
      <c r="E30" s="41" t="str">
        <f aca="false">IF($B30="","",IF(N(Sælgere!$D$30)&lt;1,1,Sælgere!$D$30))</f>
        <v/>
      </c>
      <c r="F30" s="41" t="str">
        <f aca="false">IF($B30="","",IF(N(Sælgere!$F$30)&lt;1,12,Sælgere!$F$30))</f>
        <v/>
      </c>
      <c r="G30" s="42" t="n">
        <f aca="false">IF($B30="",0,IF(Sælgere!$G$30="",1,N(Sælgere!$G$30)))</f>
        <v>0</v>
      </c>
      <c r="H30" s="41" t="str">
        <f aca="false">IF($B30="","",N(Sælgere!$E$30))</f>
        <v/>
      </c>
      <c r="I30" s="41" t="n">
        <f aca="false">IF(AND($B30&lt;&gt;"",ISNA(MATCH(Sælgere!$C$30,Territorier!$B$6:$B$15,0))),1,0)</f>
        <v>0</v>
      </c>
      <c r="J30" s="41" t="n">
        <f aca="false">IF(AND($B30&lt;&gt;"",N(Sælgere!$H$30)&gt;0),1,0)</f>
        <v>0</v>
      </c>
      <c r="K30" s="40" t="n">
        <f aca="false">IF($B30="",0,IF(OR(1&lt;$E30,1&gt;$F30),0,INDEX(Indstillinger!$D$27:$D$38,1)*$G30*$C30*IF($H30=0,1,IF($H30+1-$E30&gt;6,1,INDEX(Indstillinger!$C$18:$C$23,$H30+1-$E30)))))</f>
        <v>0</v>
      </c>
      <c r="L30" s="40" t="n">
        <f aca="false">IF($B30="",0,IF(OR(2&lt;$E30,2&gt;$F30),0,INDEX(Indstillinger!$D$27:$D$38,2)*$G30*$C30*IF($H30=0,1,IF($H30+2-$E30&gt;6,1,INDEX(Indstillinger!$C$18:$C$23,$H30+2-$E30)))))</f>
        <v>0</v>
      </c>
      <c r="M30" s="40" t="n">
        <f aca="false">IF($B30="",0,IF(OR(3&lt;$E30,3&gt;$F30),0,INDEX(Indstillinger!$D$27:$D$38,3)*$G30*$C30*IF($H30=0,1,IF($H30+3-$E30&gt;6,1,INDEX(Indstillinger!$C$18:$C$23,$H30+3-$E30)))))</f>
        <v>0</v>
      </c>
      <c r="N30" s="40" t="n">
        <f aca="false">IF($B30="",0,IF(OR(4&lt;$E30,4&gt;$F30),0,INDEX(Indstillinger!$D$27:$D$38,4)*$G30*$C30*IF($H30=0,1,IF($H30+4-$E30&gt;6,1,INDEX(Indstillinger!$C$18:$C$23,$H30+4-$E30)))))</f>
        <v>0</v>
      </c>
      <c r="O30" s="40" t="n">
        <f aca="false">IF($B30="",0,IF(OR(5&lt;$E30,5&gt;$F30),0,INDEX(Indstillinger!$D$27:$D$38,5)*$G30*$C30*IF($H30=0,1,IF($H30+5-$E30&gt;6,1,INDEX(Indstillinger!$C$18:$C$23,$H30+5-$E30)))))</f>
        <v>0</v>
      </c>
      <c r="P30" s="40" t="n">
        <f aca="false">IF($B30="",0,IF(OR(6&lt;$E30,6&gt;$F30),0,INDEX(Indstillinger!$D$27:$D$38,6)*$G30*$C30*IF($H30=0,1,IF($H30+6-$E30&gt;6,1,INDEX(Indstillinger!$C$18:$C$23,$H30+6-$E30)))))</f>
        <v>0</v>
      </c>
      <c r="Q30" s="40" t="n">
        <f aca="false">IF($B30="",0,IF(OR(7&lt;$E30,7&gt;$F30),0,INDEX(Indstillinger!$D$27:$D$38,7)*$G30*$C30*IF($H30=0,1,IF($H30+7-$E30&gt;6,1,INDEX(Indstillinger!$C$18:$C$23,$H30+7-$E30)))))</f>
        <v>0</v>
      </c>
      <c r="R30" s="40" t="n">
        <f aca="false">IF($B30="",0,IF(OR(8&lt;$E30,8&gt;$F30),0,INDEX(Indstillinger!$D$27:$D$38,8)*$G30*$C30*IF($H30=0,1,IF($H30+8-$E30&gt;6,1,INDEX(Indstillinger!$C$18:$C$23,$H30+8-$E30)))))</f>
        <v>0</v>
      </c>
      <c r="S30" s="40" t="n">
        <f aca="false">IF($B30="",0,IF(OR(9&lt;$E30,9&gt;$F30),0,INDEX(Indstillinger!$D$27:$D$38,9)*$G30*$C30*IF($H30=0,1,IF($H30+9-$E30&gt;6,1,INDEX(Indstillinger!$C$18:$C$23,$H30+9-$E30)))))</f>
        <v>0</v>
      </c>
      <c r="T30" s="40" t="n">
        <f aca="false">IF($B30="",0,IF(OR(10&lt;$E30,10&gt;$F30),0,INDEX(Indstillinger!$D$27:$D$38,10)*$G30*$C30*IF($H30=0,1,IF($H30+10-$E30&gt;6,1,INDEX(Indstillinger!$C$18:$C$23,$H30+10-$E30)))))</f>
        <v>0</v>
      </c>
      <c r="U30" s="40" t="n">
        <f aca="false">IF($B30="",0,IF(OR(11&lt;$E30,11&gt;$F30),0,INDEX(Indstillinger!$D$27:$D$38,11)*$G30*$C30*IF($H30=0,1,IF($H30+11-$E30&gt;6,1,INDEX(Indstillinger!$C$18:$C$23,$H30+11-$E30)))))</f>
        <v>0</v>
      </c>
      <c r="V30" s="40" t="n">
        <f aca="false">IF($B30="",0,IF(OR(12&lt;$E30,12&gt;$F30),0,INDEX(Indstillinger!$D$27:$D$38,12)*$G30*$C30*IF($H30=0,1,IF($H30+12-$E30&gt;6,1,INDEX(Indstillinger!$C$18:$C$23,$H30+12-$E30)))))</f>
        <v>0</v>
      </c>
      <c r="W30" s="40" t="n">
        <f aca="false">SUM(K30:V30)</f>
        <v>0</v>
      </c>
      <c r="X30" s="33" t="n">
        <f aca="false">IF($J30=1,N(Sælgere!$H$30),0)</f>
        <v>0</v>
      </c>
      <c r="Y30" s="40" t="n">
        <f aca="false">IF($J30=1,0,W30)</f>
        <v>0</v>
      </c>
      <c r="Z30" s="32" t="n">
        <f aca="false">IF(OR($B30="",$J30=1),0,SUMPRODUCT(--(K30:V30&gt;0),$K$4:$V$4)*$G30)</f>
        <v>0</v>
      </c>
    </row>
    <row r="31" customFormat="false" ht="15" hidden="false" customHeight="false" outlineLevel="0" collapsed="false">
      <c r="B31" s="19" t="s">
        <v>85</v>
      </c>
      <c r="I31" s="28" t="n">
        <f aca="false">SUM(I6:I30)</f>
        <v>0</v>
      </c>
      <c r="J31" s="28" t="n">
        <f aca="false">SUM(J6:J30)</f>
        <v>1</v>
      </c>
      <c r="K31" s="43" t="n">
        <f aca="false">SUM(K6:K30)</f>
        <v>0.517125</v>
      </c>
      <c r="L31" s="43" t="n">
        <f aca="false">SUM(L6:L30)</f>
        <v>0.608</v>
      </c>
      <c r="M31" s="43" t="n">
        <f aca="false">SUM(M6:M30)</f>
        <v>0.7065</v>
      </c>
      <c r="N31" s="43" t="n">
        <f aca="false">SUM(N6:N30)</f>
        <v>0.648</v>
      </c>
      <c r="O31" s="43" t="n">
        <f aca="false">SUM(O6:O30)</f>
        <v>0.7515</v>
      </c>
      <c r="P31" s="43" t="n">
        <f aca="false">SUM(P6:P30)</f>
        <v>0.774</v>
      </c>
      <c r="Q31" s="43" t="n">
        <f aca="false">SUM(Q6:Q30)</f>
        <v>0.344</v>
      </c>
      <c r="R31" s="43" t="n">
        <f aca="false">SUM(R6:R30)</f>
        <v>0.623</v>
      </c>
      <c r="S31" s="43" t="n">
        <f aca="false">SUM(S6:S30)</f>
        <v>0.828</v>
      </c>
      <c r="T31" s="43" t="n">
        <f aca="false">SUM(T6:T30)</f>
        <v>0.7785</v>
      </c>
      <c r="U31" s="43" t="n">
        <f aca="false">SUM(U6:U30)</f>
        <v>0.895</v>
      </c>
      <c r="V31" s="43" t="n">
        <f aca="false">SUM(V6:V30)</f>
        <v>0.9845</v>
      </c>
      <c r="W31" s="43" t="n">
        <f aca="false">SUM(W6:W30)</f>
        <v>8.458125</v>
      </c>
      <c r="X31" s="24" t="n">
        <f aca="false">SUM(X6:X30)</f>
        <v>4500000</v>
      </c>
      <c r="Y31" s="43" t="n">
        <f aca="false">SUM(Y6:Y30)</f>
        <v>7.458125</v>
      </c>
      <c r="Z31" s="36" t="n">
        <f aca="false">SUM(Z6:Z30)</f>
        <v>7.51</v>
      </c>
    </row>
    <row r="33" customFormat="false" ht="15" hidden="false" customHeight="false" outlineLevel="0" collapsed="false">
      <c r="B33" s="20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15" min="4" style="0" width="11.5"/>
    <col collapsed="false" customWidth="true" hidden="false" outlineLevel="0" max="16" min="16" style="0" width="14"/>
  </cols>
  <sheetData>
    <row r="2" customFormat="false" ht="30" hidden="false" customHeight="true" outlineLevel="0" collapsed="false">
      <c r="B2" s="17" t="s">
        <v>151</v>
      </c>
    </row>
    <row r="3" customFormat="false" ht="15" hidden="false" customHeight="false" outlineLevel="0" collapsed="false">
      <c r="B3" s="18" t="s">
        <v>152</v>
      </c>
    </row>
    <row r="5" customFormat="false" ht="30" hidden="false" customHeight="true" outlineLevel="0" collapsed="false">
      <c r="B5" s="26" t="s">
        <v>105</v>
      </c>
      <c r="C5" s="26" t="s">
        <v>88</v>
      </c>
      <c r="D5" s="26" t="s">
        <v>136</v>
      </c>
      <c r="E5" s="26" t="s">
        <v>137</v>
      </c>
      <c r="F5" s="26" t="s">
        <v>138</v>
      </c>
      <c r="G5" s="26" t="s">
        <v>139</v>
      </c>
      <c r="H5" s="26" t="s">
        <v>76</v>
      </c>
      <c r="I5" s="26" t="s">
        <v>140</v>
      </c>
      <c r="J5" s="26" t="s">
        <v>141</v>
      </c>
      <c r="K5" s="26" t="s">
        <v>142</v>
      </c>
      <c r="L5" s="26" t="s">
        <v>143</v>
      </c>
      <c r="M5" s="26" t="s">
        <v>144</v>
      </c>
      <c r="N5" s="26" t="s">
        <v>145</v>
      </c>
      <c r="O5" s="26" t="s">
        <v>146</v>
      </c>
      <c r="P5" s="26" t="s">
        <v>93</v>
      </c>
    </row>
    <row r="6" customFormat="false" ht="15" hidden="false" customHeight="false" outlineLevel="0" collapsed="false">
      <c r="B6" s="12" t="str">
        <f aca="false">IF(Beregning!$B6="","",Beregning!$B6)</f>
        <v>Anna Holm</v>
      </c>
      <c r="C6" s="12" t="str">
        <f aca="false">IF($B6="","",Beregning!$D6)</f>
        <v>Hovedstaden</v>
      </c>
      <c r="D6" s="33" t="n">
        <f aca="false">IF($B6="","",IF(Beregning!$J6=1,IF(Beregning!$W6=0,0,Beregning!$X6*Beregning!K6/Beregning!$W6),Beregning!$C$3*Beregning!K6))</f>
        <v>320992.206486215</v>
      </c>
      <c r="E6" s="33" t="n">
        <f aca="false">IF($B6="","",IF(Beregning!$J6=1,IF(Beregning!$W6=0,0,Beregning!$X6*Beregning!L6/Beregning!$W6),Beregning!$C$3*Beregning!L6))</f>
        <v>366848.235984245</v>
      </c>
      <c r="F6" s="33" t="n">
        <f aca="false">IF($B6="","",IF(Beregning!$J6=1,IF(Beregning!$W6=0,0,Beregning!$X6*Beregning!M6/Beregning!$W6),Beregning!$C$3*Beregning!M6))</f>
        <v>412704.265482276</v>
      </c>
      <c r="G6" s="33" t="n">
        <f aca="false">IF($B6="","",IF(Beregning!$J6=1,IF(Beregning!$W6=0,0,Beregning!$X6*Beregning!N6/Beregning!$W6),Beregning!$C$3*Beregning!N6))</f>
        <v>366848.235984245</v>
      </c>
      <c r="H6" s="33" t="n">
        <f aca="false">IF($B6="","",IF(Beregning!$J6=1,IF(Beregning!$W6=0,0,Beregning!$X6*Beregning!O6/Beregning!$W6),Beregning!$C$3*Beregning!O6))</f>
        <v>412704.265482276</v>
      </c>
      <c r="I6" s="33" t="n">
        <f aca="false">IF($B6="","",IF(Beregning!$J6=1,IF(Beregning!$W6=0,0,Beregning!$X6*Beregning!P6/Beregning!$W6),Beregning!$C$3*Beregning!P6))</f>
        <v>412704.265482276</v>
      </c>
      <c r="J6" s="33" t="n">
        <f aca="false">IF($B6="","",IF(Beregning!$J6=1,IF(Beregning!$W6=0,0,Beregning!$X6*Beregning!Q6/Beregning!$W6),Beregning!$C$3*Beregning!Q6))</f>
        <v>183424.117992123</v>
      </c>
      <c r="K6" s="33" t="n">
        <f aca="false">IF($B6="","",IF(Beregning!$J6=1,IF(Beregning!$W6=0,0,Beregning!$X6*Beregning!R6/Beregning!$W6),Beregning!$C$3*Beregning!R6))</f>
        <v>320992.206486215</v>
      </c>
      <c r="L6" s="33" t="n">
        <f aca="false">IF($B6="","",IF(Beregning!$J6=1,IF(Beregning!$W6=0,0,Beregning!$X6*Beregning!S6/Beregning!$W6),Beregning!$C$3*Beregning!S6))</f>
        <v>412704.265482276</v>
      </c>
      <c r="M6" s="33" t="n">
        <f aca="false">IF($B6="","",IF(Beregning!$J6=1,IF(Beregning!$W6=0,0,Beregning!$X6*Beregning!T6/Beregning!$W6),Beregning!$C$3*Beregning!T6))</f>
        <v>412704.265482276</v>
      </c>
      <c r="N6" s="33" t="n">
        <f aca="false">IF($B6="","",IF(Beregning!$J6=1,IF(Beregning!$W6=0,0,Beregning!$X6*Beregning!U6/Beregning!$W6),Beregning!$C$3*Beregning!U6))</f>
        <v>458560.294980307</v>
      </c>
      <c r="O6" s="33" t="n">
        <f aca="false">IF($B6="","",IF(Beregning!$J6=1,IF(Beregning!$W6=0,0,Beregning!$X6*Beregning!V6/Beregning!$W6),Beregning!$C$3*Beregning!V6))</f>
        <v>504416.324478337</v>
      </c>
      <c r="P6" s="38" t="n">
        <f aca="false">IF($B6="","",SUM(D6:O6))</f>
        <v>4585602.94980307</v>
      </c>
    </row>
    <row r="7" customFormat="false" ht="15" hidden="false" customHeight="false" outlineLevel="0" collapsed="false">
      <c r="B7" s="12" t="str">
        <f aca="false">IF(Beregning!$B7="","",Beregning!$B7)</f>
        <v>Bo Jensen</v>
      </c>
      <c r="C7" s="12" t="str">
        <f aca="false">IF($B7="","",Beregning!$D7)</f>
        <v>Hovedstaden</v>
      </c>
      <c r="D7" s="33" t="n">
        <f aca="false">IF($B7="","",IF(Beregning!$J7=1,IF(Beregning!$W7=0,0,Beregning!$X7*Beregning!K7/Beregning!$W7),Beregning!$C$3*Beregning!K7))</f>
        <v>320992.206486215</v>
      </c>
      <c r="E7" s="33" t="n">
        <f aca="false">IF($B7="","",IF(Beregning!$J7=1,IF(Beregning!$W7=0,0,Beregning!$X7*Beregning!L7/Beregning!$W7),Beregning!$C$3*Beregning!L7))</f>
        <v>366848.235984245</v>
      </c>
      <c r="F7" s="33" t="n">
        <f aca="false">IF($B7="","",IF(Beregning!$J7=1,IF(Beregning!$W7=0,0,Beregning!$X7*Beregning!M7/Beregning!$W7),Beregning!$C$3*Beregning!M7))</f>
        <v>412704.265482276</v>
      </c>
      <c r="G7" s="33" t="n">
        <f aca="false">IF($B7="","",IF(Beregning!$J7=1,IF(Beregning!$W7=0,0,Beregning!$X7*Beregning!N7/Beregning!$W7),Beregning!$C$3*Beregning!N7))</f>
        <v>366848.235984245</v>
      </c>
      <c r="H7" s="33" t="n">
        <f aca="false">IF($B7="","",IF(Beregning!$J7=1,IF(Beregning!$W7=0,0,Beregning!$X7*Beregning!O7/Beregning!$W7),Beregning!$C$3*Beregning!O7))</f>
        <v>412704.265482276</v>
      </c>
      <c r="I7" s="33" t="n">
        <f aca="false">IF($B7="","",IF(Beregning!$J7=1,IF(Beregning!$W7=0,0,Beregning!$X7*Beregning!P7/Beregning!$W7),Beregning!$C$3*Beregning!P7))</f>
        <v>412704.265482276</v>
      </c>
      <c r="J7" s="33" t="n">
        <f aca="false">IF($B7="","",IF(Beregning!$J7=1,IF(Beregning!$W7=0,0,Beregning!$X7*Beregning!Q7/Beregning!$W7),Beregning!$C$3*Beregning!Q7))</f>
        <v>183424.117992123</v>
      </c>
      <c r="K7" s="33" t="n">
        <f aca="false">IF($B7="","",IF(Beregning!$J7=1,IF(Beregning!$W7=0,0,Beregning!$X7*Beregning!R7/Beregning!$W7),Beregning!$C$3*Beregning!R7))</f>
        <v>320992.206486215</v>
      </c>
      <c r="L7" s="33" t="n">
        <f aca="false">IF($B7="","",IF(Beregning!$J7=1,IF(Beregning!$W7=0,0,Beregning!$X7*Beregning!S7/Beregning!$W7),Beregning!$C$3*Beregning!S7))</f>
        <v>412704.265482276</v>
      </c>
      <c r="M7" s="33" t="n">
        <f aca="false">IF($B7="","",IF(Beregning!$J7=1,IF(Beregning!$W7=0,0,Beregning!$X7*Beregning!T7/Beregning!$W7),Beregning!$C$3*Beregning!T7))</f>
        <v>412704.265482276</v>
      </c>
      <c r="N7" s="33" t="n">
        <f aca="false">IF($B7="","",IF(Beregning!$J7=1,IF(Beregning!$W7=0,0,Beregning!$X7*Beregning!U7/Beregning!$W7),Beregning!$C$3*Beregning!U7))</f>
        <v>458560.294980307</v>
      </c>
      <c r="O7" s="33" t="n">
        <f aca="false">IF($B7="","",IF(Beregning!$J7=1,IF(Beregning!$W7=0,0,Beregning!$X7*Beregning!V7/Beregning!$W7),Beregning!$C$3*Beregning!V7))</f>
        <v>504416.324478337</v>
      </c>
      <c r="P7" s="38" t="n">
        <f aca="false">IF($B7="","",SUM(D7:O7))</f>
        <v>4585602.94980307</v>
      </c>
    </row>
    <row r="8" customFormat="false" ht="15" hidden="false" customHeight="false" outlineLevel="0" collapsed="false">
      <c r="B8" s="12" t="str">
        <f aca="false">IF(Beregning!$B8="","",Beregning!$B8)</f>
        <v>Camilla Nørgaard</v>
      </c>
      <c r="C8" s="12" t="str">
        <f aca="false">IF($B8="","",Beregning!$D8)</f>
        <v>Jylland</v>
      </c>
      <c r="D8" s="33" t="n">
        <f aca="false">IF($B8="","",IF(Beregning!$J8=1,IF(Beregning!$W8=0,0,Beregning!$X8*Beregning!K8/Beregning!$W8),Beregning!$C$3*Beregning!K8))</f>
        <v>267493.505405179</v>
      </c>
      <c r="E8" s="33" t="n">
        <f aca="false">IF($B8="","",IF(Beregning!$J8=1,IF(Beregning!$W8=0,0,Beregning!$X8*Beregning!L8/Beregning!$W8),Beregning!$C$3*Beregning!L8))</f>
        <v>305706.863320205</v>
      </c>
      <c r="F8" s="33" t="n">
        <f aca="false">IF($B8="","",IF(Beregning!$J8=1,IF(Beregning!$W8=0,0,Beregning!$X8*Beregning!M8/Beregning!$W8),Beregning!$C$3*Beregning!M8))</f>
        <v>343920.22123523</v>
      </c>
      <c r="G8" s="33" t="n">
        <f aca="false">IF($B8="","",IF(Beregning!$J8=1,IF(Beregning!$W8=0,0,Beregning!$X8*Beregning!N8/Beregning!$W8),Beregning!$C$3*Beregning!N8))</f>
        <v>305706.863320205</v>
      </c>
      <c r="H8" s="33" t="n">
        <f aca="false">IF($B8="","",IF(Beregning!$J8=1,IF(Beregning!$W8=0,0,Beregning!$X8*Beregning!O8/Beregning!$W8),Beregning!$C$3*Beregning!O8))</f>
        <v>343920.22123523</v>
      </c>
      <c r="I8" s="33" t="n">
        <f aca="false">IF($B8="","",IF(Beregning!$J8=1,IF(Beregning!$W8=0,0,Beregning!$X8*Beregning!P8/Beregning!$W8),Beregning!$C$3*Beregning!P8))</f>
        <v>343920.22123523</v>
      </c>
      <c r="J8" s="33" t="n">
        <f aca="false">IF($B8="","",IF(Beregning!$J8=1,IF(Beregning!$W8=0,0,Beregning!$X8*Beregning!Q8/Beregning!$W8),Beregning!$C$3*Beregning!Q8))</f>
        <v>152853.431660102</v>
      </c>
      <c r="K8" s="33" t="n">
        <f aca="false">IF($B8="","",IF(Beregning!$J8=1,IF(Beregning!$W8=0,0,Beregning!$X8*Beregning!R8/Beregning!$W8),Beregning!$C$3*Beregning!R8))</f>
        <v>267493.505405179</v>
      </c>
      <c r="L8" s="33" t="n">
        <f aca="false">IF($B8="","",IF(Beregning!$J8=1,IF(Beregning!$W8=0,0,Beregning!$X8*Beregning!S8/Beregning!$W8),Beregning!$C$3*Beregning!S8))</f>
        <v>343920.22123523</v>
      </c>
      <c r="M8" s="33" t="n">
        <f aca="false">IF($B8="","",IF(Beregning!$J8=1,IF(Beregning!$W8=0,0,Beregning!$X8*Beregning!T8/Beregning!$W8),Beregning!$C$3*Beregning!T8))</f>
        <v>343920.22123523</v>
      </c>
      <c r="N8" s="33" t="n">
        <f aca="false">IF($B8="","",IF(Beregning!$J8=1,IF(Beregning!$W8=0,0,Beregning!$X8*Beregning!U8/Beregning!$W8),Beregning!$C$3*Beregning!U8))</f>
        <v>382133.579150256</v>
      </c>
      <c r="O8" s="33" t="n">
        <f aca="false">IF($B8="","",IF(Beregning!$J8=1,IF(Beregning!$W8=0,0,Beregning!$X8*Beregning!V8/Beregning!$W8),Beregning!$C$3*Beregning!V8))</f>
        <v>420346.937065281</v>
      </c>
      <c r="P8" s="38" t="n">
        <f aca="false">IF($B8="","",SUM(D8:O8))</f>
        <v>3821335.79150256</v>
      </c>
    </row>
    <row r="9" customFormat="false" ht="15" hidden="false" customHeight="false" outlineLevel="0" collapsed="false">
      <c r="B9" s="12" t="str">
        <f aca="false">IF(Beregning!$B9="","",Beregning!$B9)</f>
        <v>Dennis Lund</v>
      </c>
      <c r="C9" s="12" t="str">
        <f aca="false">IF($B9="","",Beregning!$D9)</f>
        <v>Jylland</v>
      </c>
      <c r="D9" s="33" t="n">
        <f aca="false">IF($B9="","",IF(Beregning!$J9=1,IF(Beregning!$W9=0,0,Beregning!$X9*Beregning!K9/Beregning!$W9),Beregning!$C$3*Beregning!K9))</f>
        <v>267493.505405179</v>
      </c>
      <c r="E9" s="33" t="n">
        <f aca="false">IF($B9="","",IF(Beregning!$J9=1,IF(Beregning!$W9=0,0,Beregning!$X9*Beregning!L9/Beregning!$W9),Beregning!$C$3*Beregning!L9))</f>
        <v>305706.863320205</v>
      </c>
      <c r="F9" s="33" t="n">
        <f aca="false">IF($B9="","",IF(Beregning!$J9=1,IF(Beregning!$W9=0,0,Beregning!$X9*Beregning!M9/Beregning!$W9),Beregning!$C$3*Beregning!M9))</f>
        <v>343920.22123523</v>
      </c>
      <c r="G9" s="33" t="n">
        <f aca="false">IF($B9="","",IF(Beregning!$J9=1,IF(Beregning!$W9=0,0,Beregning!$X9*Beregning!N9/Beregning!$W9),Beregning!$C$3*Beregning!N9))</f>
        <v>305706.863320205</v>
      </c>
      <c r="H9" s="33" t="n">
        <f aca="false">IF($B9="","",IF(Beregning!$J9=1,IF(Beregning!$W9=0,0,Beregning!$X9*Beregning!O9/Beregning!$W9),Beregning!$C$3*Beregning!O9))</f>
        <v>343920.22123523</v>
      </c>
      <c r="I9" s="33" t="n">
        <f aca="false">IF($B9="","",IF(Beregning!$J9=1,IF(Beregning!$W9=0,0,Beregning!$X9*Beregning!P9/Beregning!$W9),Beregning!$C$3*Beregning!P9))</f>
        <v>343920.22123523</v>
      </c>
      <c r="J9" s="33" t="n">
        <f aca="false">IF($B9="","",IF(Beregning!$J9=1,IF(Beregning!$W9=0,0,Beregning!$X9*Beregning!Q9/Beregning!$W9),Beregning!$C$3*Beregning!Q9))</f>
        <v>152853.431660102</v>
      </c>
      <c r="K9" s="33" t="n">
        <f aca="false">IF($B9="","",IF(Beregning!$J9=1,IF(Beregning!$W9=0,0,Beregning!$X9*Beregning!R9/Beregning!$W9),Beregning!$C$3*Beregning!R9))</f>
        <v>267493.505405179</v>
      </c>
      <c r="L9" s="33" t="n">
        <f aca="false">IF($B9="","",IF(Beregning!$J9=1,IF(Beregning!$W9=0,0,Beregning!$X9*Beregning!S9/Beregning!$W9),Beregning!$C$3*Beregning!S9))</f>
        <v>343920.22123523</v>
      </c>
      <c r="M9" s="33" t="n">
        <f aca="false">IF($B9="","",IF(Beregning!$J9=1,IF(Beregning!$W9=0,0,Beregning!$X9*Beregning!T9/Beregning!$W9),Beregning!$C$3*Beregning!T9))</f>
        <v>343920.22123523</v>
      </c>
      <c r="N9" s="33" t="n">
        <f aca="false">IF($B9="","",IF(Beregning!$J9=1,IF(Beregning!$W9=0,0,Beregning!$X9*Beregning!U9/Beregning!$W9),Beregning!$C$3*Beregning!U9))</f>
        <v>382133.579150256</v>
      </c>
      <c r="O9" s="33" t="n">
        <f aca="false">IF($B9="","",IF(Beregning!$J9=1,IF(Beregning!$W9=0,0,Beregning!$X9*Beregning!V9/Beregning!$W9),Beregning!$C$3*Beregning!V9))</f>
        <v>420346.937065281</v>
      </c>
      <c r="P9" s="38" t="n">
        <f aca="false">IF($B9="","",SUM(D9:O9))</f>
        <v>3821335.79150256</v>
      </c>
    </row>
    <row r="10" customFormat="false" ht="15" hidden="false" customHeight="false" outlineLevel="0" collapsed="false">
      <c r="B10" s="12" t="str">
        <f aca="false">IF(Beregning!$B10="","",Beregning!$B10)</f>
        <v>Emma Krogh</v>
      </c>
      <c r="C10" s="12" t="str">
        <f aca="false">IF($B10="","",Beregning!$D10)</f>
        <v>Fyn og Sjælland</v>
      </c>
      <c r="D10" s="33" t="n">
        <f aca="false">IF($B10="","",IF(Beregning!$J10=1,IF(Beregning!$W10=0,0,Beregning!$X10*Beregning!K10/Beregning!$W10),Beregning!$C$3*Beregning!K10))</f>
        <v>227369.479594402</v>
      </c>
      <c r="E10" s="33" t="n">
        <f aca="false">IF($B10="","",IF(Beregning!$J10=1,IF(Beregning!$W10=0,0,Beregning!$X10*Beregning!L10/Beregning!$W10),Beregning!$C$3*Beregning!L10))</f>
        <v>259850.833822174</v>
      </c>
      <c r="F10" s="33" t="n">
        <f aca="false">IF($B10="","",IF(Beregning!$J10=1,IF(Beregning!$W10=0,0,Beregning!$X10*Beregning!M10/Beregning!$W10),Beregning!$C$3*Beregning!M10))</f>
        <v>292332.188049946</v>
      </c>
      <c r="G10" s="33" t="n">
        <f aca="false">IF($B10="","",IF(Beregning!$J10=1,IF(Beregning!$W10=0,0,Beregning!$X10*Beregning!N10/Beregning!$W10),Beregning!$C$3*Beregning!N10))</f>
        <v>259850.833822174</v>
      </c>
      <c r="H10" s="33" t="n">
        <f aca="false">IF($B10="","",IF(Beregning!$J10=1,IF(Beregning!$W10=0,0,Beregning!$X10*Beregning!O10/Beregning!$W10),Beregning!$C$3*Beregning!O10))</f>
        <v>292332.188049946</v>
      </c>
      <c r="I10" s="33" t="n">
        <f aca="false">IF($B10="","",IF(Beregning!$J10=1,IF(Beregning!$W10=0,0,Beregning!$X10*Beregning!P10/Beregning!$W10),Beregning!$C$3*Beregning!P10))</f>
        <v>292332.188049946</v>
      </c>
      <c r="J10" s="33" t="n">
        <f aca="false">IF($B10="","",IF(Beregning!$J10=1,IF(Beregning!$W10=0,0,Beregning!$X10*Beregning!Q10/Beregning!$W10),Beregning!$C$3*Beregning!Q10))</f>
        <v>129925.416911087</v>
      </c>
      <c r="K10" s="33" t="n">
        <f aca="false">IF($B10="","",IF(Beregning!$J10=1,IF(Beregning!$W10=0,0,Beregning!$X10*Beregning!R10/Beregning!$W10),Beregning!$C$3*Beregning!R10))</f>
        <v>227369.479594402</v>
      </c>
      <c r="L10" s="33" t="n">
        <f aca="false">IF($B10="","",IF(Beregning!$J10=1,IF(Beregning!$W10=0,0,Beregning!$X10*Beregning!S10/Beregning!$W10),Beregning!$C$3*Beregning!S10))</f>
        <v>292332.188049946</v>
      </c>
      <c r="M10" s="33" t="n">
        <f aca="false">IF($B10="","",IF(Beregning!$J10=1,IF(Beregning!$W10=0,0,Beregning!$X10*Beregning!T10/Beregning!$W10),Beregning!$C$3*Beregning!T10))</f>
        <v>0</v>
      </c>
      <c r="N10" s="33" t="n">
        <f aca="false">IF($B10="","",IF(Beregning!$J10=1,IF(Beregning!$W10=0,0,Beregning!$X10*Beregning!U10/Beregning!$W10),Beregning!$C$3*Beregning!U10))</f>
        <v>0</v>
      </c>
      <c r="O10" s="33" t="n">
        <f aca="false">IF($B10="","",IF(Beregning!$J10=1,IF(Beregning!$W10=0,0,Beregning!$X10*Beregning!V10/Beregning!$W10),Beregning!$C$3*Beregning!V10))</f>
        <v>0</v>
      </c>
      <c r="P10" s="38" t="n">
        <f aca="false">IF($B10="","",SUM(D10:O10))</f>
        <v>2273694.79594402</v>
      </c>
    </row>
    <row r="11" customFormat="false" ht="15" hidden="false" customHeight="false" outlineLevel="0" collapsed="false">
      <c r="B11" s="12" t="str">
        <f aca="false">IF(Beregning!$B11="","",Beregning!$B11)</f>
        <v>Frederik Sand</v>
      </c>
      <c r="C11" s="12" t="str">
        <f aca="false">IF($B11="","",Beregning!$D11)</f>
        <v>Key accounts</v>
      </c>
      <c r="D11" s="33" t="n">
        <f aca="false">IF($B11="","",IF(Beregning!$J11=1,IF(Beregning!$W11=0,0,Beregning!$X11*Beregning!K11/Beregning!$W11),Beregning!$C$3*Beregning!K11))</f>
        <v>315000</v>
      </c>
      <c r="E11" s="33" t="n">
        <f aca="false">IF($B11="","",IF(Beregning!$J11=1,IF(Beregning!$W11=0,0,Beregning!$X11*Beregning!L11/Beregning!$W11),Beregning!$C$3*Beregning!L11))</f>
        <v>360000</v>
      </c>
      <c r="F11" s="33" t="n">
        <f aca="false">IF($B11="","",IF(Beregning!$J11=1,IF(Beregning!$W11=0,0,Beregning!$X11*Beregning!M11/Beregning!$W11),Beregning!$C$3*Beregning!M11))</f>
        <v>405000</v>
      </c>
      <c r="G11" s="33" t="n">
        <f aca="false">IF($B11="","",IF(Beregning!$J11=1,IF(Beregning!$W11=0,0,Beregning!$X11*Beregning!N11/Beregning!$W11),Beregning!$C$3*Beregning!N11))</f>
        <v>360000</v>
      </c>
      <c r="H11" s="33" t="n">
        <f aca="false">IF($B11="","",IF(Beregning!$J11=1,IF(Beregning!$W11=0,0,Beregning!$X11*Beregning!O11/Beregning!$W11),Beregning!$C$3*Beregning!O11))</f>
        <v>405000</v>
      </c>
      <c r="I11" s="33" t="n">
        <f aca="false">IF($B11="","",IF(Beregning!$J11=1,IF(Beregning!$W11=0,0,Beregning!$X11*Beregning!P11/Beregning!$W11),Beregning!$C$3*Beregning!P11))</f>
        <v>405000</v>
      </c>
      <c r="J11" s="33" t="n">
        <f aca="false">IF($B11="","",IF(Beregning!$J11=1,IF(Beregning!$W11=0,0,Beregning!$X11*Beregning!Q11/Beregning!$W11),Beregning!$C$3*Beregning!Q11))</f>
        <v>180000</v>
      </c>
      <c r="K11" s="33" t="n">
        <f aca="false">IF($B11="","",IF(Beregning!$J11=1,IF(Beregning!$W11=0,0,Beregning!$X11*Beregning!R11/Beregning!$W11),Beregning!$C$3*Beregning!R11))</f>
        <v>315000</v>
      </c>
      <c r="L11" s="33" t="n">
        <f aca="false">IF($B11="","",IF(Beregning!$J11=1,IF(Beregning!$W11=0,0,Beregning!$X11*Beregning!S11/Beregning!$W11),Beregning!$C$3*Beregning!S11))</f>
        <v>405000</v>
      </c>
      <c r="M11" s="33" t="n">
        <f aca="false">IF($B11="","",IF(Beregning!$J11=1,IF(Beregning!$W11=0,0,Beregning!$X11*Beregning!T11/Beregning!$W11),Beregning!$C$3*Beregning!T11))</f>
        <v>405000</v>
      </c>
      <c r="N11" s="33" t="n">
        <f aca="false">IF($B11="","",IF(Beregning!$J11=1,IF(Beregning!$W11=0,0,Beregning!$X11*Beregning!U11/Beregning!$W11),Beregning!$C$3*Beregning!U11))</f>
        <v>450000</v>
      </c>
      <c r="O11" s="33" t="n">
        <f aca="false">IF($B11="","",IF(Beregning!$J11=1,IF(Beregning!$W11=0,0,Beregning!$X11*Beregning!V11/Beregning!$W11),Beregning!$C$3*Beregning!V11))</f>
        <v>495000</v>
      </c>
      <c r="P11" s="38" t="n">
        <f aca="false">IF($B11="","",SUM(D11:O11))</f>
        <v>4500000</v>
      </c>
    </row>
    <row r="12" customFormat="false" ht="15" hidden="false" customHeight="false" outlineLevel="0" collapsed="false">
      <c r="B12" s="12" t="str">
        <f aca="false">IF(Beregning!$B12="","",Beregning!$B12)</f>
        <v>Gitte Mølgaard</v>
      </c>
      <c r="C12" s="12" t="str">
        <f aca="false">IF($B12="","",Beregning!$D12)</f>
        <v>Fyn og Sjælland</v>
      </c>
      <c r="D12" s="33" t="n">
        <f aca="false">IF($B12="","",IF(Beregning!$J12=1,IF(Beregning!$W12=0,0,Beregning!$X12*Beregning!K12/Beregning!$W12),Beregning!$C$3*Beregning!K12))</f>
        <v>170527.109695802</v>
      </c>
      <c r="E12" s="33" t="n">
        <f aca="false">IF($B12="","",IF(Beregning!$J12=1,IF(Beregning!$W12=0,0,Beregning!$X12*Beregning!L12/Beregning!$W12),Beregning!$C$3*Beregning!L12))</f>
        <v>259850.833822174</v>
      </c>
      <c r="F12" s="33" t="n">
        <f aca="false">IF($B12="","",IF(Beregning!$J12=1,IF(Beregning!$W12=0,0,Beregning!$X12*Beregning!M12/Beregning!$W12),Beregning!$C$3*Beregning!M12))</f>
        <v>292332.188049946</v>
      </c>
      <c r="G12" s="33" t="n">
        <f aca="false">IF($B12="","",IF(Beregning!$J12=1,IF(Beregning!$W12=0,0,Beregning!$X12*Beregning!N12/Beregning!$W12),Beregning!$C$3*Beregning!N12))</f>
        <v>259850.833822174</v>
      </c>
      <c r="H12" s="33" t="n">
        <f aca="false">IF($B12="","",IF(Beregning!$J12=1,IF(Beregning!$W12=0,0,Beregning!$X12*Beregning!O12/Beregning!$W12),Beregning!$C$3*Beregning!O12))</f>
        <v>292332.188049946</v>
      </c>
      <c r="I12" s="33" t="n">
        <f aca="false">IF($B12="","",IF(Beregning!$J12=1,IF(Beregning!$W12=0,0,Beregning!$X12*Beregning!P12/Beregning!$W12),Beregning!$C$3*Beregning!P12))</f>
        <v>292332.188049946</v>
      </c>
      <c r="J12" s="33" t="n">
        <f aca="false">IF($B12="","",IF(Beregning!$J12=1,IF(Beregning!$W12=0,0,Beregning!$X12*Beregning!Q12/Beregning!$W12),Beregning!$C$3*Beregning!Q12))</f>
        <v>129925.416911087</v>
      </c>
      <c r="K12" s="33" t="n">
        <f aca="false">IF($B12="","",IF(Beregning!$J12=1,IF(Beregning!$W12=0,0,Beregning!$X12*Beregning!R12/Beregning!$W12),Beregning!$C$3*Beregning!R12))</f>
        <v>227369.479594402</v>
      </c>
      <c r="L12" s="33" t="n">
        <f aca="false">IF($B12="","",IF(Beregning!$J12=1,IF(Beregning!$W12=0,0,Beregning!$X12*Beregning!S12/Beregning!$W12),Beregning!$C$3*Beregning!S12))</f>
        <v>292332.188049946</v>
      </c>
      <c r="M12" s="33" t="n">
        <f aca="false">IF($B12="","",IF(Beregning!$J12=1,IF(Beregning!$W12=0,0,Beregning!$X12*Beregning!T12/Beregning!$W12),Beregning!$C$3*Beregning!T12))</f>
        <v>292332.188049946</v>
      </c>
      <c r="N12" s="33" t="n">
        <f aca="false">IF($B12="","",IF(Beregning!$J12=1,IF(Beregning!$W12=0,0,Beregning!$X12*Beregning!U12/Beregning!$W12),Beregning!$C$3*Beregning!U12))</f>
        <v>324813.542277717</v>
      </c>
      <c r="O12" s="33" t="n">
        <f aca="false">IF($B12="","",IF(Beregning!$J12=1,IF(Beregning!$W12=0,0,Beregning!$X12*Beregning!V12/Beregning!$W12),Beregning!$C$3*Beregning!V12))</f>
        <v>357294.896505489</v>
      </c>
      <c r="P12" s="38" t="n">
        <f aca="false">IF($B12="","",SUM(D12:O12))</f>
        <v>3191293.05287857</v>
      </c>
    </row>
    <row r="13" customFormat="false" ht="15" hidden="false" customHeight="false" outlineLevel="0" collapsed="false">
      <c r="B13" s="12" t="str">
        <f aca="false">IF(Beregning!$B13="","",Beregning!$B13)</f>
        <v>Henrik Bak</v>
      </c>
      <c r="C13" s="12" t="str">
        <f aca="false">IF($B13="","",Beregning!$D13)</f>
        <v>Jylland</v>
      </c>
      <c r="D13" s="33" t="n">
        <f aca="false">IF($B13="","",IF(Beregning!$J13=1,IF(Beregning!$W13=0,0,Beregning!$X13*Beregning!K13/Beregning!$W13),Beregning!$C$3*Beregning!K13))</f>
        <v>133746.752702589</v>
      </c>
      <c r="E13" s="33" t="n">
        <f aca="false">IF($B13="","",IF(Beregning!$J13=1,IF(Beregning!$W13=0,0,Beregning!$X13*Beregning!L13/Beregning!$W13),Beregning!$C$3*Beregning!L13))</f>
        <v>152853.431660102</v>
      </c>
      <c r="F13" s="33" t="n">
        <f aca="false">IF($B13="","",IF(Beregning!$J13=1,IF(Beregning!$W13=0,0,Beregning!$X13*Beregning!M13/Beregning!$W13),Beregning!$C$3*Beregning!M13))</f>
        <v>171960.110617615</v>
      </c>
      <c r="G13" s="33" t="n">
        <f aca="false">IF($B13="","",IF(Beregning!$J13=1,IF(Beregning!$W13=0,0,Beregning!$X13*Beregning!N13/Beregning!$W13),Beregning!$C$3*Beregning!N13))</f>
        <v>152853.431660102</v>
      </c>
      <c r="H13" s="33" t="n">
        <f aca="false">IF($B13="","",IF(Beregning!$J13=1,IF(Beregning!$W13=0,0,Beregning!$X13*Beregning!O13/Beregning!$W13),Beregning!$C$3*Beregning!O13))</f>
        <v>171960.110617615</v>
      </c>
      <c r="I13" s="33" t="n">
        <f aca="false">IF($B13="","",IF(Beregning!$J13=1,IF(Beregning!$W13=0,0,Beregning!$X13*Beregning!P13/Beregning!$W13),Beregning!$C$3*Beregning!P13))</f>
        <v>171960.110617615</v>
      </c>
      <c r="J13" s="33" t="n">
        <f aca="false">IF($B13="","",IF(Beregning!$J13=1,IF(Beregning!$W13=0,0,Beregning!$X13*Beregning!Q13/Beregning!$W13),Beregning!$C$3*Beregning!Q13))</f>
        <v>76426.7158300511</v>
      </c>
      <c r="K13" s="33" t="n">
        <f aca="false">IF($B13="","",IF(Beregning!$J13=1,IF(Beregning!$W13=0,0,Beregning!$X13*Beregning!R13/Beregning!$W13),Beregning!$C$3*Beregning!R13))</f>
        <v>133746.752702589</v>
      </c>
      <c r="L13" s="33" t="n">
        <f aca="false">IF($B13="","",IF(Beregning!$J13=1,IF(Beregning!$W13=0,0,Beregning!$X13*Beregning!S13/Beregning!$W13),Beregning!$C$3*Beregning!S13))</f>
        <v>171960.110617615</v>
      </c>
      <c r="M13" s="33" t="n">
        <f aca="false">IF($B13="","",IF(Beregning!$J13=1,IF(Beregning!$W13=0,0,Beregning!$X13*Beregning!T13/Beregning!$W13),Beregning!$C$3*Beregning!T13))</f>
        <v>171960.110617615</v>
      </c>
      <c r="N13" s="33" t="n">
        <f aca="false">IF($B13="","",IF(Beregning!$J13=1,IF(Beregning!$W13=0,0,Beregning!$X13*Beregning!U13/Beregning!$W13),Beregning!$C$3*Beregning!U13))</f>
        <v>191066.789575128</v>
      </c>
      <c r="O13" s="33" t="n">
        <f aca="false">IF($B13="","",IF(Beregning!$J13=1,IF(Beregning!$W13=0,0,Beregning!$X13*Beregning!V13/Beregning!$W13),Beregning!$C$3*Beregning!V13))</f>
        <v>210173.468532641</v>
      </c>
      <c r="P13" s="38" t="n">
        <f aca="false">IF($B13="","",SUM(D13:O13))</f>
        <v>1910667.89575128</v>
      </c>
    </row>
    <row r="14" customFormat="false" ht="15" hidden="false" customHeight="false" outlineLevel="0" collapsed="false">
      <c r="B14" s="12" t="str">
        <f aca="false">IF(Beregning!$B14="","",Beregning!$B14)</f>
        <v>Ny sælger 1</v>
      </c>
      <c r="C14" s="12" t="str">
        <f aca="false">IF($B14="","",Beregning!$D14)</f>
        <v>Jylland</v>
      </c>
      <c r="D14" s="33" t="n">
        <f aca="false">IF($B14="","",IF(Beregning!$J14=1,IF(Beregning!$W14=0,0,Beregning!$X14*Beregning!K14/Beregning!$W14),Beregning!$C$3*Beregning!K14))</f>
        <v>0</v>
      </c>
      <c r="E14" s="33" t="n">
        <f aca="false">IF($B14="","",IF(Beregning!$J14=1,IF(Beregning!$W14=0,0,Beregning!$X14*Beregning!L14/Beregning!$W14),Beregning!$C$3*Beregning!L14))</f>
        <v>0</v>
      </c>
      <c r="F14" s="33" t="n">
        <f aca="false">IF($B14="","",IF(Beregning!$J14=1,IF(Beregning!$W14=0,0,Beregning!$X14*Beregning!M14/Beregning!$W14),Beregning!$C$3*Beregning!M14))</f>
        <v>85980.0553088075</v>
      </c>
      <c r="G14" s="33" t="n">
        <f aca="false">IF($B14="","",IF(Beregning!$J14=1,IF(Beregning!$W14=0,0,Beregning!$X14*Beregning!N14/Beregning!$W14),Beregning!$C$3*Beregning!N14))</f>
        <v>152853.431660102</v>
      </c>
      <c r="H14" s="33" t="n">
        <f aca="false">IF($B14="","",IF(Beregning!$J14=1,IF(Beregning!$W14=0,0,Beregning!$X14*Beregning!O14/Beregning!$W14),Beregning!$C$3*Beregning!O14))</f>
        <v>257940.165926423</v>
      </c>
      <c r="I14" s="33" t="n">
        <f aca="false">IF($B14="","",IF(Beregning!$J14=1,IF(Beregning!$W14=0,0,Beregning!$X14*Beregning!P14/Beregning!$W14),Beregning!$C$3*Beregning!P14))</f>
        <v>343920.22123523</v>
      </c>
      <c r="J14" s="33" t="n">
        <f aca="false">IF($B14="","",IF(Beregning!$J14=1,IF(Beregning!$W14=0,0,Beregning!$X14*Beregning!Q14/Beregning!$W14),Beregning!$C$3*Beregning!Q14))</f>
        <v>152853.431660102</v>
      </c>
      <c r="K14" s="33" t="n">
        <f aca="false">IF($B14="","",IF(Beregning!$J14=1,IF(Beregning!$W14=0,0,Beregning!$X14*Beregning!R14/Beregning!$W14),Beregning!$C$3*Beregning!R14))</f>
        <v>267493.505405179</v>
      </c>
      <c r="L14" s="33" t="n">
        <f aca="false">IF($B14="","",IF(Beregning!$J14=1,IF(Beregning!$W14=0,0,Beregning!$X14*Beregning!S14/Beregning!$W14),Beregning!$C$3*Beregning!S14))</f>
        <v>343920.22123523</v>
      </c>
      <c r="M14" s="33" t="n">
        <f aca="false">IF($B14="","",IF(Beregning!$J14=1,IF(Beregning!$W14=0,0,Beregning!$X14*Beregning!T14/Beregning!$W14),Beregning!$C$3*Beregning!T14))</f>
        <v>343920.22123523</v>
      </c>
      <c r="N14" s="33" t="n">
        <f aca="false">IF($B14="","",IF(Beregning!$J14=1,IF(Beregning!$W14=0,0,Beregning!$X14*Beregning!U14/Beregning!$W14),Beregning!$C$3*Beregning!U14))</f>
        <v>382133.579150256</v>
      </c>
      <c r="O14" s="33" t="n">
        <f aca="false">IF($B14="","",IF(Beregning!$J14=1,IF(Beregning!$W14=0,0,Beregning!$X14*Beregning!V14/Beregning!$W14),Beregning!$C$3*Beregning!V14))</f>
        <v>420346.937065281</v>
      </c>
      <c r="P14" s="38" t="n">
        <f aca="false">IF($B14="","",SUM(D14:O14))</f>
        <v>2751361.76988184</v>
      </c>
    </row>
    <row r="15" customFormat="false" ht="15" hidden="false" customHeight="false" outlineLevel="0" collapsed="false">
      <c r="B15" s="12" t="str">
        <f aca="false">IF(Beregning!$B15="","",Beregning!$B15)</f>
        <v>Ny sælger 2</v>
      </c>
      <c r="C15" s="12" t="str">
        <f aca="false">IF($B15="","",Beregning!$D15)</f>
        <v>Hovedstaden</v>
      </c>
      <c r="D15" s="33" t="n">
        <f aca="false">IF($B15="","",IF(Beregning!$J15=1,IF(Beregning!$W15=0,0,Beregning!$X15*Beregning!K15/Beregning!$W15),Beregning!$C$3*Beregning!K15))</f>
        <v>0</v>
      </c>
      <c r="E15" s="33" t="n">
        <f aca="false">IF($B15="","",IF(Beregning!$J15=1,IF(Beregning!$W15=0,0,Beregning!$X15*Beregning!L15/Beregning!$W15),Beregning!$C$3*Beregning!L15))</f>
        <v>0</v>
      </c>
      <c r="F15" s="33" t="n">
        <f aca="false">IF($B15="","",IF(Beregning!$J15=1,IF(Beregning!$W15=0,0,Beregning!$X15*Beregning!M15/Beregning!$W15),Beregning!$C$3*Beregning!M15))</f>
        <v>0</v>
      </c>
      <c r="G15" s="33" t="n">
        <f aca="false">IF($B15="","",IF(Beregning!$J15=1,IF(Beregning!$W15=0,0,Beregning!$X15*Beregning!N15/Beregning!$W15),Beregning!$C$3*Beregning!N15))</f>
        <v>0</v>
      </c>
      <c r="H15" s="33" t="n">
        <f aca="false">IF($B15="","",IF(Beregning!$J15=1,IF(Beregning!$W15=0,0,Beregning!$X15*Beregning!O15/Beregning!$W15),Beregning!$C$3*Beregning!O15))</f>
        <v>0</v>
      </c>
      <c r="I15" s="33" t="n">
        <f aca="false">IF($B15="","",IF(Beregning!$J15=1,IF(Beregning!$W15=0,0,Beregning!$X15*Beregning!P15/Beregning!$W15),Beregning!$C$3*Beregning!P15))</f>
        <v>0</v>
      </c>
      <c r="J15" s="33" t="n">
        <f aca="false">IF($B15="","",IF(Beregning!$J15=1,IF(Beregning!$W15=0,0,Beregning!$X15*Beregning!Q15/Beregning!$W15),Beregning!$C$3*Beregning!Q15))</f>
        <v>0</v>
      </c>
      <c r="K15" s="33" t="n">
        <f aca="false">IF($B15="","",IF(Beregning!$J15=1,IF(Beregning!$W15=0,0,Beregning!$X15*Beregning!R15/Beregning!$W15),Beregning!$C$3*Beregning!R15))</f>
        <v>80248.0516215537</v>
      </c>
      <c r="L15" s="33" t="n">
        <f aca="false">IF($B15="","",IF(Beregning!$J15=1,IF(Beregning!$W15=0,0,Beregning!$X15*Beregning!S15/Beregning!$W15),Beregning!$C$3*Beregning!S15))</f>
        <v>206352.132741138</v>
      </c>
      <c r="M15" s="33" t="n">
        <f aca="false">IF($B15="","",IF(Beregning!$J15=1,IF(Beregning!$W15=0,0,Beregning!$X15*Beregning!T15/Beregning!$W15),Beregning!$C$3*Beregning!T15))</f>
        <v>309528.199111707</v>
      </c>
      <c r="N15" s="33" t="n">
        <f aca="false">IF($B15="","",IF(Beregning!$J15=1,IF(Beregning!$W15=0,0,Beregning!$X15*Beregning!U15/Beregning!$W15),Beregning!$C$3*Beregning!U15))</f>
        <v>458560.294980307</v>
      </c>
      <c r="O15" s="33" t="n">
        <f aca="false">IF($B15="","",IF(Beregning!$J15=1,IF(Beregning!$W15=0,0,Beregning!$X15*Beregning!V15/Beregning!$W15),Beregning!$C$3*Beregning!V15))</f>
        <v>504416.324478337</v>
      </c>
      <c r="P15" s="38" t="n">
        <f aca="false">IF($B15="","",SUM(D15:O15))</f>
        <v>1559105.00293304</v>
      </c>
    </row>
    <row r="16" customFormat="false" ht="15" hidden="false" customHeight="false" outlineLevel="0" collapsed="false">
      <c r="B16" s="12" t="str">
        <f aca="false">IF(Beregning!$B16="","",Beregning!$B16)</f>
        <v/>
      </c>
      <c r="C16" s="12" t="str">
        <f aca="false">IF($B16="","",Beregning!$D16)</f>
        <v/>
      </c>
      <c r="D16" s="33" t="str">
        <f aca="false">IF($B16="","",IF(Beregning!$J16=1,IF(Beregning!$W16=0,0,Beregning!$X16*Beregning!K16/Beregning!$W16),Beregning!$C$3*Beregning!K16))</f>
        <v/>
      </c>
      <c r="E16" s="33" t="str">
        <f aca="false">IF($B16="","",IF(Beregning!$J16=1,IF(Beregning!$W16=0,0,Beregning!$X16*Beregning!L16/Beregning!$W16),Beregning!$C$3*Beregning!L16))</f>
        <v/>
      </c>
      <c r="F16" s="33" t="str">
        <f aca="false">IF($B16="","",IF(Beregning!$J16=1,IF(Beregning!$W16=0,0,Beregning!$X16*Beregning!M16/Beregning!$W16),Beregning!$C$3*Beregning!M16))</f>
        <v/>
      </c>
      <c r="G16" s="33" t="str">
        <f aca="false">IF($B16="","",IF(Beregning!$J16=1,IF(Beregning!$W16=0,0,Beregning!$X16*Beregning!N16/Beregning!$W16),Beregning!$C$3*Beregning!N16))</f>
        <v/>
      </c>
      <c r="H16" s="33" t="str">
        <f aca="false">IF($B16="","",IF(Beregning!$J16=1,IF(Beregning!$W16=0,0,Beregning!$X16*Beregning!O16/Beregning!$W16),Beregning!$C$3*Beregning!O16))</f>
        <v/>
      </c>
      <c r="I16" s="33" t="str">
        <f aca="false">IF($B16="","",IF(Beregning!$J16=1,IF(Beregning!$W16=0,0,Beregning!$X16*Beregning!P16/Beregning!$W16),Beregning!$C$3*Beregning!P16))</f>
        <v/>
      </c>
      <c r="J16" s="33" t="str">
        <f aca="false">IF($B16="","",IF(Beregning!$J16=1,IF(Beregning!$W16=0,0,Beregning!$X16*Beregning!Q16/Beregning!$W16),Beregning!$C$3*Beregning!Q16))</f>
        <v/>
      </c>
      <c r="K16" s="33" t="str">
        <f aca="false">IF($B16="","",IF(Beregning!$J16=1,IF(Beregning!$W16=0,0,Beregning!$X16*Beregning!R16/Beregning!$W16),Beregning!$C$3*Beregning!R16))</f>
        <v/>
      </c>
      <c r="L16" s="33" t="str">
        <f aca="false">IF($B16="","",IF(Beregning!$J16=1,IF(Beregning!$W16=0,0,Beregning!$X16*Beregning!S16/Beregning!$W16),Beregning!$C$3*Beregning!S16))</f>
        <v/>
      </c>
      <c r="M16" s="33" t="str">
        <f aca="false">IF($B16="","",IF(Beregning!$J16=1,IF(Beregning!$W16=0,0,Beregning!$X16*Beregning!T16/Beregning!$W16),Beregning!$C$3*Beregning!T16))</f>
        <v/>
      </c>
      <c r="N16" s="33" t="str">
        <f aca="false">IF($B16="","",IF(Beregning!$J16=1,IF(Beregning!$W16=0,0,Beregning!$X16*Beregning!U16/Beregning!$W16),Beregning!$C$3*Beregning!U16))</f>
        <v/>
      </c>
      <c r="O16" s="33" t="str">
        <f aca="false">IF($B16="","",IF(Beregning!$J16=1,IF(Beregning!$W16=0,0,Beregning!$X16*Beregning!V16/Beregning!$W16),Beregning!$C$3*Beregning!V16))</f>
        <v/>
      </c>
      <c r="P16" s="38" t="str">
        <f aca="false">IF($B16="","",SUM(D16:O16))</f>
        <v/>
      </c>
    </row>
    <row r="17" customFormat="false" ht="15" hidden="false" customHeight="false" outlineLevel="0" collapsed="false">
      <c r="B17" s="12" t="str">
        <f aca="false">IF(Beregning!$B17="","",Beregning!$B17)</f>
        <v/>
      </c>
      <c r="C17" s="12" t="str">
        <f aca="false">IF($B17="","",Beregning!$D17)</f>
        <v/>
      </c>
      <c r="D17" s="33" t="str">
        <f aca="false">IF($B17="","",IF(Beregning!$J17=1,IF(Beregning!$W17=0,0,Beregning!$X17*Beregning!K17/Beregning!$W17),Beregning!$C$3*Beregning!K17))</f>
        <v/>
      </c>
      <c r="E17" s="33" t="str">
        <f aca="false">IF($B17="","",IF(Beregning!$J17=1,IF(Beregning!$W17=0,0,Beregning!$X17*Beregning!L17/Beregning!$W17),Beregning!$C$3*Beregning!L17))</f>
        <v/>
      </c>
      <c r="F17" s="33" t="str">
        <f aca="false">IF($B17="","",IF(Beregning!$J17=1,IF(Beregning!$W17=0,0,Beregning!$X17*Beregning!M17/Beregning!$W17),Beregning!$C$3*Beregning!M17))</f>
        <v/>
      </c>
      <c r="G17" s="33" t="str">
        <f aca="false">IF($B17="","",IF(Beregning!$J17=1,IF(Beregning!$W17=0,0,Beregning!$X17*Beregning!N17/Beregning!$W17),Beregning!$C$3*Beregning!N17))</f>
        <v/>
      </c>
      <c r="H17" s="33" t="str">
        <f aca="false">IF($B17="","",IF(Beregning!$J17=1,IF(Beregning!$W17=0,0,Beregning!$X17*Beregning!O17/Beregning!$W17),Beregning!$C$3*Beregning!O17))</f>
        <v/>
      </c>
      <c r="I17" s="33" t="str">
        <f aca="false">IF($B17="","",IF(Beregning!$J17=1,IF(Beregning!$W17=0,0,Beregning!$X17*Beregning!P17/Beregning!$W17),Beregning!$C$3*Beregning!P17))</f>
        <v/>
      </c>
      <c r="J17" s="33" t="str">
        <f aca="false">IF($B17="","",IF(Beregning!$J17=1,IF(Beregning!$W17=0,0,Beregning!$X17*Beregning!Q17/Beregning!$W17),Beregning!$C$3*Beregning!Q17))</f>
        <v/>
      </c>
      <c r="K17" s="33" t="str">
        <f aca="false">IF($B17="","",IF(Beregning!$J17=1,IF(Beregning!$W17=0,0,Beregning!$X17*Beregning!R17/Beregning!$W17),Beregning!$C$3*Beregning!R17))</f>
        <v/>
      </c>
      <c r="L17" s="33" t="str">
        <f aca="false">IF($B17="","",IF(Beregning!$J17=1,IF(Beregning!$W17=0,0,Beregning!$X17*Beregning!S17/Beregning!$W17),Beregning!$C$3*Beregning!S17))</f>
        <v/>
      </c>
      <c r="M17" s="33" t="str">
        <f aca="false">IF($B17="","",IF(Beregning!$J17=1,IF(Beregning!$W17=0,0,Beregning!$X17*Beregning!T17/Beregning!$W17),Beregning!$C$3*Beregning!T17))</f>
        <v/>
      </c>
      <c r="N17" s="33" t="str">
        <f aca="false">IF($B17="","",IF(Beregning!$J17=1,IF(Beregning!$W17=0,0,Beregning!$X17*Beregning!U17/Beregning!$W17),Beregning!$C$3*Beregning!U17))</f>
        <v/>
      </c>
      <c r="O17" s="33" t="str">
        <f aca="false">IF($B17="","",IF(Beregning!$J17=1,IF(Beregning!$W17=0,0,Beregning!$X17*Beregning!V17/Beregning!$W17),Beregning!$C$3*Beregning!V17))</f>
        <v/>
      </c>
      <c r="P17" s="38" t="str">
        <f aca="false">IF($B17="","",SUM(D17:O17))</f>
        <v/>
      </c>
    </row>
    <row r="18" customFormat="false" ht="15" hidden="false" customHeight="false" outlineLevel="0" collapsed="false">
      <c r="B18" s="12" t="str">
        <f aca="false">IF(Beregning!$B18="","",Beregning!$B18)</f>
        <v/>
      </c>
      <c r="C18" s="12" t="str">
        <f aca="false">IF($B18="","",Beregning!$D18)</f>
        <v/>
      </c>
      <c r="D18" s="33" t="str">
        <f aca="false">IF($B18="","",IF(Beregning!$J18=1,IF(Beregning!$W18=0,0,Beregning!$X18*Beregning!K18/Beregning!$W18),Beregning!$C$3*Beregning!K18))</f>
        <v/>
      </c>
      <c r="E18" s="33" t="str">
        <f aca="false">IF($B18="","",IF(Beregning!$J18=1,IF(Beregning!$W18=0,0,Beregning!$X18*Beregning!L18/Beregning!$W18),Beregning!$C$3*Beregning!L18))</f>
        <v/>
      </c>
      <c r="F18" s="33" t="str">
        <f aca="false">IF($B18="","",IF(Beregning!$J18=1,IF(Beregning!$W18=0,0,Beregning!$X18*Beregning!M18/Beregning!$W18),Beregning!$C$3*Beregning!M18))</f>
        <v/>
      </c>
      <c r="G18" s="33" t="str">
        <f aca="false">IF($B18="","",IF(Beregning!$J18=1,IF(Beregning!$W18=0,0,Beregning!$X18*Beregning!N18/Beregning!$W18),Beregning!$C$3*Beregning!N18))</f>
        <v/>
      </c>
      <c r="H18" s="33" t="str">
        <f aca="false">IF($B18="","",IF(Beregning!$J18=1,IF(Beregning!$W18=0,0,Beregning!$X18*Beregning!O18/Beregning!$W18),Beregning!$C$3*Beregning!O18))</f>
        <v/>
      </c>
      <c r="I18" s="33" t="str">
        <f aca="false">IF($B18="","",IF(Beregning!$J18=1,IF(Beregning!$W18=0,0,Beregning!$X18*Beregning!P18/Beregning!$W18),Beregning!$C$3*Beregning!P18))</f>
        <v/>
      </c>
      <c r="J18" s="33" t="str">
        <f aca="false">IF($B18="","",IF(Beregning!$J18=1,IF(Beregning!$W18=0,0,Beregning!$X18*Beregning!Q18/Beregning!$W18),Beregning!$C$3*Beregning!Q18))</f>
        <v/>
      </c>
      <c r="K18" s="33" t="str">
        <f aca="false">IF($B18="","",IF(Beregning!$J18=1,IF(Beregning!$W18=0,0,Beregning!$X18*Beregning!R18/Beregning!$W18),Beregning!$C$3*Beregning!R18))</f>
        <v/>
      </c>
      <c r="L18" s="33" t="str">
        <f aca="false">IF($B18="","",IF(Beregning!$J18=1,IF(Beregning!$W18=0,0,Beregning!$X18*Beregning!S18/Beregning!$W18),Beregning!$C$3*Beregning!S18))</f>
        <v/>
      </c>
      <c r="M18" s="33" t="str">
        <f aca="false">IF($B18="","",IF(Beregning!$J18=1,IF(Beregning!$W18=0,0,Beregning!$X18*Beregning!T18/Beregning!$W18),Beregning!$C$3*Beregning!T18))</f>
        <v/>
      </c>
      <c r="N18" s="33" t="str">
        <f aca="false">IF($B18="","",IF(Beregning!$J18=1,IF(Beregning!$W18=0,0,Beregning!$X18*Beregning!U18/Beregning!$W18),Beregning!$C$3*Beregning!U18))</f>
        <v/>
      </c>
      <c r="O18" s="33" t="str">
        <f aca="false">IF($B18="","",IF(Beregning!$J18=1,IF(Beregning!$W18=0,0,Beregning!$X18*Beregning!V18/Beregning!$W18),Beregning!$C$3*Beregning!V18))</f>
        <v/>
      </c>
      <c r="P18" s="38" t="str">
        <f aca="false">IF($B18="","",SUM(D18:O18))</f>
        <v/>
      </c>
    </row>
    <row r="19" customFormat="false" ht="15" hidden="false" customHeight="false" outlineLevel="0" collapsed="false">
      <c r="B19" s="12" t="str">
        <f aca="false">IF(Beregning!$B19="","",Beregning!$B19)</f>
        <v/>
      </c>
      <c r="C19" s="12" t="str">
        <f aca="false">IF($B19="","",Beregning!$D19)</f>
        <v/>
      </c>
      <c r="D19" s="33" t="str">
        <f aca="false">IF($B19="","",IF(Beregning!$J19=1,IF(Beregning!$W19=0,0,Beregning!$X19*Beregning!K19/Beregning!$W19),Beregning!$C$3*Beregning!K19))</f>
        <v/>
      </c>
      <c r="E19" s="33" t="str">
        <f aca="false">IF($B19="","",IF(Beregning!$J19=1,IF(Beregning!$W19=0,0,Beregning!$X19*Beregning!L19/Beregning!$W19),Beregning!$C$3*Beregning!L19))</f>
        <v/>
      </c>
      <c r="F19" s="33" t="str">
        <f aca="false">IF($B19="","",IF(Beregning!$J19=1,IF(Beregning!$W19=0,0,Beregning!$X19*Beregning!M19/Beregning!$W19),Beregning!$C$3*Beregning!M19))</f>
        <v/>
      </c>
      <c r="G19" s="33" t="str">
        <f aca="false">IF($B19="","",IF(Beregning!$J19=1,IF(Beregning!$W19=0,0,Beregning!$X19*Beregning!N19/Beregning!$W19),Beregning!$C$3*Beregning!N19))</f>
        <v/>
      </c>
      <c r="H19" s="33" t="str">
        <f aca="false">IF($B19="","",IF(Beregning!$J19=1,IF(Beregning!$W19=0,0,Beregning!$X19*Beregning!O19/Beregning!$W19),Beregning!$C$3*Beregning!O19))</f>
        <v/>
      </c>
      <c r="I19" s="33" t="str">
        <f aca="false">IF($B19="","",IF(Beregning!$J19=1,IF(Beregning!$W19=0,0,Beregning!$X19*Beregning!P19/Beregning!$W19),Beregning!$C$3*Beregning!P19))</f>
        <v/>
      </c>
      <c r="J19" s="33" t="str">
        <f aca="false">IF($B19="","",IF(Beregning!$J19=1,IF(Beregning!$W19=0,0,Beregning!$X19*Beregning!Q19/Beregning!$W19),Beregning!$C$3*Beregning!Q19))</f>
        <v/>
      </c>
      <c r="K19" s="33" t="str">
        <f aca="false">IF($B19="","",IF(Beregning!$J19=1,IF(Beregning!$W19=0,0,Beregning!$X19*Beregning!R19/Beregning!$W19),Beregning!$C$3*Beregning!R19))</f>
        <v/>
      </c>
      <c r="L19" s="33" t="str">
        <f aca="false">IF($B19="","",IF(Beregning!$J19=1,IF(Beregning!$W19=0,0,Beregning!$X19*Beregning!S19/Beregning!$W19),Beregning!$C$3*Beregning!S19))</f>
        <v/>
      </c>
      <c r="M19" s="33" t="str">
        <f aca="false">IF($B19="","",IF(Beregning!$J19=1,IF(Beregning!$W19=0,0,Beregning!$X19*Beregning!T19/Beregning!$W19),Beregning!$C$3*Beregning!T19))</f>
        <v/>
      </c>
      <c r="N19" s="33" t="str">
        <f aca="false">IF($B19="","",IF(Beregning!$J19=1,IF(Beregning!$W19=0,0,Beregning!$X19*Beregning!U19/Beregning!$W19),Beregning!$C$3*Beregning!U19))</f>
        <v/>
      </c>
      <c r="O19" s="33" t="str">
        <f aca="false">IF($B19="","",IF(Beregning!$J19=1,IF(Beregning!$W19=0,0,Beregning!$X19*Beregning!V19/Beregning!$W19),Beregning!$C$3*Beregning!V19))</f>
        <v/>
      </c>
      <c r="P19" s="38" t="str">
        <f aca="false">IF($B19="","",SUM(D19:O19))</f>
        <v/>
      </c>
    </row>
    <row r="20" customFormat="false" ht="15" hidden="false" customHeight="false" outlineLevel="0" collapsed="false">
      <c r="B20" s="12" t="str">
        <f aca="false">IF(Beregning!$B20="","",Beregning!$B20)</f>
        <v/>
      </c>
      <c r="C20" s="12" t="str">
        <f aca="false">IF($B20="","",Beregning!$D20)</f>
        <v/>
      </c>
      <c r="D20" s="33" t="str">
        <f aca="false">IF($B20="","",IF(Beregning!$J20=1,IF(Beregning!$W20=0,0,Beregning!$X20*Beregning!K20/Beregning!$W20),Beregning!$C$3*Beregning!K20))</f>
        <v/>
      </c>
      <c r="E20" s="33" t="str">
        <f aca="false">IF($B20="","",IF(Beregning!$J20=1,IF(Beregning!$W20=0,0,Beregning!$X20*Beregning!L20/Beregning!$W20),Beregning!$C$3*Beregning!L20))</f>
        <v/>
      </c>
      <c r="F20" s="33" t="str">
        <f aca="false">IF($B20="","",IF(Beregning!$J20=1,IF(Beregning!$W20=0,0,Beregning!$X20*Beregning!M20/Beregning!$W20),Beregning!$C$3*Beregning!M20))</f>
        <v/>
      </c>
      <c r="G20" s="33" t="str">
        <f aca="false">IF($B20="","",IF(Beregning!$J20=1,IF(Beregning!$W20=0,0,Beregning!$X20*Beregning!N20/Beregning!$W20),Beregning!$C$3*Beregning!N20))</f>
        <v/>
      </c>
      <c r="H20" s="33" t="str">
        <f aca="false">IF($B20="","",IF(Beregning!$J20=1,IF(Beregning!$W20=0,0,Beregning!$X20*Beregning!O20/Beregning!$W20),Beregning!$C$3*Beregning!O20))</f>
        <v/>
      </c>
      <c r="I20" s="33" t="str">
        <f aca="false">IF($B20="","",IF(Beregning!$J20=1,IF(Beregning!$W20=0,0,Beregning!$X20*Beregning!P20/Beregning!$W20),Beregning!$C$3*Beregning!P20))</f>
        <v/>
      </c>
      <c r="J20" s="33" t="str">
        <f aca="false">IF($B20="","",IF(Beregning!$J20=1,IF(Beregning!$W20=0,0,Beregning!$X20*Beregning!Q20/Beregning!$W20),Beregning!$C$3*Beregning!Q20))</f>
        <v/>
      </c>
      <c r="K20" s="33" t="str">
        <f aca="false">IF($B20="","",IF(Beregning!$J20=1,IF(Beregning!$W20=0,0,Beregning!$X20*Beregning!R20/Beregning!$W20),Beregning!$C$3*Beregning!R20))</f>
        <v/>
      </c>
      <c r="L20" s="33" t="str">
        <f aca="false">IF($B20="","",IF(Beregning!$J20=1,IF(Beregning!$W20=0,0,Beregning!$X20*Beregning!S20/Beregning!$W20),Beregning!$C$3*Beregning!S20))</f>
        <v/>
      </c>
      <c r="M20" s="33" t="str">
        <f aca="false">IF($B20="","",IF(Beregning!$J20=1,IF(Beregning!$W20=0,0,Beregning!$X20*Beregning!T20/Beregning!$W20),Beregning!$C$3*Beregning!T20))</f>
        <v/>
      </c>
      <c r="N20" s="33" t="str">
        <f aca="false">IF($B20="","",IF(Beregning!$J20=1,IF(Beregning!$W20=0,0,Beregning!$X20*Beregning!U20/Beregning!$W20),Beregning!$C$3*Beregning!U20))</f>
        <v/>
      </c>
      <c r="O20" s="33" t="str">
        <f aca="false">IF($B20="","",IF(Beregning!$J20=1,IF(Beregning!$W20=0,0,Beregning!$X20*Beregning!V20/Beregning!$W20),Beregning!$C$3*Beregning!V20))</f>
        <v/>
      </c>
      <c r="P20" s="38" t="str">
        <f aca="false">IF($B20="","",SUM(D20:O20))</f>
        <v/>
      </c>
    </row>
    <row r="21" customFormat="false" ht="15" hidden="false" customHeight="false" outlineLevel="0" collapsed="false">
      <c r="B21" s="12" t="str">
        <f aca="false">IF(Beregning!$B21="","",Beregning!$B21)</f>
        <v/>
      </c>
      <c r="C21" s="12" t="str">
        <f aca="false">IF($B21="","",Beregning!$D21)</f>
        <v/>
      </c>
      <c r="D21" s="33" t="str">
        <f aca="false">IF($B21="","",IF(Beregning!$J21=1,IF(Beregning!$W21=0,0,Beregning!$X21*Beregning!K21/Beregning!$W21),Beregning!$C$3*Beregning!K21))</f>
        <v/>
      </c>
      <c r="E21" s="33" t="str">
        <f aca="false">IF($B21="","",IF(Beregning!$J21=1,IF(Beregning!$W21=0,0,Beregning!$X21*Beregning!L21/Beregning!$W21),Beregning!$C$3*Beregning!L21))</f>
        <v/>
      </c>
      <c r="F21" s="33" t="str">
        <f aca="false">IF($B21="","",IF(Beregning!$J21=1,IF(Beregning!$W21=0,0,Beregning!$X21*Beregning!M21/Beregning!$W21),Beregning!$C$3*Beregning!M21))</f>
        <v/>
      </c>
      <c r="G21" s="33" t="str">
        <f aca="false">IF($B21="","",IF(Beregning!$J21=1,IF(Beregning!$W21=0,0,Beregning!$X21*Beregning!N21/Beregning!$W21),Beregning!$C$3*Beregning!N21))</f>
        <v/>
      </c>
      <c r="H21" s="33" t="str">
        <f aca="false">IF($B21="","",IF(Beregning!$J21=1,IF(Beregning!$W21=0,0,Beregning!$X21*Beregning!O21/Beregning!$W21),Beregning!$C$3*Beregning!O21))</f>
        <v/>
      </c>
      <c r="I21" s="33" t="str">
        <f aca="false">IF($B21="","",IF(Beregning!$J21=1,IF(Beregning!$W21=0,0,Beregning!$X21*Beregning!P21/Beregning!$W21),Beregning!$C$3*Beregning!P21))</f>
        <v/>
      </c>
      <c r="J21" s="33" t="str">
        <f aca="false">IF($B21="","",IF(Beregning!$J21=1,IF(Beregning!$W21=0,0,Beregning!$X21*Beregning!Q21/Beregning!$W21),Beregning!$C$3*Beregning!Q21))</f>
        <v/>
      </c>
      <c r="K21" s="33" t="str">
        <f aca="false">IF($B21="","",IF(Beregning!$J21=1,IF(Beregning!$W21=0,0,Beregning!$X21*Beregning!R21/Beregning!$W21),Beregning!$C$3*Beregning!R21))</f>
        <v/>
      </c>
      <c r="L21" s="33" t="str">
        <f aca="false">IF($B21="","",IF(Beregning!$J21=1,IF(Beregning!$W21=0,0,Beregning!$X21*Beregning!S21/Beregning!$W21),Beregning!$C$3*Beregning!S21))</f>
        <v/>
      </c>
      <c r="M21" s="33" t="str">
        <f aca="false">IF($B21="","",IF(Beregning!$J21=1,IF(Beregning!$W21=0,0,Beregning!$X21*Beregning!T21/Beregning!$W21),Beregning!$C$3*Beregning!T21))</f>
        <v/>
      </c>
      <c r="N21" s="33" t="str">
        <f aca="false">IF($B21="","",IF(Beregning!$J21=1,IF(Beregning!$W21=0,0,Beregning!$X21*Beregning!U21/Beregning!$W21),Beregning!$C$3*Beregning!U21))</f>
        <v/>
      </c>
      <c r="O21" s="33" t="str">
        <f aca="false">IF($B21="","",IF(Beregning!$J21=1,IF(Beregning!$W21=0,0,Beregning!$X21*Beregning!V21/Beregning!$W21),Beregning!$C$3*Beregning!V21))</f>
        <v/>
      </c>
      <c r="P21" s="38" t="str">
        <f aca="false">IF($B21="","",SUM(D21:O21))</f>
        <v/>
      </c>
    </row>
    <row r="22" customFormat="false" ht="15" hidden="false" customHeight="false" outlineLevel="0" collapsed="false">
      <c r="B22" s="12" t="str">
        <f aca="false">IF(Beregning!$B22="","",Beregning!$B22)</f>
        <v/>
      </c>
      <c r="C22" s="12" t="str">
        <f aca="false">IF($B22="","",Beregning!$D22)</f>
        <v/>
      </c>
      <c r="D22" s="33" t="str">
        <f aca="false">IF($B22="","",IF(Beregning!$J22=1,IF(Beregning!$W22=0,0,Beregning!$X22*Beregning!K22/Beregning!$W22),Beregning!$C$3*Beregning!K22))</f>
        <v/>
      </c>
      <c r="E22" s="33" t="str">
        <f aca="false">IF($B22="","",IF(Beregning!$J22=1,IF(Beregning!$W22=0,0,Beregning!$X22*Beregning!L22/Beregning!$W22),Beregning!$C$3*Beregning!L22))</f>
        <v/>
      </c>
      <c r="F22" s="33" t="str">
        <f aca="false">IF($B22="","",IF(Beregning!$J22=1,IF(Beregning!$W22=0,0,Beregning!$X22*Beregning!M22/Beregning!$W22),Beregning!$C$3*Beregning!M22))</f>
        <v/>
      </c>
      <c r="G22" s="33" t="str">
        <f aca="false">IF($B22="","",IF(Beregning!$J22=1,IF(Beregning!$W22=0,0,Beregning!$X22*Beregning!N22/Beregning!$W22),Beregning!$C$3*Beregning!N22))</f>
        <v/>
      </c>
      <c r="H22" s="33" t="str">
        <f aca="false">IF($B22="","",IF(Beregning!$J22=1,IF(Beregning!$W22=0,0,Beregning!$X22*Beregning!O22/Beregning!$W22),Beregning!$C$3*Beregning!O22))</f>
        <v/>
      </c>
      <c r="I22" s="33" t="str">
        <f aca="false">IF($B22="","",IF(Beregning!$J22=1,IF(Beregning!$W22=0,0,Beregning!$X22*Beregning!P22/Beregning!$W22),Beregning!$C$3*Beregning!P22))</f>
        <v/>
      </c>
      <c r="J22" s="33" t="str">
        <f aca="false">IF($B22="","",IF(Beregning!$J22=1,IF(Beregning!$W22=0,0,Beregning!$X22*Beregning!Q22/Beregning!$W22),Beregning!$C$3*Beregning!Q22))</f>
        <v/>
      </c>
      <c r="K22" s="33" t="str">
        <f aca="false">IF($B22="","",IF(Beregning!$J22=1,IF(Beregning!$W22=0,0,Beregning!$X22*Beregning!R22/Beregning!$W22),Beregning!$C$3*Beregning!R22))</f>
        <v/>
      </c>
      <c r="L22" s="33" t="str">
        <f aca="false">IF($B22="","",IF(Beregning!$J22=1,IF(Beregning!$W22=0,0,Beregning!$X22*Beregning!S22/Beregning!$W22),Beregning!$C$3*Beregning!S22))</f>
        <v/>
      </c>
      <c r="M22" s="33" t="str">
        <f aca="false">IF($B22="","",IF(Beregning!$J22=1,IF(Beregning!$W22=0,0,Beregning!$X22*Beregning!T22/Beregning!$W22),Beregning!$C$3*Beregning!T22))</f>
        <v/>
      </c>
      <c r="N22" s="33" t="str">
        <f aca="false">IF($B22="","",IF(Beregning!$J22=1,IF(Beregning!$W22=0,0,Beregning!$X22*Beregning!U22/Beregning!$W22),Beregning!$C$3*Beregning!U22))</f>
        <v/>
      </c>
      <c r="O22" s="33" t="str">
        <f aca="false">IF($B22="","",IF(Beregning!$J22=1,IF(Beregning!$W22=0,0,Beregning!$X22*Beregning!V22/Beregning!$W22),Beregning!$C$3*Beregning!V22))</f>
        <v/>
      </c>
      <c r="P22" s="38" t="str">
        <f aca="false">IF($B22="","",SUM(D22:O22))</f>
        <v/>
      </c>
    </row>
    <row r="23" customFormat="false" ht="15" hidden="false" customHeight="false" outlineLevel="0" collapsed="false">
      <c r="B23" s="12" t="str">
        <f aca="false">IF(Beregning!$B23="","",Beregning!$B23)</f>
        <v/>
      </c>
      <c r="C23" s="12" t="str">
        <f aca="false">IF($B23="","",Beregning!$D23)</f>
        <v/>
      </c>
      <c r="D23" s="33" t="str">
        <f aca="false">IF($B23="","",IF(Beregning!$J23=1,IF(Beregning!$W23=0,0,Beregning!$X23*Beregning!K23/Beregning!$W23),Beregning!$C$3*Beregning!K23))</f>
        <v/>
      </c>
      <c r="E23" s="33" t="str">
        <f aca="false">IF($B23="","",IF(Beregning!$J23=1,IF(Beregning!$W23=0,0,Beregning!$X23*Beregning!L23/Beregning!$W23),Beregning!$C$3*Beregning!L23))</f>
        <v/>
      </c>
      <c r="F23" s="33" t="str">
        <f aca="false">IF($B23="","",IF(Beregning!$J23=1,IF(Beregning!$W23=0,0,Beregning!$X23*Beregning!M23/Beregning!$W23),Beregning!$C$3*Beregning!M23))</f>
        <v/>
      </c>
      <c r="G23" s="33" t="str">
        <f aca="false">IF($B23="","",IF(Beregning!$J23=1,IF(Beregning!$W23=0,0,Beregning!$X23*Beregning!N23/Beregning!$W23),Beregning!$C$3*Beregning!N23))</f>
        <v/>
      </c>
      <c r="H23" s="33" t="str">
        <f aca="false">IF($B23="","",IF(Beregning!$J23=1,IF(Beregning!$W23=0,0,Beregning!$X23*Beregning!O23/Beregning!$W23),Beregning!$C$3*Beregning!O23))</f>
        <v/>
      </c>
      <c r="I23" s="33" t="str">
        <f aca="false">IF($B23="","",IF(Beregning!$J23=1,IF(Beregning!$W23=0,0,Beregning!$X23*Beregning!P23/Beregning!$W23),Beregning!$C$3*Beregning!P23))</f>
        <v/>
      </c>
      <c r="J23" s="33" t="str">
        <f aca="false">IF($B23="","",IF(Beregning!$J23=1,IF(Beregning!$W23=0,0,Beregning!$X23*Beregning!Q23/Beregning!$W23),Beregning!$C$3*Beregning!Q23))</f>
        <v/>
      </c>
      <c r="K23" s="33" t="str">
        <f aca="false">IF($B23="","",IF(Beregning!$J23=1,IF(Beregning!$W23=0,0,Beregning!$X23*Beregning!R23/Beregning!$W23),Beregning!$C$3*Beregning!R23))</f>
        <v/>
      </c>
      <c r="L23" s="33" t="str">
        <f aca="false">IF($B23="","",IF(Beregning!$J23=1,IF(Beregning!$W23=0,0,Beregning!$X23*Beregning!S23/Beregning!$W23),Beregning!$C$3*Beregning!S23))</f>
        <v/>
      </c>
      <c r="M23" s="33" t="str">
        <f aca="false">IF($B23="","",IF(Beregning!$J23=1,IF(Beregning!$W23=0,0,Beregning!$X23*Beregning!T23/Beregning!$W23),Beregning!$C$3*Beregning!T23))</f>
        <v/>
      </c>
      <c r="N23" s="33" t="str">
        <f aca="false">IF($B23="","",IF(Beregning!$J23=1,IF(Beregning!$W23=0,0,Beregning!$X23*Beregning!U23/Beregning!$W23),Beregning!$C$3*Beregning!U23))</f>
        <v/>
      </c>
      <c r="O23" s="33" t="str">
        <f aca="false">IF($B23="","",IF(Beregning!$J23=1,IF(Beregning!$W23=0,0,Beregning!$X23*Beregning!V23/Beregning!$W23),Beregning!$C$3*Beregning!V23))</f>
        <v/>
      </c>
      <c r="P23" s="38" t="str">
        <f aca="false">IF($B23="","",SUM(D23:O23))</f>
        <v/>
      </c>
    </row>
    <row r="24" customFormat="false" ht="15" hidden="false" customHeight="false" outlineLevel="0" collapsed="false">
      <c r="B24" s="12" t="str">
        <f aca="false">IF(Beregning!$B24="","",Beregning!$B24)</f>
        <v/>
      </c>
      <c r="C24" s="12" t="str">
        <f aca="false">IF($B24="","",Beregning!$D24)</f>
        <v/>
      </c>
      <c r="D24" s="33" t="str">
        <f aca="false">IF($B24="","",IF(Beregning!$J24=1,IF(Beregning!$W24=0,0,Beregning!$X24*Beregning!K24/Beregning!$W24),Beregning!$C$3*Beregning!K24))</f>
        <v/>
      </c>
      <c r="E24" s="33" t="str">
        <f aca="false">IF($B24="","",IF(Beregning!$J24=1,IF(Beregning!$W24=0,0,Beregning!$X24*Beregning!L24/Beregning!$W24),Beregning!$C$3*Beregning!L24))</f>
        <v/>
      </c>
      <c r="F24" s="33" t="str">
        <f aca="false">IF($B24="","",IF(Beregning!$J24=1,IF(Beregning!$W24=0,0,Beregning!$X24*Beregning!M24/Beregning!$W24),Beregning!$C$3*Beregning!M24))</f>
        <v/>
      </c>
      <c r="G24" s="33" t="str">
        <f aca="false">IF($B24="","",IF(Beregning!$J24=1,IF(Beregning!$W24=0,0,Beregning!$X24*Beregning!N24/Beregning!$W24),Beregning!$C$3*Beregning!N24))</f>
        <v/>
      </c>
      <c r="H24" s="33" t="str">
        <f aca="false">IF($B24="","",IF(Beregning!$J24=1,IF(Beregning!$W24=0,0,Beregning!$X24*Beregning!O24/Beregning!$W24),Beregning!$C$3*Beregning!O24))</f>
        <v/>
      </c>
      <c r="I24" s="33" t="str">
        <f aca="false">IF($B24="","",IF(Beregning!$J24=1,IF(Beregning!$W24=0,0,Beregning!$X24*Beregning!P24/Beregning!$W24),Beregning!$C$3*Beregning!P24))</f>
        <v/>
      </c>
      <c r="J24" s="33" t="str">
        <f aca="false">IF($B24="","",IF(Beregning!$J24=1,IF(Beregning!$W24=0,0,Beregning!$X24*Beregning!Q24/Beregning!$W24),Beregning!$C$3*Beregning!Q24))</f>
        <v/>
      </c>
      <c r="K24" s="33" t="str">
        <f aca="false">IF($B24="","",IF(Beregning!$J24=1,IF(Beregning!$W24=0,0,Beregning!$X24*Beregning!R24/Beregning!$W24),Beregning!$C$3*Beregning!R24))</f>
        <v/>
      </c>
      <c r="L24" s="33" t="str">
        <f aca="false">IF($B24="","",IF(Beregning!$J24=1,IF(Beregning!$W24=0,0,Beregning!$X24*Beregning!S24/Beregning!$W24),Beregning!$C$3*Beregning!S24))</f>
        <v/>
      </c>
      <c r="M24" s="33" t="str">
        <f aca="false">IF($B24="","",IF(Beregning!$J24=1,IF(Beregning!$W24=0,0,Beregning!$X24*Beregning!T24/Beregning!$W24),Beregning!$C$3*Beregning!T24))</f>
        <v/>
      </c>
      <c r="N24" s="33" t="str">
        <f aca="false">IF($B24="","",IF(Beregning!$J24=1,IF(Beregning!$W24=0,0,Beregning!$X24*Beregning!U24/Beregning!$W24),Beregning!$C$3*Beregning!U24))</f>
        <v/>
      </c>
      <c r="O24" s="33" t="str">
        <f aca="false">IF($B24="","",IF(Beregning!$J24=1,IF(Beregning!$W24=0,0,Beregning!$X24*Beregning!V24/Beregning!$W24),Beregning!$C$3*Beregning!V24))</f>
        <v/>
      </c>
      <c r="P24" s="38" t="str">
        <f aca="false">IF($B24="","",SUM(D24:O24))</f>
        <v/>
      </c>
    </row>
    <row r="25" customFormat="false" ht="15" hidden="false" customHeight="false" outlineLevel="0" collapsed="false">
      <c r="B25" s="12" t="str">
        <f aca="false">IF(Beregning!$B25="","",Beregning!$B25)</f>
        <v/>
      </c>
      <c r="C25" s="12" t="str">
        <f aca="false">IF($B25="","",Beregning!$D25)</f>
        <v/>
      </c>
      <c r="D25" s="33" t="str">
        <f aca="false">IF($B25="","",IF(Beregning!$J25=1,IF(Beregning!$W25=0,0,Beregning!$X25*Beregning!K25/Beregning!$W25),Beregning!$C$3*Beregning!K25))</f>
        <v/>
      </c>
      <c r="E25" s="33" t="str">
        <f aca="false">IF($B25="","",IF(Beregning!$J25=1,IF(Beregning!$W25=0,0,Beregning!$X25*Beregning!L25/Beregning!$W25),Beregning!$C$3*Beregning!L25))</f>
        <v/>
      </c>
      <c r="F25" s="33" t="str">
        <f aca="false">IF($B25="","",IF(Beregning!$J25=1,IF(Beregning!$W25=0,0,Beregning!$X25*Beregning!M25/Beregning!$W25),Beregning!$C$3*Beregning!M25))</f>
        <v/>
      </c>
      <c r="G25" s="33" t="str">
        <f aca="false">IF($B25="","",IF(Beregning!$J25=1,IF(Beregning!$W25=0,0,Beregning!$X25*Beregning!N25/Beregning!$W25),Beregning!$C$3*Beregning!N25))</f>
        <v/>
      </c>
      <c r="H25" s="33" t="str">
        <f aca="false">IF($B25="","",IF(Beregning!$J25=1,IF(Beregning!$W25=0,0,Beregning!$X25*Beregning!O25/Beregning!$W25),Beregning!$C$3*Beregning!O25))</f>
        <v/>
      </c>
      <c r="I25" s="33" t="str">
        <f aca="false">IF($B25="","",IF(Beregning!$J25=1,IF(Beregning!$W25=0,0,Beregning!$X25*Beregning!P25/Beregning!$W25),Beregning!$C$3*Beregning!P25))</f>
        <v/>
      </c>
      <c r="J25" s="33" t="str">
        <f aca="false">IF($B25="","",IF(Beregning!$J25=1,IF(Beregning!$W25=0,0,Beregning!$X25*Beregning!Q25/Beregning!$W25),Beregning!$C$3*Beregning!Q25))</f>
        <v/>
      </c>
      <c r="K25" s="33" t="str">
        <f aca="false">IF($B25="","",IF(Beregning!$J25=1,IF(Beregning!$W25=0,0,Beregning!$X25*Beregning!R25/Beregning!$W25),Beregning!$C$3*Beregning!R25))</f>
        <v/>
      </c>
      <c r="L25" s="33" t="str">
        <f aca="false">IF($B25="","",IF(Beregning!$J25=1,IF(Beregning!$W25=0,0,Beregning!$X25*Beregning!S25/Beregning!$W25),Beregning!$C$3*Beregning!S25))</f>
        <v/>
      </c>
      <c r="M25" s="33" t="str">
        <f aca="false">IF($B25="","",IF(Beregning!$J25=1,IF(Beregning!$W25=0,0,Beregning!$X25*Beregning!T25/Beregning!$W25),Beregning!$C$3*Beregning!T25))</f>
        <v/>
      </c>
      <c r="N25" s="33" t="str">
        <f aca="false">IF($B25="","",IF(Beregning!$J25=1,IF(Beregning!$W25=0,0,Beregning!$X25*Beregning!U25/Beregning!$W25),Beregning!$C$3*Beregning!U25))</f>
        <v/>
      </c>
      <c r="O25" s="33" t="str">
        <f aca="false">IF($B25="","",IF(Beregning!$J25=1,IF(Beregning!$W25=0,0,Beregning!$X25*Beregning!V25/Beregning!$W25),Beregning!$C$3*Beregning!V25))</f>
        <v/>
      </c>
      <c r="P25" s="38" t="str">
        <f aca="false">IF($B25="","",SUM(D25:O25))</f>
        <v/>
      </c>
    </row>
    <row r="26" customFormat="false" ht="15" hidden="false" customHeight="false" outlineLevel="0" collapsed="false">
      <c r="B26" s="12" t="str">
        <f aca="false">IF(Beregning!$B26="","",Beregning!$B26)</f>
        <v/>
      </c>
      <c r="C26" s="12" t="str">
        <f aca="false">IF($B26="","",Beregning!$D26)</f>
        <v/>
      </c>
      <c r="D26" s="33" t="str">
        <f aca="false">IF($B26="","",IF(Beregning!$J26=1,IF(Beregning!$W26=0,0,Beregning!$X26*Beregning!K26/Beregning!$W26),Beregning!$C$3*Beregning!K26))</f>
        <v/>
      </c>
      <c r="E26" s="33" t="str">
        <f aca="false">IF($B26="","",IF(Beregning!$J26=1,IF(Beregning!$W26=0,0,Beregning!$X26*Beregning!L26/Beregning!$W26),Beregning!$C$3*Beregning!L26))</f>
        <v/>
      </c>
      <c r="F26" s="33" t="str">
        <f aca="false">IF($B26="","",IF(Beregning!$J26=1,IF(Beregning!$W26=0,0,Beregning!$X26*Beregning!M26/Beregning!$W26),Beregning!$C$3*Beregning!M26))</f>
        <v/>
      </c>
      <c r="G26" s="33" t="str">
        <f aca="false">IF($B26="","",IF(Beregning!$J26=1,IF(Beregning!$W26=0,0,Beregning!$X26*Beregning!N26/Beregning!$W26),Beregning!$C$3*Beregning!N26))</f>
        <v/>
      </c>
      <c r="H26" s="33" t="str">
        <f aca="false">IF($B26="","",IF(Beregning!$J26=1,IF(Beregning!$W26=0,0,Beregning!$X26*Beregning!O26/Beregning!$W26),Beregning!$C$3*Beregning!O26))</f>
        <v/>
      </c>
      <c r="I26" s="33" t="str">
        <f aca="false">IF($B26="","",IF(Beregning!$J26=1,IF(Beregning!$W26=0,0,Beregning!$X26*Beregning!P26/Beregning!$W26),Beregning!$C$3*Beregning!P26))</f>
        <v/>
      </c>
      <c r="J26" s="33" t="str">
        <f aca="false">IF($B26="","",IF(Beregning!$J26=1,IF(Beregning!$W26=0,0,Beregning!$X26*Beregning!Q26/Beregning!$W26),Beregning!$C$3*Beregning!Q26))</f>
        <v/>
      </c>
      <c r="K26" s="33" t="str">
        <f aca="false">IF($B26="","",IF(Beregning!$J26=1,IF(Beregning!$W26=0,0,Beregning!$X26*Beregning!R26/Beregning!$W26),Beregning!$C$3*Beregning!R26))</f>
        <v/>
      </c>
      <c r="L26" s="33" t="str">
        <f aca="false">IF($B26="","",IF(Beregning!$J26=1,IF(Beregning!$W26=0,0,Beregning!$X26*Beregning!S26/Beregning!$W26),Beregning!$C$3*Beregning!S26))</f>
        <v/>
      </c>
      <c r="M26" s="33" t="str">
        <f aca="false">IF($B26="","",IF(Beregning!$J26=1,IF(Beregning!$W26=0,0,Beregning!$X26*Beregning!T26/Beregning!$W26),Beregning!$C$3*Beregning!T26))</f>
        <v/>
      </c>
      <c r="N26" s="33" t="str">
        <f aca="false">IF($B26="","",IF(Beregning!$J26=1,IF(Beregning!$W26=0,0,Beregning!$X26*Beregning!U26/Beregning!$W26),Beregning!$C$3*Beregning!U26))</f>
        <v/>
      </c>
      <c r="O26" s="33" t="str">
        <f aca="false">IF($B26="","",IF(Beregning!$J26=1,IF(Beregning!$W26=0,0,Beregning!$X26*Beregning!V26/Beregning!$W26),Beregning!$C$3*Beregning!V26))</f>
        <v/>
      </c>
      <c r="P26" s="38" t="str">
        <f aca="false">IF($B26="","",SUM(D26:O26))</f>
        <v/>
      </c>
    </row>
    <row r="27" customFormat="false" ht="15" hidden="false" customHeight="false" outlineLevel="0" collapsed="false">
      <c r="B27" s="12" t="str">
        <f aca="false">IF(Beregning!$B27="","",Beregning!$B27)</f>
        <v/>
      </c>
      <c r="C27" s="12" t="str">
        <f aca="false">IF($B27="","",Beregning!$D27)</f>
        <v/>
      </c>
      <c r="D27" s="33" t="str">
        <f aca="false">IF($B27="","",IF(Beregning!$J27=1,IF(Beregning!$W27=0,0,Beregning!$X27*Beregning!K27/Beregning!$W27),Beregning!$C$3*Beregning!K27))</f>
        <v/>
      </c>
      <c r="E27" s="33" t="str">
        <f aca="false">IF($B27="","",IF(Beregning!$J27=1,IF(Beregning!$W27=0,0,Beregning!$X27*Beregning!L27/Beregning!$W27),Beregning!$C$3*Beregning!L27))</f>
        <v/>
      </c>
      <c r="F27" s="33" t="str">
        <f aca="false">IF($B27="","",IF(Beregning!$J27=1,IF(Beregning!$W27=0,0,Beregning!$X27*Beregning!M27/Beregning!$W27),Beregning!$C$3*Beregning!M27))</f>
        <v/>
      </c>
      <c r="G27" s="33" t="str">
        <f aca="false">IF($B27="","",IF(Beregning!$J27=1,IF(Beregning!$W27=0,0,Beregning!$X27*Beregning!N27/Beregning!$W27),Beregning!$C$3*Beregning!N27))</f>
        <v/>
      </c>
      <c r="H27" s="33" t="str">
        <f aca="false">IF($B27="","",IF(Beregning!$J27=1,IF(Beregning!$W27=0,0,Beregning!$X27*Beregning!O27/Beregning!$W27),Beregning!$C$3*Beregning!O27))</f>
        <v/>
      </c>
      <c r="I27" s="33" t="str">
        <f aca="false">IF($B27="","",IF(Beregning!$J27=1,IF(Beregning!$W27=0,0,Beregning!$X27*Beregning!P27/Beregning!$W27),Beregning!$C$3*Beregning!P27))</f>
        <v/>
      </c>
      <c r="J27" s="33" t="str">
        <f aca="false">IF($B27="","",IF(Beregning!$J27=1,IF(Beregning!$W27=0,0,Beregning!$X27*Beregning!Q27/Beregning!$W27),Beregning!$C$3*Beregning!Q27))</f>
        <v/>
      </c>
      <c r="K27" s="33" t="str">
        <f aca="false">IF($B27="","",IF(Beregning!$J27=1,IF(Beregning!$W27=0,0,Beregning!$X27*Beregning!R27/Beregning!$W27),Beregning!$C$3*Beregning!R27))</f>
        <v/>
      </c>
      <c r="L27" s="33" t="str">
        <f aca="false">IF($B27="","",IF(Beregning!$J27=1,IF(Beregning!$W27=0,0,Beregning!$X27*Beregning!S27/Beregning!$W27),Beregning!$C$3*Beregning!S27))</f>
        <v/>
      </c>
      <c r="M27" s="33" t="str">
        <f aca="false">IF($B27="","",IF(Beregning!$J27=1,IF(Beregning!$W27=0,0,Beregning!$X27*Beregning!T27/Beregning!$W27),Beregning!$C$3*Beregning!T27))</f>
        <v/>
      </c>
      <c r="N27" s="33" t="str">
        <f aca="false">IF($B27="","",IF(Beregning!$J27=1,IF(Beregning!$W27=0,0,Beregning!$X27*Beregning!U27/Beregning!$W27),Beregning!$C$3*Beregning!U27))</f>
        <v/>
      </c>
      <c r="O27" s="33" t="str">
        <f aca="false">IF($B27="","",IF(Beregning!$J27=1,IF(Beregning!$W27=0,0,Beregning!$X27*Beregning!V27/Beregning!$W27),Beregning!$C$3*Beregning!V27))</f>
        <v/>
      </c>
      <c r="P27" s="38" t="str">
        <f aca="false">IF($B27="","",SUM(D27:O27))</f>
        <v/>
      </c>
    </row>
    <row r="28" customFormat="false" ht="15" hidden="false" customHeight="false" outlineLevel="0" collapsed="false">
      <c r="B28" s="12" t="str">
        <f aca="false">IF(Beregning!$B28="","",Beregning!$B28)</f>
        <v/>
      </c>
      <c r="C28" s="12" t="str">
        <f aca="false">IF($B28="","",Beregning!$D28)</f>
        <v/>
      </c>
      <c r="D28" s="33" t="str">
        <f aca="false">IF($B28="","",IF(Beregning!$J28=1,IF(Beregning!$W28=0,0,Beregning!$X28*Beregning!K28/Beregning!$W28),Beregning!$C$3*Beregning!K28))</f>
        <v/>
      </c>
      <c r="E28" s="33" t="str">
        <f aca="false">IF($B28="","",IF(Beregning!$J28=1,IF(Beregning!$W28=0,0,Beregning!$X28*Beregning!L28/Beregning!$W28),Beregning!$C$3*Beregning!L28))</f>
        <v/>
      </c>
      <c r="F28" s="33" t="str">
        <f aca="false">IF($B28="","",IF(Beregning!$J28=1,IF(Beregning!$W28=0,0,Beregning!$X28*Beregning!M28/Beregning!$W28),Beregning!$C$3*Beregning!M28))</f>
        <v/>
      </c>
      <c r="G28" s="33" t="str">
        <f aca="false">IF($B28="","",IF(Beregning!$J28=1,IF(Beregning!$W28=0,0,Beregning!$X28*Beregning!N28/Beregning!$W28),Beregning!$C$3*Beregning!N28))</f>
        <v/>
      </c>
      <c r="H28" s="33" t="str">
        <f aca="false">IF($B28="","",IF(Beregning!$J28=1,IF(Beregning!$W28=0,0,Beregning!$X28*Beregning!O28/Beregning!$W28),Beregning!$C$3*Beregning!O28))</f>
        <v/>
      </c>
      <c r="I28" s="33" t="str">
        <f aca="false">IF($B28="","",IF(Beregning!$J28=1,IF(Beregning!$W28=0,0,Beregning!$X28*Beregning!P28/Beregning!$W28),Beregning!$C$3*Beregning!P28))</f>
        <v/>
      </c>
      <c r="J28" s="33" t="str">
        <f aca="false">IF($B28="","",IF(Beregning!$J28=1,IF(Beregning!$W28=0,0,Beregning!$X28*Beregning!Q28/Beregning!$W28),Beregning!$C$3*Beregning!Q28))</f>
        <v/>
      </c>
      <c r="K28" s="33" t="str">
        <f aca="false">IF($B28="","",IF(Beregning!$J28=1,IF(Beregning!$W28=0,0,Beregning!$X28*Beregning!R28/Beregning!$W28),Beregning!$C$3*Beregning!R28))</f>
        <v/>
      </c>
      <c r="L28" s="33" t="str">
        <f aca="false">IF($B28="","",IF(Beregning!$J28=1,IF(Beregning!$W28=0,0,Beregning!$X28*Beregning!S28/Beregning!$W28),Beregning!$C$3*Beregning!S28))</f>
        <v/>
      </c>
      <c r="M28" s="33" t="str">
        <f aca="false">IF($B28="","",IF(Beregning!$J28=1,IF(Beregning!$W28=0,0,Beregning!$X28*Beregning!T28/Beregning!$W28),Beregning!$C$3*Beregning!T28))</f>
        <v/>
      </c>
      <c r="N28" s="33" t="str">
        <f aca="false">IF($B28="","",IF(Beregning!$J28=1,IF(Beregning!$W28=0,0,Beregning!$X28*Beregning!U28/Beregning!$W28),Beregning!$C$3*Beregning!U28))</f>
        <v/>
      </c>
      <c r="O28" s="33" t="str">
        <f aca="false">IF($B28="","",IF(Beregning!$J28=1,IF(Beregning!$W28=0,0,Beregning!$X28*Beregning!V28/Beregning!$W28),Beregning!$C$3*Beregning!V28))</f>
        <v/>
      </c>
      <c r="P28" s="38" t="str">
        <f aca="false">IF($B28="","",SUM(D28:O28))</f>
        <v/>
      </c>
    </row>
    <row r="29" customFormat="false" ht="15" hidden="false" customHeight="false" outlineLevel="0" collapsed="false">
      <c r="B29" s="12" t="str">
        <f aca="false">IF(Beregning!$B29="","",Beregning!$B29)</f>
        <v/>
      </c>
      <c r="C29" s="12" t="str">
        <f aca="false">IF($B29="","",Beregning!$D29)</f>
        <v/>
      </c>
      <c r="D29" s="33" t="str">
        <f aca="false">IF($B29="","",IF(Beregning!$J29=1,IF(Beregning!$W29=0,0,Beregning!$X29*Beregning!K29/Beregning!$W29),Beregning!$C$3*Beregning!K29))</f>
        <v/>
      </c>
      <c r="E29" s="33" t="str">
        <f aca="false">IF($B29="","",IF(Beregning!$J29=1,IF(Beregning!$W29=0,0,Beregning!$X29*Beregning!L29/Beregning!$W29),Beregning!$C$3*Beregning!L29))</f>
        <v/>
      </c>
      <c r="F29" s="33" t="str">
        <f aca="false">IF($B29="","",IF(Beregning!$J29=1,IF(Beregning!$W29=0,0,Beregning!$X29*Beregning!M29/Beregning!$W29),Beregning!$C$3*Beregning!M29))</f>
        <v/>
      </c>
      <c r="G29" s="33" t="str">
        <f aca="false">IF($B29="","",IF(Beregning!$J29=1,IF(Beregning!$W29=0,0,Beregning!$X29*Beregning!N29/Beregning!$W29),Beregning!$C$3*Beregning!N29))</f>
        <v/>
      </c>
      <c r="H29" s="33" t="str">
        <f aca="false">IF($B29="","",IF(Beregning!$J29=1,IF(Beregning!$W29=0,0,Beregning!$X29*Beregning!O29/Beregning!$W29),Beregning!$C$3*Beregning!O29))</f>
        <v/>
      </c>
      <c r="I29" s="33" t="str">
        <f aca="false">IF($B29="","",IF(Beregning!$J29=1,IF(Beregning!$W29=0,0,Beregning!$X29*Beregning!P29/Beregning!$W29),Beregning!$C$3*Beregning!P29))</f>
        <v/>
      </c>
      <c r="J29" s="33" t="str">
        <f aca="false">IF($B29="","",IF(Beregning!$J29=1,IF(Beregning!$W29=0,0,Beregning!$X29*Beregning!Q29/Beregning!$W29),Beregning!$C$3*Beregning!Q29))</f>
        <v/>
      </c>
      <c r="K29" s="33" t="str">
        <f aca="false">IF($B29="","",IF(Beregning!$J29=1,IF(Beregning!$W29=0,0,Beregning!$X29*Beregning!R29/Beregning!$W29),Beregning!$C$3*Beregning!R29))</f>
        <v/>
      </c>
      <c r="L29" s="33" t="str">
        <f aca="false">IF($B29="","",IF(Beregning!$J29=1,IF(Beregning!$W29=0,0,Beregning!$X29*Beregning!S29/Beregning!$W29),Beregning!$C$3*Beregning!S29))</f>
        <v/>
      </c>
      <c r="M29" s="33" t="str">
        <f aca="false">IF($B29="","",IF(Beregning!$J29=1,IF(Beregning!$W29=0,0,Beregning!$X29*Beregning!T29/Beregning!$W29),Beregning!$C$3*Beregning!T29))</f>
        <v/>
      </c>
      <c r="N29" s="33" t="str">
        <f aca="false">IF($B29="","",IF(Beregning!$J29=1,IF(Beregning!$W29=0,0,Beregning!$X29*Beregning!U29/Beregning!$W29),Beregning!$C$3*Beregning!U29))</f>
        <v/>
      </c>
      <c r="O29" s="33" t="str">
        <f aca="false">IF($B29="","",IF(Beregning!$J29=1,IF(Beregning!$W29=0,0,Beregning!$X29*Beregning!V29/Beregning!$W29),Beregning!$C$3*Beregning!V29))</f>
        <v/>
      </c>
      <c r="P29" s="38" t="str">
        <f aca="false">IF($B29="","",SUM(D29:O29))</f>
        <v/>
      </c>
    </row>
    <row r="30" customFormat="false" ht="15" hidden="false" customHeight="false" outlineLevel="0" collapsed="false">
      <c r="B30" s="12" t="str">
        <f aca="false">IF(Beregning!$B30="","",Beregning!$B30)</f>
        <v/>
      </c>
      <c r="C30" s="12" t="str">
        <f aca="false">IF($B30="","",Beregning!$D30)</f>
        <v/>
      </c>
      <c r="D30" s="33" t="str">
        <f aca="false">IF($B30="","",IF(Beregning!$J30=1,IF(Beregning!$W30=0,0,Beregning!$X30*Beregning!K30/Beregning!$W30),Beregning!$C$3*Beregning!K30))</f>
        <v/>
      </c>
      <c r="E30" s="33" t="str">
        <f aca="false">IF($B30="","",IF(Beregning!$J30=1,IF(Beregning!$W30=0,0,Beregning!$X30*Beregning!L30/Beregning!$W30),Beregning!$C$3*Beregning!L30))</f>
        <v/>
      </c>
      <c r="F30" s="33" t="str">
        <f aca="false">IF($B30="","",IF(Beregning!$J30=1,IF(Beregning!$W30=0,0,Beregning!$X30*Beregning!M30/Beregning!$W30),Beregning!$C$3*Beregning!M30))</f>
        <v/>
      </c>
      <c r="G30" s="33" t="str">
        <f aca="false">IF($B30="","",IF(Beregning!$J30=1,IF(Beregning!$W30=0,0,Beregning!$X30*Beregning!N30/Beregning!$W30),Beregning!$C$3*Beregning!N30))</f>
        <v/>
      </c>
      <c r="H30" s="33" t="str">
        <f aca="false">IF($B30="","",IF(Beregning!$J30=1,IF(Beregning!$W30=0,0,Beregning!$X30*Beregning!O30/Beregning!$W30),Beregning!$C$3*Beregning!O30))</f>
        <v/>
      </c>
      <c r="I30" s="33" t="str">
        <f aca="false">IF($B30="","",IF(Beregning!$J30=1,IF(Beregning!$W30=0,0,Beregning!$X30*Beregning!P30/Beregning!$W30),Beregning!$C$3*Beregning!P30))</f>
        <v/>
      </c>
      <c r="J30" s="33" t="str">
        <f aca="false">IF($B30="","",IF(Beregning!$J30=1,IF(Beregning!$W30=0,0,Beregning!$X30*Beregning!Q30/Beregning!$W30),Beregning!$C$3*Beregning!Q30))</f>
        <v/>
      </c>
      <c r="K30" s="33" t="str">
        <f aca="false">IF($B30="","",IF(Beregning!$J30=1,IF(Beregning!$W30=0,0,Beregning!$X30*Beregning!R30/Beregning!$W30),Beregning!$C$3*Beregning!R30))</f>
        <v/>
      </c>
      <c r="L30" s="33" t="str">
        <f aca="false">IF($B30="","",IF(Beregning!$J30=1,IF(Beregning!$W30=0,0,Beregning!$X30*Beregning!S30/Beregning!$W30),Beregning!$C$3*Beregning!S30))</f>
        <v/>
      </c>
      <c r="M30" s="33" t="str">
        <f aca="false">IF($B30="","",IF(Beregning!$J30=1,IF(Beregning!$W30=0,0,Beregning!$X30*Beregning!T30/Beregning!$W30),Beregning!$C$3*Beregning!T30))</f>
        <v/>
      </c>
      <c r="N30" s="33" t="str">
        <f aca="false">IF($B30="","",IF(Beregning!$J30=1,IF(Beregning!$W30=0,0,Beregning!$X30*Beregning!U30/Beregning!$W30),Beregning!$C$3*Beregning!U30))</f>
        <v/>
      </c>
      <c r="O30" s="33" t="str">
        <f aca="false">IF($B30="","",IF(Beregning!$J30=1,IF(Beregning!$W30=0,0,Beregning!$X30*Beregning!V30/Beregning!$W30),Beregning!$C$3*Beregning!V30))</f>
        <v/>
      </c>
      <c r="P30" s="38" t="str">
        <f aca="false">IF($B30="","",SUM(D30:O30))</f>
        <v/>
      </c>
    </row>
    <row r="31" customFormat="false" ht="15" hidden="false" customHeight="false" outlineLevel="0" collapsed="false">
      <c r="B31" s="19" t="s">
        <v>153</v>
      </c>
      <c r="C31" s="35"/>
      <c r="D31" s="24" t="n">
        <f aca="false">SUM(D6:D30)</f>
        <v>2023614.76577558</v>
      </c>
      <c r="E31" s="24" t="n">
        <f aca="false">SUM(E6:E30)</f>
        <v>2377665.29791335</v>
      </c>
      <c r="F31" s="24" t="n">
        <f aca="false">SUM(F6:F30)</f>
        <v>2760853.51546133</v>
      </c>
      <c r="G31" s="24" t="n">
        <f aca="false">SUM(G6:G30)</f>
        <v>2530518.72957345</v>
      </c>
      <c r="H31" s="24" t="n">
        <f aca="false">SUM(H6:H30)</f>
        <v>2932813.62607894</v>
      </c>
      <c r="I31" s="24" t="n">
        <f aca="false">SUM(I6:I30)</f>
        <v>3018793.68138775</v>
      </c>
      <c r="J31" s="24" t="n">
        <f aca="false">SUM(J6:J30)</f>
        <v>1341686.08061678</v>
      </c>
      <c r="K31" s="24" t="n">
        <f aca="false">SUM(K6:K30)</f>
        <v>2428198.69270091</v>
      </c>
      <c r="L31" s="24" t="n">
        <f aca="false">SUM(L6:L30)</f>
        <v>3225145.81412889</v>
      </c>
      <c r="M31" s="24" t="n">
        <f aca="false">SUM(M6:M30)</f>
        <v>3035989.69244951</v>
      </c>
      <c r="N31" s="24" t="n">
        <f aca="false">SUM(N6:N30)</f>
        <v>3487961.95424453</v>
      </c>
      <c r="O31" s="24" t="n">
        <f aca="false">SUM(O6:O30)</f>
        <v>3836758.14966899</v>
      </c>
      <c r="P31" s="24" t="n">
        <f aca="false">SUM(P6:P30)</f>
        <v>33000000</v>
      </c>
    </row>
    <row r="32" customFormat="false" ht="23.85" hidden="false" customHeight="false" outlineLevel="0" collapsed="false">
      <c r="B32" s="39" t="s">
        <v>154</v>
      </c>
      <c r="D32" s="33" t="n">
        <f aca="false">Indstillinger!$C$8*INDEX(Indstillinger!$D$27:$D$38,1)</f>
        <v>2100000</v>
      </c>
      <c r="E32" s="33" t="n">
        <f aca="false">Indstillinger!$C$8*INDEX(Indstillinger!$D$27:$D$38,2)</f>
        <v>2400000</v>
      </c>
      <c r="F32" s="33" t="n">
        <f aca="false">Indstillinger!$C$8*INDEX(Indstillinger!$D$27:$D$38,3)</f>
        <v>2700000</v>
      </c>
      <c r="G32" s="33" t="n">
        <f aca="false">Indstillinger!$C$8*INDEX(Indstillinger!$D$27:$D$38,4)</f>
        <v>2400000</v>
      </c>
      <c r="H32" s="33" t="n">
        <f aca="false">Indstillinger!$C$8*INDEX(Indstillinger!$D$27:$D$38,5)</f>
        <v>2700000</v>
      </c>
      <c r="I32" s="33" t="n">
        <f aca="false">Indstillinger!$C$8*INDEX(Indstillinger!$D$27:$D$38,6)</f>
        <v>2700000</v>
      </c>
      <c r="J32" s="33" t="n">
        <f aca="false">Indstillinger!$C$8*INDEX(Indstillinger!$D$27:$D$38,7)</f>
        <v>1200000</v>
      </c>
      <c r="K32" s="33" t="n">
        <f aca="false">Indstillinger!$C$8*INDEX(Indstillinger!$D$27:$D$38,8)</f>
        <v>2100000</v>
      </c>
      <c r="L32" s="33" t="n">
        <f aca="false">Indstillinger!$C$8*INDEX(Indstillinger!$D$27:$D$38,9)</f>
        <v>2700000</v>
      </c>
      <c r="M32" s="33" t="n">
        <f aca="false">Indstillinger!$C$8*INDEX(Indstillinger!$D$27:$D$38,10)</f>
        <v>2700000</v>
      </c>
      <c r="N32" s="33" t="n">
        <f aca="false">Indstillinger!$C$8*INDEX(Indstillinger!$D$27:$D$38,11)</f>
        <v>3000000</v>
      </c>
      <c r="O32" s="33" t="n">
        <f aca="false">Indstillinger!$C$8*INDEX(Indstillinger!$D$27:$D$38,12)</f>
        <v>3300000</v>
      </c>
      <c r="P32" s="33" t="n">
        <f aca="false">SUM(D32:O32)</f>
        <v>30000000</v>
      </c>
    </row>
    <row r="33" customFormat="false" ht="15" hidden="false" customHeight="false" outlineLevel="0" collapsed="false">
      <c r="B33" s="39" t="s">
        <v>155</v>
      </c>
      <c r="D33" s="25" t="n">
        <f aca="false">IFERROR(D31/D32,0)</f>
        <v>0.963626078940753</v>
      </c>
      <c r="E33" s="25" t="n">
        <f aca="false">IFERROR(E31/E32,0)</f>
        <v>0.990693874130562</v>
      </c>
      <c r="F33" s="25" t="n">
        <f aca="false">IFERROR(F31/F32,0)</f>
        <v>1.02253833905975</v>
      </c>
      <c r="G33" s="25" t="n">
        <f aca="false">IFERROR(G31/G32,0)</f>
        <v>1.05438280398894</v>
      </c>
      <c r="H33" s="25" t="n">
        <f aca="false">IFERROR(H31/H32,0)</f>
        <v>1.08622726891813</v>
      </c>
      <c r="I33" s="25" t="n">
        <f aca="false">IFERROR(I31/I32,0)</f>
        <v>1.11807173384731</v>
      </c>
      <c r="J33" s="25" t="n">
        <f aca="false">IFERROR(J31/J32,0)</f>
        <v>1.11807173384731</v>
      </c>
      <c r="K33" s="25" t="n">
        <f aca="false">IFERROR(K31/K32,0)</f>
        <v>1.15628509176234</v>
      </c>
      <c r="L33" s="25" t="n">
        <f aca="false">IFERROR(L31/L32,0)</f>
        <v>1.19449844967737</v>
      </c>
      <c r="M33" s="25" t="n">
        <f aca="false">IFERROR(M31/M32,0)</f>
        <v>1.12444062683315</v>
      </c>
      <c r="N33" s="25" t="n">
        <f aca="false">IFERROR(N31/N32,0)</f>
        <v>1.16265398474818</v>
      </c>
      <c r="O33" s="25" t="n">
        <f aca="false">IFERROR(O31/O32,0)</f>
        <v>1.16265398474818</v>
      </c>
      <c r="P33" s="25" t="n">
        <f aca="false">IFERROR(P31/P32,0)</f>
        <v>1.1</v>
      </c>
    </row>
    <row r="34" customFormat="false" ht="15" hidden="false" customHeight="false" outlineLevel="0" collapsed="false">
      <c r="B34" s="39" t="s">
        <v>156</v>
      </c>
      <c r="D34" s="33" t="n">
        <f aca="false">SUM($D$31:D31)</f>
        <v>2023614.76577558</v>
      </c>
      <c r="E34" s="33" t="n">
        <f aca="false">SUM($D$31:E31)</f>
        <v>4401280.06368893</v>
      </c>
      <c r="F34" s="33" t="n">
        <f aca="false">SUM($D$31:F31)</f>
        <v>7162133.57915026</v>
      </c>
      <c r="G34" s="33" t="n">
        <f aca="false">SUM($D$31:G31)</f>
        <v>9692652.30872371</v>
      </c>
      <c r="H34" s="33" t="n">
        <f aca="false">SUM($D$31:H31)</f>
        <v>12625465.9348026</v>
      </c>
      <c r="I34" s="33" t="n">
        <f aca="false">SUM($D$31:I31)</f>
        <v>15644259.6161904</v>
      </c>
      <c r="J34" s="33" t="n">
        <f aca="false">SUM($D$31:J31)</f>
        <v>16985945.6968072</v>
      </c>
      <c r="K34" s="33" t="n">
        <f aca="false">SUM($D$31:K31)</f>
        <v>19414144.3895081</v>
      </c>
      <c r="L34" s="33" t="n">
        <f aca="false">SUM($D$31:L31)</f>
        <v>22639290.203637</v>
      </c>
      <c r="M34" s="33" t="n">
        <f aca="false">SUM($D$31:M31)</f>
        <v>25675279.8960865</v>
      </c>
      <c r="N34" s="33" t="n">
        <f aca="false">SUM($D$31:N31)</f>
        <v>29163241.850331</v>
      </c>
      <c r="O34" s="33" t="n">
        <f aca="false">SUM($D$31:O31)</f>
        <v>33000000</v>
      </c>
    </row>
    <row r="36" customFormat="false" ht="15" hidden="false" customHeight="false" outlineLevel="0" collapsed="false">
      <c r="B36" s="7" t="s">
        <v>157</v>
      </c>
    </row>
    <row r="37" customFormat="false" ht="24" hidden="false" customHeight="true" outlineLevel="0" collapsed="false">
      <c r="B37" s="26" t="s">
        <v>88</v>
      </c>
      <c r="C37" s="26"/>
      <c r="D37" s="26" t="s">
        <v>136</v>
      </c>
      <c r="E37" s="26" t="s">
        <v>137</v>
      </c>
      <c r="F37" s="26" t="s">
        <v>138</v>
      </c>
      <c r="G37" s="26" t="s">
        <v>139</v>
      </c>
      <c r="H37" s="26" t="s">
        <v>76</v>
      </c>
      <c r="I37" s="26" t="s">
        <v>140</v>
      </c>
      <c r="J37" s="26" t="s">
        <v>141</v>
      </c>
      <c r="K37" s="26" t="s">
        <v>142</v>
      </c>
      <c r="L37" s="26" t="s">
        <v>143</v>
      </c>
      <c r="M37" s="26" t="s">
        <v>144</v>
      </c>
      <c r="N37" s="26" t="s">
        <v>145</v>
      </c>
      <c r="O37" s="26" t="s">
        <v>146</v>
      </c>
      <c r="P37" s="26" t="s">
        <v>93</v>
      </c>
    </row>
    <row r="38" customFormat="false" ht="15" hidden="false" customHeight="false" outlineLevel="0" collapsed="false">
      <c r="B38" s="12" t="str">
        <f aca="false">IF(Territorier!$B$6="","",Territorier!$B$6)</f>
        <v>Hovedstaden</v>
      </c>
      <c r="D38" s="33" t="n">
        <f aca="false">IF($B38="","",SUMIF($C$6:$C$30,$B38,D$6:D$30))</f>
        <v>641984.412972429</v>
      </c>
      <c r="E38" s="33" t="n">
        <f aca="false">IF($B38="","",SUMIF($C$6:$C$30,$B38,E$6:E$30))</f>
        <v>733696.471968491</v>
      </c>
      <c r="F38" s="33" t="n">
        <f aca="false">IF($B38="","",SUMIF($C$6:$C$30,$B38,F$6:F$30))</f>
        <v>825408.530964552</v>
      </c>
      <c r="G38" s="33" t="n">
        <f aca="false">IF($B38="","",SUMIF($C$6:$C$30,$B38,G$6:G$30))</f>
        <v>733696.471968491</v>
      </c>
      <c r="H38" s="33" t="n">
        <f aca="false">IF($B38="","",SUMIF($C$6:$C$30,$B38,H$6:H$30))</f>
        <v>825408.530964552</v>
      </c>
      <c r="I38" s="33" t="n">
        <f aca="false">IF($B38="","",SUMIF($C$6:$C$30,$B38,I$6:I$30))</f>
        <v>825408.530964552</v>
      </c>
      <c r="J38" s="33" t="n">
        <f aca="false">IF($B38="","",SUMIF($C$6:$C$30,$B38,J$6:J$30))</f>
        <v>366848.235984245</v>
      </c>
      <c r="K38" s="33" t="n">
        <f aca="false">IF($B38="","",SUMIF($C$6:$C$30,$B38,K$6:K$30))</f>
        <v>722232.464593983</v>
      </c>
      <c r="L38" s="33" t="n">
        <f aca="false">IF($B38="","",SUMIF($C$6:$C$30,$B38,L$6:L$30))</f>
        <v>1031760.66370569</v>
      </c>
      <c r="M38" s="33" t="n">
        <f aca="false">IF($B38="","",SUMIF($C$6:$C$30,$B38,M$6:M$30))</f>
        <v>1134936.73007626</v>
      </c>
      <c r="N38" s="33" t="n">
        <f aca="false">IF($B38="","",SUMIF($C$6:$C$30,$B38,N$6:N$30))</f>
        <v>1375680.88494092</v>
      </c>
      <c r="O38" s="33" t="n">
        <f aca="false">IF($B38="","",SUMIF($C$6:$C$30,$B38,O$6:O$30))</f>
        <v>1513248.97343501</v>
      </c>
      <c r="P38" s="38" t="n">
        <f aca="false">IF($B38="","",SUM(D38:O38))</f>
        <v>10730310.9025392</v>
      </c>
    </row>
    <row r="39" customFormat="false" ht="15" hidden="false" customHeight="false" outlineLevel="0" collapsed="false">
      <c r="B39" s="12" t="str">
        <f aca="false">IF(Territorier!$B$7="","",Territorier!$B$7)</f>
        <v>Jylland</v>
      </c>
      <c r="D39" s="33" t="n">
        <f aca="false">IF($B39="","",SUMIF($C$6:$C$30,$B39,D$6:D$30))</f>
        <v>668733.763512947</v>
      </c>
      <c r="E39" s="33" t="n">
        <f aca="false">IF($B39="","",SUMIF($C$6:$C$30,$B39,E$6:E$30))</f>
        <v>764267.158300511</v>
      </c>
      <c r="F39" s="33" t="n">
        <f aca="false">IF($B39="","",SUMIF($C$6:$C$30,$B39,F$6:F$30))</f>
        <v>945780.608396883</v>
      </c>
      <c r="G39" s="33" t="n">
        <f aca="false">IF($B39="","",SUMIF($C$6:$C$30,$B39,G$6:G$30))</f>
        <v>917120.589960614</v>
      </c>
      <c r="H39" s="33" t="n">
        <f aca="false">IF($B39="","",SUMIF($C$6:$C$30,$B39,H$6:H$30))</f>
        <v>1117740.7190145</v>
      </c>
      <c r="I39" s="33" t="n">
        <f aca="false">IF($B39="","",SUMIF($C$6:$C$30,$B39,I$6:I$30))</f>
        <v>1203720.77432331</v>
      </c>
      <c r="J39" s="33" t="n">
        <f aca="false">IF($B39="","",SUMIF($C$6:$C$30,$B39,J$6:J$30))</f>
        <v>534987.010810358</v>
      </c>
      <c r="K39" s="33" t="n">
        <f aca="false">IF($B39="","",SUMIF($C$6:$C$30,$B39,K$6:K$30))</f>
        <v>936227.268918126</v>
      </c>
      <c r="L39" s="33" t="n">
        <f aca="false">IF($B39="","",SUMIF($C$6:$C$30,$B39,L$6:L$30))</f>
        <v>1203720.77432331</v>
      </c>
      <c r="M39" s="33" t="n">
        <f aca="false">IF($B39="","",SUMIF($C$6:$C$30,$B39,M$6:M$30))</f>
        <v>1203720.77432331</v>
      </c>
      <c r="N39" s="33" t="n">
        <f aca="false">IF($B39="","",SUMIF($C$6:$C$30,$B39,N$6:N$30))</f>
        <v>1337467.52702589</v>
      </c>
      <c r="O39" s="33" t="n">
        <f aca="false">IF($B39="","",SUMIF($C$6:$C$30,$B39,O$6:O$30))</f>
        <v>1471214.27972848</v>
      </c>
      <c r="P39" s="38" t="n">
        <f aca="false">IF($B39="","",SUM(D39:O39))</f>
        <v>12304701.2486382</v>
      </c>
    </row>
    <row r="40" customFormat="false" ht="15" hidden="false" customHeight="false" outlineLevel="0" collapsed="false">
      <c r="B40" s="12" t="str">
        <f aca="false">IF(Territorier!$B$8="","",Territorier!$B$8)</f>
        <v>Fyn og Sjælland</v>
      </c>
      <c r="D40" s="33" t="n">
        <f aca="false">IF($B40="","",SUMIF($C$6:$C$30,$B40,D$6:D$30))</f>
        <v>397896.589290204</v>
      </c>
      <c r="E40" s="33" t="n">
        <f aca="false">IF($B40="","",SUMIF($C$6:$C$30,$B40,E$6:E$30))</f>
        <v>519701.667644348</v>
      </c>
      <c r="F40" s="33" t="n">
        <f aca="false">IF($B40="","",SUMIF($C$6:$C$30,$B40,F$6:F$30))</f>
        <v>584664.376099891</v>
      </c>
      <c r="G40" s="33" t="n">
        <f aca="false">IF($B40="","",SUMIF($C$6:$C$30,$B40,G$6:G$30))</f>
        <v>519701.667644348</v>
      </c>
      <c r="H40" s="33" t="n">
        <f aca="false">IF($B40="","",SUMIF($C$6:$C$30,$B40,H$6:H$30))</f>
        <v>584664.376099891</v>
      </c>
      <c r="I40" s="33" t="n">
        <f aca="false">IF($B40="","",SUMIF($C$6:$C$30,$B40,I$6:I$30))</f>
        <v>584664.376099891</v>
      </c>
      <c r="J40" s="33" t="n">
        <f aca="false">IF($B40="","",SUMIF($C$6:$C$30,$B40,J$6:J$30))</f>
        <v>259850.833822174</v>
      </c>
      <c r="K40" s="33" t="n">
        <f aca="false">IF($B40="","",SUMIF($C$6:$C$30,$B40,K$6:K$30))</f>
        <v>454738.959188804</v>
      </c>
      <c r="L40" s="33" t="n">
        <f aca="false">IF($B40="","",SUMIF($C$6:$C$30,$B40,L$6:L$30))</f>
        <v>584664.376099891</v>
      </c>
      <c r="M40" s="33" t="n">
        <f aca="false">IF($B40="","",SUMIF($C$6:$C$30,$B40,M$6:M$30))</f>
        <v>292332.188049946</v>
      </c>
      <c r="N40" s="33" t="n">
        <f aca="false">IF($B40="","",SUMIF($C$6:$C$30,$B40,N$6:N$30))</f>
        <v>324813.542277717</v>
      </c>
      <c r="O40" s="33" t="n">
        <f aca="false">IF($B40="","",SUMIF($C$6:$C$30,$B40,O$6:O$30))</f>
        <v>357294.896505489</v>
      </c>
      <c r="P40" s="38" t="n">
        <f aca="false">IF($B40="","",SUM(D40:O40))</f>
        <v>5464987.84882259</v>
      </c>
    </row>
    <row r="41" customFormat="false" ht="15" hidden="false" customHeight="false" outlineLevel="0" collapsed="false">
      <c r="B41" s="12" t="str">
        <f aca="false">IF(Territorier!$B$9="","",Territorier!$B$9)</f>
        <v>Key accounts</v>
      </c>
      <c r="D41" s="33" t="n">
        <f aca="false">IF($B41="","",SUMIF($C$6:$C$30,$B41,D$6:D$30))</f>
        <v>315000</v>
      </c>
      <c r="E41" s="33" t="n">
        <f aca="false">IF($B41="","",SUMIF($C$6:$C$30,$B41,E$6:E$30))</f>
        <v>360000</v>
      </c>
      <c r="F41" s="33" t="n">
        <f aca="false">IF($B41="","",SUMIF($C$6:$C$30,$B41,F$6:F$30))</f>
        <v>405000</v>
      </c>
      <c r="G41" s="33" t="n">
        <f aca="false">IF($B41="","",SUMIF($C$6:$C$30,$B41,G$6:G$30))</f>
        <v>360000</v>
      </c>
      <c r="H41" s="33" t="n">
        <f aca="false">IF($B41="","",SUMIF($C$6:$C$30,$B41,H$6:H$30))</f>
        <v>405000</v>
      </c>
      <c r="I41" s="33" t="n">
        <f aca="false">IF($B41="","",SUMIF($C$6:$C$30,$B41,I$6:I$30))</f>
        <v>405000</v>
      </c>
      <c r="J41" s="33" t="n">
        <f aca="false">IF($B41="","",SUMIF($C$6:$C$30,$B41,J$6:J$30))</f>
        <v>180000</v>
      </c>
      <c r="K41" s="33" t="n">
        <f aca="false">IF($B41="","",SUMIF($C$6:$C$30,$B41,K$6:K$30))</f>
        <v>315000</v>
      </c>
      <c r="L41" s="33" t="n">
        <f aca="false">IF($B41="","",SUMIF($C$6:$C$30,$B41,L$6:L$30))</f>
        <v>405000</v>
      </c>
      <c r="M41" s="33" t="n">
        <f aca="false">IF($B41="","",SUMIF($C$6:$C$30,$B41,M$6:M$30))</f>
        <v>405000</v>
      </c>
      <c r="N41" s="33" t="n">
        <f aca="false">IF($B41="","",SUMIF($C$6:$C$30,$B41,N$6:N$30))</f>
        <v>450000</v>
      </c>
      <c r="O41" s="33" t="n">
        <f aca="false">IF($B41="","",SUMIF($C$6:$C$30,$B41,O$6:O$30))</f>
        <v>495000</v>
      </c>
      <c r="P41" s="38" t="n">
        <f aca="false">IF($B41="","",SUM(D41:O41))</f>
        <v>4500000</v>
      </c>
    </row>
    <row r="42" customFormat="false" ht="15" hidden="false" customHeight="false" outlineLevel="0" collapsed="false">
      <c r="B42" s="12" t="str">
        <f aca="false">IF(Territorier!$B$10="","",Territorier!$B$10)</f>
        <v/>
      </c>
      <c r="D42" s="33" t="str">
        <f aca="false">IF($B42="","",SUMIF($C$6:$C$30,$B42,D$6:D$30))</f>
        <v/>
      </c>
      <c r="E42" s="33" t="str">
        <f aca="false">IF($B42="","",SUMIF($C$6:$C$30,$B42,E$6:E$30))</f>
        <v/>
      </c>
      <c r="F42" s="33" t="str">
        <f aca="false">IF($B42="","",SUMIF($C$6:$C$30,$B42,F$6:F$30))</f>
        <v/>
      </c>
      <c r="G42" s="33" t="str">
        <f aca="false">IF($B42="","",SUMIF($C$6:$C$30,$B42,G$6:G$30))</f>
        <v/>
      </c>
      <c r="H42" s="33" t="str">
        <f aca="false">IF($B42="","",SUMIF($C$6:$C$30,$B42,H$6:H$30))</f>
        <v/>
      </c>
      <c r="I42" s="33" t="str">
        <f aca="false">IF($B42="","",SUMIF($C$6:$C$30,$B42,I$6:I$30))</f>
        <v/>
      </c>
      <c r="J42" s="33" t="str">
        <f aca="false">IF($B42="","",SUMIF($C$6:$C$30,$B42,J$6:J$30))</f>
        <v/>
      </c>
      <c r="K42" s="33" t="str">
        <f aca="false">IF($B42="","",SUMIF($C$6:$C$30,$B42,K$6:K$30))</f>
        <v/>
      </c>
      <c r="L42" s="33" t="str">
        <f aca="false">IF($B42="","",SUMIF($C$6:$C$30,$B42,L$6:L$30))</f>
        <v/>
      </c>
      <c r="M42" s="33" t="str">
        <f aca="false">IF($B42="","",SUMIF($C$6:$C$30,$B42,M$6:M$30))</f>
        <v/>
      </c>
      <c r="N42" s="33" t="str">
        <f aca="false">IF($B42="","",SUMIF($C$6:$C$30,$B42,N$6:N$30))</f>
        <v/>
      </c>
      <c r="O42" s="33" t="str">
        <f aca="false">IF($B42="","",SUMIF($C$6:$C$30,$B42,O$6:O$30))</f>
        <v/>
      </c>
      <c r="P42" s="38" t="str">
        <f aca="false">IF($B42="","",SUM(D42:O42))</f>
        <v/>
      </c>
    </row>
    <row r="43" customFormat="false" ht="15" hidden="false" customHeight="false" outlineLevel="0" collapsed="false">
      <c r="B43" s="12" t="str">
        <f aca="false">IF(Territorier!$B$11="","",Territorier!$B$11)</f>
        <v/>
      </c>
      <c r="D43" s="33" t="str">
        <f aca="false">IF($B43="","",SUMIF($C$6:$C$30,$B43,D$6:D$30))</f>
        <v/>
      </c>
      <c r="E43" s="33" t="str">
        <f aca="false">IF($B43="","",SUMIF($C$6:$C$30,$B43,E$6:E$30))</f>
        <v/>
      </c>
      <c r="F43" s="33" t="str">
        <f aca="false">IF($B43="","",SUMIF($C$6:$C$30,$B43,F$6:F$30))</f>
        <v/>
      </c>
      <c r="G43" s="33" t="str">
        <f aca="false">IF($B43="","",SUMIF($C$6:$C$30,$B43,G$6:G$30))</f>
        <v/>
      </c>
      <c r="H43" s="33" t="str">
        <f aca="false">IF($B43="","",SUMIF($C$6:$C$30,$B43,H$6:H$30))</f>
        <v/>
      </c>
      <c r="I43" s="33" t="str">
        <f aca="false">IF($B43="","",SUMIF($C$6:$C$30,$B43,I$6:I$30))</f>
        <v/>
      </c>
      <c r="J43" s="33" t="str">
        <f aca="false">IF($B43="","",SUMIF($C$6:$C$30,$B43,J$6:J$30))</f>
        <v/>
      </c>
      <c r="K43" s="33" t="str">
        <f aca="false">IF($B43="","",SUMIF($C$6:$C$30,$B43,K$6:K$30))</f>
        <v/>
      </c>
      <c r="L43" s="33" t="str">
        <f aca="false">IF($B43="","",SUMIF($C$6:$C$30,$B43,L$6:L$30))</f>
        <v/>
      </c>
      <c r="M43" s="33" t="str">
        <f aca="false">IF($B43="","",SUMIF($C$6:$C$30,$B43,M$6:M$30))</f>
        <v/>
      </c>
      <c r="N43" s="33" t="str">
        <f aca="false">IF($B43="","",SUMIF($C$6:$C$30,$B43,N$6:N$30))</f>
        <v/>
      </c>
      <c r="O43" s="33" t="str">
        <f aca="false">IF($B43="","",SUMIF($C$6:$C$30,$B43,O$6:O$30))</f>
        <v/>
      </c>
      <c r="P43" s="38" t="str">
        <f aca="false">IF($B43="","",SUM(D43:O43))</f>
        <v/>
      </c>
    </row>
    <row r="44" customFormat="false" ht="15" hidden="false" customHeight="false" outlineLevel="0" collapsed="false">
      <c r="B44" s="12" t="str">
        <f aca="false">IF(Territorier!$B$12="","",Territorier!$B$12)</f>
        <v/>
      </c>
      <c r="D44" s="33" t="str">
        <f aca="false">IF($B44="","",SUMIF($C$6:$C$30,$B44,D$6:D$30))</f>
        <v/>
      </c>
      <c r="E44" s="33" t="str">
        <f aca="false">IF($B44="","",SUMIF($C$6:$C$30,$B44,E$6:E$30))</f>
        <v/>
      </c>
      <c r="F44" s="33" t="str">
        <f aca="false">IF($B44="","",SUMIF($C$6:$C$30,$B44,F$6:F$30))</f>
        <v/>
      </c>
      <c r="G44" s="33" t="str">
        <f aca="false">IF($B44="","",SUMIF($C$6:$C$30,$B44,G$6:G$30))</f>
        <v/>
      </c>
      <c r="H44" s="33" t="str">
        <f aca="false">IF($B44="","",SUMIF($C$6:$C$30,$B44,H$6:H$30))</f>
        <v/>
      </c>
      <c r="I44" s="33" t="str">
        <f aca="false">IF($B44="","",SUMIF($C$6:$C$30,$B44,I$6:I$30))</f>
        <v/>
      </c>
      <c r="J44" s="33" t="str">
        <f aca="false">IF($B44="","",SUMIF($C$6:$C$30,$B44,J$6:J$30))</f>
        <v/>
      </c>
      <c r="K44" s="33" t="str">
        <f aca="false">IF($B44="","",SUMIF($C$6:$C$30,$B44,K$6:K$30))</f>
        <v/>
      </c>
      <c r="L44" s="33" t="str">
        <f aca="false">IF($B44="","",SUMIF($C$6:$C$30,$B44,L$6:L$30))</f>
        <v/>
      </c>
      <c r="M44" s="33" t="str">
        <f aca="false">IF($B44="","",SUMIF($C$6:$C$30,$B44,M$6:M$30))</f>
        <v/>
      </c>
      <c r="N44" s="33" t="str">
        <f aca="false">IF($B44="","",SUMIF($C$6:$C$30,$B44,N$6:N$30))</f>
        <v/>
      </c>
      <c r="O44" s="33" t="str">
        <f aca="false">IF($B44="","",SUMIF($C$6:$C$30,$B44,O$6:O$30))</f>
        <v/>
      </c>
      <c r="P44" s="38" t="str">
        <f aca="false">IF($B44="","",SUM(D44:O44))</f>
        <v/>
      </c>
    </row>
    <row r="45" customFormat="false" ht="15" hidden="false" customHeight="false" outlineLevel="0" collapsed="false">
      <c r="B45" s="12" t="str">
        <f aca="false">IF(Territorier!$B$13="","",Territorier!$B$13)</f>
        <v/>
      </c>
      <c r="D45" s="33" t="str">
        <f aca="false">IF($B45="","",SUMIF($C$6:$C$30,$B45,D$6:D$30))</f>
        <v/>
      </c>
      <c r="E45" s="33" t="str">
        <f aca="false">IF($B45="","",SUMIF($C$6:$C$30,$B45,E$6:E$30))</f>
        <v/>
      </c>
      <c r="F45" s="33" t="str">
        <f aca="false">IF($B45="","",SUMIF($C$6:$C$30,$B45,F$6:F$30))</f>
        <v/>
      </c>
      <c r="G45" s="33" t="str">
        <f aca="false">IF($B45="","",SUMIF($C$6:$C$30,$B45,G$6:G$30))</f>
        <v/>
      </c>
      <c r="H45" s="33" t="str">
        <f aca="false">IF($B45="","",SUMIF($C$6:$C$30,$B45,H$6:H$30))</f>
        <v/>
      </c>
      <c r="I45" s="33" t="str">
        <f aca="false">IF($B45="","",SUMIF($C$6:$C$30,$B45,I$6:I$30))</f>
        <v/>
      </c>
      <c r="J45" s="33" t="str">
        <f aca="false">IF($B45="","",SUMIF($C$6:$C$30,$B45,J$6:J$30))</f>
        <v/>
      </c>
      <c r="K45" s="33" t="str">
        <f aca="false">IF($B45="","",SUMIF($C$6:$C$30,$B45,K$6:K$30))</f>
        <v/>
      </c>
      <c r="L45" s="33" t="str">
        <f aca="false">IF($B45="","",SUMIF($C$6:$C$30,$B45,L$6:L$30))</f>
        <v/>
      </c>
      <c r="M45" s="33" t="str">
        <f aca="false">IF($B45="","",SUMIF($C$6:$C$30,$B45,M$6:M$30))</f>
        <v/>
      </c>
      <c r="N45" s="33" t="str">
        <f aca="false">IF($B45="","",SUMIF($C$6:$C$30,$B45,N$6:N$30))</f>
        <v/>
      </c>
      <c r="O45" s="33" t="str">
        <f aca="false">IF($B45="","",SUMIF($C$6:$C$30,$B45,O$6:O$30))</f>
        <v/>
      </c>
      <c r="P45" s="38" t="str">
        <f aca="false">IF($B45="","",SUM(D45:O45))</f>
        <v/>
      </c>
    </row>
    <row r="46" customFormat="false" ht="15" hidden="false" customHeight="false" outlineLevel="0" collapsed="false">
      <c r="B46" s="12" t="str">
        <f aca="false">IF(Territorier!$B$14="","",Territorier!$B$14)</f>
        <v/>
      </c>
      <c r="D46" s="33" t="str">
        <f aca="false">IF($B46="","",SUMIF($C$6:$C$30,$B46,D$6:D$30))</f>
        <v/>
      </c>
      <c r="E46" s="33" t="str">
        <f aca="false">IF($B46="","",SUMIF($C$6:$C$30,$B46,E$6:E$30))</f>
        <v/>
      </c>
      <c r="F46" s="33" t="str">
        <f aca="false">IF($B46="","",SUMIF($C$6:$C$30,$B46,F$6:F$30))</f>
        <v/>
      </c>
      <c r="G46" s="33" t="str">
        <f aca="false">IF($B46="","",SUMIF($C$6:$C$30,$B46,G$6:G$30))</f>
        <v/>
      </c>
      <c r="H46" s="33" t="str">
        <f aca="false">IF($B46="","",SUMIF($C$6:$C$30,$B46,H$6:H$30))</f>
        <v/>
      </c>
      <c r="I46" s="33" t="str">
        <f aca="false">IF($B46="","",SUMIF($C$6:$C$30,$B46,I$6:I$30))</f>
        <v/>
      </c>
      <c r="J46" s="33" t="str">
        <f aca="false">IF($B46="","",SUMIF($C$6:$C$30,$B46,J$6:J$30))</f>
        <v/>
      </c>
      <c r="K46" s="33" t="str">
        <f aca="false">IF($B46="","",SUMIF($C$6:$C$30,$B46,K$6:K$30))</f>
        <v/>
      </c>
      <c r="L46" s="33" t="str">
        <f aca="false">IF($B46="","",SUMIF($C$6:$C$30,$B46,L$6:L$30))</f>
        <v/>
      </c>
      <c r="M46" s="33" t="str">
        <f aca="false">IF($B46="","",SUMIF($C$6:$C$30,$B46,M$6:M$30))</f>
        <v/>
      </c>
      <c r="N46" s="33" t="str">
        <f aca="false">IF($B46="","",SUMIF($C$6:$C$30,$B46,N$6:N$30))</f>
        <v/>
      </c>
      <c r="O46" s="33" t="str">
        <f aca="false">IF($B46="","",SUMIF($C$6:$C$30,$B46,O$6:O$30))</f>
        <v/>
      </c>
      <c r="P46" s="38" t="str">
        <f aca="false">IF($B46="","",SUM(D46:O46))</f>
        <v/>
      </c>
    </row>
    <row r="47" customFormat="false" ht="15" hidden="false" customHeight="false" outlineLevel="0" collapsed="false">
      <c r="B47" s="12" t="str">
        <f aca="false">IF(Territorier!$B$15="","",Territorier!$B$15)</f>
        <v/>
      </c>
      <c r="D47" s="33" t="str">
        <f aca="false">IF($B47="","",SUMIF($C$6:$C$30,$B47,D$6:D$30))</f>
        <v/>
      </c>
      <c r="E47" s="33" t="str">
        <f aca="false">IF($B47="","",SUMIF($C$6:$C$30,$B47,E$6:E$30))</f>
        <v/>
      </c>
      <c r="F47" s="33" t="str">
        <f aca="false">IF($B47="","",SUMIF($C$6:$C$30,$B47,F$6:F$30))</f>
        <v/>
      </c>
      <c r="G47" s="33" t="str">
        <f aca="false">IF($B47="","",SUMIF($C$6:$C$30,$B47,G$6:G$30))</f>
        <v/>
      </c>
      <c r="H47" s="33" t="str">
        <f aca="false">IF($B47="","",SUMIF($C$6:$C$30,$B47,H$6:H$30))</f>
        <v/>
      </c>
      <c r="I47" s="33" t="str">
        <f aca="false">IF($B47="","",SUMIF($C$6:$C$30,$B47,I$6:I$30))</f>
        <v/>
      </c>
      <c r="J47" s="33" t="str">
        <f aca="false">IF($B47="","",SUMIF($C$6:$C$30,$B47,J$6:J$30))</f>
        <v/>
      </c>
      <c r="K47" s="33" t="str">
        <f aca="false">IF($B47="","",SUMIF($C$6:$C$30,$B47,K$6:K$30))</f>
        <v/>
      </c>
      <c r="L47" s="33" t="str">
        <f aca="false">IF($B47="","",SUMIF($C$6:$C$30,$B47,L$6:L$30))</f>
        <v/>
      </c>
      <c r="M47" s="33" t="str">
        <f aca="false">IF($B47="","",SUMIF($C$6:$C$30,$B47,M$6:M$30))</f>
        <v/>
      </c>
      <c r="N47" s="33" t="str">
        <f aca="false">IF($B47="","",SUMIF($C$6:$C$30,$B47,N$6:N$30))</f>
        <v/>
      </c>
      <c r="O47" s="33" t="str">
        <f aca="false">IF($B47="","",SUMIF($C$6:$C$30,$B47,O$6:O$30))</f>
        <v/>
      </c>
      <c r="P47" s="38" t="str">
        <f aca="false">IF($B47="","",SUM(D47:O47))</f>
        <v/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"/>
  </cols>
  <sheetData>
    <row r="1" customFormat="false" ht="39.75" hidden="false" customHeight="true" outlineLevel="0" collapsed="false">
      <c r="E1" s="1" t="s">
        <v>158</v>
      </c>
    </row>
    <row r="2" customFormat="false" ht="36" hidden="false" customHeight="true" outlineLevel="0" collapsed="false">
      <c r="B2" s="44" t="s">
        <v>1</v>
      </c>
    </row>
    <row r="3" customFormat="false" ht="24" hidden="false" customHeight="true" outlineLevel="0" collapsed="false">
      <c r="B3" s="45" t="str">
        <f aca="false">Indstillinger!$C$6&amp;"  ·  "&amp;Indstillinger!$C$7</f>
        <v>Eksempel ApS  ·  2026</v>
      </c>
      <c r="C3" s="46"/>
      <c r="D3" s="46"/>
      <c r="E3" s="46"/>
    </row>
    <row r="5" customFormat="false" ht="15" hidden="false" customHeight="false" outlineLevel="0" collapsed="false">
      <c r="B5" s="7" t="s">
        <v>159</v>
      </c>
    </row>
    <row r="6" customFormat="false" ht="15" hidden="false" customHeight="false" outlineLevel="0" collapsed="false">
      <c r="B6" s="47" t="s">
        <v>160</v>
      </c>
      <c r="C6" s="33" t="n">
        <f aca="false">Indstillinger!$C$8</f>
        <v>30000000</v>
      </c>
    </row>
    <row r="7" customFormat="false" ht="15" hidden="false" customHeight="false" outlineLevel="0" collapsed="false">
      <c r="B7" s="47" t="s">
        <v>50</v>
      </c>
      <c r="C7" s="25" t="n">
        <f aca="false">Indstillinger!$C$9</f>
        <v>0.1</v>
      </c>
    </row>
    <row r="8" customFormat="false" ht="15" hidden="false" customHeight="false" outlineLevel="0" collapsed="false">
      <c r="B8" s="34" t="s">
        <v>23</v>
      </c>
      <c r="C8" s="24" t="n">
        <f aca="false">Indstillinger!$C$13</f>
        <v>33000000</v>
      </c>
    </row>
    <row r="9" customFormat="false" ht="15" hidden="false" customHeight="false" outlineLevel="0" collapsed="false">
      <c r="B9" s="47" t="s">
        <v>161</v>
      </c>
      <c r="C9" s="33" t="n">
        <f aca="false">Kvoteplan!$P$31</f>
        <v>33000000</v>
      </c>
    </row>
    <row r="10" customFormat="false" ht="15" hidden="false" customHeight="false" outlineLevel="0" collapsed="false">
      <c r="B10" s="47" t="s">
        <v>162</v>
      </c>
      <c r="C10" s="48" t="n">
        <f aca="false">ROUND(C9-C8,0)</f>
        <v>0</v>
      </c>
    </row>
    <row r="11" customFormat="false" ht="15" hidden="false" customHeight="false" outlineLevel="0" collapsed="false">
      <c r="B11" s="47" t="s">
        <v>55</v>
      </c>
      <c r="C11" s="25" t="n">
        <f aca="false">Indstillinger!$C$14</f>
        <v>0.909090909090909</v>
      </c>
    </row>
    <row r="12" customFormat="false" ht="15" hidden="false" customHeight="false" outlineLevel="0" collapsed="false">
      <c r="B12" s="47" t="s">
        <v>163</v>
      </c>
      <c r="C12" s="25" t="n">
        <f aca="false">Indstillinger!$C$10</f>
        <v>0.92</v>
      </c>
    </row>
    <row r="13" customFormat="false" ht="15" hidden="false" customHeight="false" outlineLevel="0" collapsed="false">
      <c r="B13" s="47" t="s">
        <v>164</v>
      </c>
      <c r="C13" s="33" t="n">
        <f aca="false">C9*C12</f>
        <v>30360000</v>
      </c>
    </row>
    <row r="14" customFormat="false" ht="15" hidden="false" customHeight="false" outlineLevel="0" collapsed="false">
      <c r="B14" s="47" t="s">
        <v>165</v>
      </c>
      <c r="C14" s="48" t="n">
        <f aca="false">C13-C6</f>
        <v>360000.000000004</v>
      </c>
    </row>
    <row r="15" customFormat="false" ht="15" hidden="false" customHeight="false" outlineLevel="0" collapsed="false">
      <c r="B15" s="47" t="s">
        <v>166</v>
      </c>
      <c r="C15" s="41" t="n">
        <f aca="false">COUNTIF(Sælgere!$B$6:$B$30,"?*")</f>
        <v>10</v>
      </c>
    </row>
    <row r="16" customFormat="false" ht="15" hidden="false" customHeight="false" outlineLevel="0" collapsed="false">
      <c r="B16" s="47" t="s">
        <v>167</v>
      </c>
      <c r="C16" s="41" t="n">
        <f aca="false">COUNTIF(Beregning!$H$6:$H$30,"&gt;0")</f>
        <v>3</v>
      </c>
    </row>
    <row r="17" customFormat="false" ht="15" hidden="false" customHeight="false" outlineLevel="0" collapsed="false">
      <c r="B17" s="47" t="s">
        <v>168</v>
      </c>
      <c r="C17" s="41" t="n">
        <f aca="false">Beregning!$J$31</f>
        <v>1</v>
      </c>
    </row>
    <row r="18" customFormat="false" ht="15" hidden="false" customHeight="false" outlineLevel="0" collapsed="false">
      <c r="B18" s="47" t="s">
        <v>169</v>
      </c>
      <c r="C18" s="32" t="n">
        <f aca="false">Beregning!$Z$31</f>
        <v>7.51</v>
      </c>
    </row>
    <row r="19" customFormat="false" ht="15" hidden="false" customHeight="false" outlineLevel="0" collapsed="false">
      <c r="B19" s="34" t="s">
        <v>170</v>
      </c>
      <c r="C19" s="24" t="n">
        <f aca="false">Beregning!$C$3</f>
        <v>3821335.79150256</v>
      </c>
    </row>
    <row r="21" customFormat="false" ht="15" hidden="false" customHeight="false" outlineLevel="0" collapsed="false">
      <c r="B21" s="7" t="s">
        <v>171</v>
      </c>
    </row>
    <row r="22" customFormat="false" ht="15" hidden="false" customHeight="false" outlineLevel="0" collapsed="false">
      <c r="B22" s="47" t="s">
        <v>172</v>
      </c>
      <c r="C22" s="31" t="n">
        <f aca="false">Beregning!$I$31</f>
        <v>0</v>
      </c>
    </row>
    <row r="23" customFormat="false" ht="15" hidden="false" customHeight="false" outlineLevel="0" collapsed="false">
      <c r="B23" s="47" t="s">
        <v>173</v>
      </c>
      <c r="C23" s="31" t="n">
        <f aca="false">IF(Beregning!$X$31&gt;Indstillinger!$C$13,1,0)</f>
        <v>0</v>
      </c>
    </row>
    <row r="24" customFormat="false" ht="23.85" hidden="false" customHeight="false" outlineLevel="0" collapsed="false">
      <c r="B24" s="47" t="s">
        <v>174</v>
      </c>
      <c r="C24" s="31" t="n">
        <f aca="false">COUNTIFS(Beregning!$J$6:$J$30,0,Beregning!$W$6:$W$30,0,Sælgere!$B$6:$B$30,"?*")</f>
        <v>0</v>
      </c>
    </row>
    <row r="25" customFormat="false" ht="15" hidden="false" customHeight="false" outlineLevel="0" collapsed="false">
      <c r="B25" s="47" t="s">
        <v>175</v>
      </c>
      <c r="C25" s="31" t="n">
        <f aca="false">COUNTIFS(Beregning!$J$6:$J$30,1,Beregning!$W$6:$W$30,0)</f>
        <v>0</v>
      </c>
    </row>
    <row r="26" customFormat="false" ht="15" hidden="false" customHeight="false" outlineLevel="0" collapsed="false">
      <c r="B26" s="47" t="s">
        <v>176</v>
      </c>
      <c r="C26" s="31" t="n">
        <f aca="false">IF(AND(SUM(Beregning!$Y$6:$Y$30)=0,Beregning!$C$2&gt;0),1,0)</f>
        <v>0</v>
      </c>
    </row>
    <row r="27" customFormat="false" ht="15" hidden="false" customHeight="false" outlineLevel="0" collapsed="false">
      <c r="B27" s="47" t="s">
        <v>177</v>
      </c>
      <c r="C27" s="31" t="n">
        <f aca="false">IF(C12&lt;C11,1,0)</f>
        <v>0</v>
      </c>
    </row>
    <row r="28" customFormat="false" ht="15" hidden="false" customHeight="false" outlineLevel="0" collapsed="false">
      <c r="B28" s="20" t="s">
        <v>178</v>
      </c>
    </row>
    <row r="30" customFormat="false" ht="15" hidden="false" customHeight="false" outlineLevel="0" collapsed="false">
      <c r="B30" s="7" t="s">
        <v>179</v>
      </c>
    </row>
    <row r="31" customFormat="false" ht="24" hidden="false" customHeight="true" outlineLevel="0" collapsed="false">
      <c r="B31" s="26" t="s">
        <v>88</v>
      </c>
      <c r="C31" s="26" t="s">
        <v>93</v>
      </c>
      <c r="D31" s="26" t="s">
        <v>91</v>
      </c>
      <c r="E31" s="26" t="s">
        <v>94</v>
      </c>
    </row>
    <row r="32" customFormat="false" ht="15" hidden="false" customHeight="false" outlineLevel="0" collapsed="false">
      <c r="B32" s="12" t="str">
        <f aca="false">IF(Territorier!$B$6="","",Territorier!$B$6)</f>
        <v>Hovedstaden</v>
      </c>
      <c r="C32" s="33" t="n">
        <f aca="false">IF($B32="","",Territorier!$G$6)</f>
        <v>10730310.9025392</v>
      </c>
      <c r="D32" s="31" t="n">
        <f aca="false">IF($B32="","",Territorier!$E$6)</f>
        <v>3</v>
      </c>
      <c r="E32" s="25" t="n">
        <f aca="false">IF($B32="","",Territorier!$H$6)</f>
        <v>0.325160936440581</v>
      </c>
    </row>
    <row r="33" customFormat="false" ht="15" hidden="false" customHeight="false" outlineLevel="0" collapsed="false">
      <c r="B33" s="12" t="str">
        <f aca="false">IF(Territorier!$B$7="","",Territorier!$B$7)</f>
        <v>Jylland</v>
      </c>
      <c r="C33" s="33" t="n">
        <f aca="false">IF($B33="","",Territorier!$G$7)</f>
        <v>12304701.2486382</v>
      </c>
      <c r="D33" s="31" t="n">
        <f aca="false">IF($B33="","",Territorier!$E$7)</f>
        <v>4</v>
      </c>
      <c r="E33" s="25" t="n">
        <f aca="false">IF($B33="","",Territorier!$H$7)</f>
        <v>0.372869734807219</v>
      </c>
    </row>
    <row r="34" customFormat="false" ht="15" hidden="false" customHeight="false" outlineLevel="0" collapsed="false">
      <c r="B34" s="12" t="str">
        <f aca="false">IF(Territorier!$B$8="","",Territorier!$B$8)</f>
        <v>Fyn og Sjælland</v>
      </c>
      <c r="C34" s="33" t="n">
        <f aca="false">IF($B34="","",Territorier!$G$8)</f>
        <v>5464987.84882259</v>
      </c>
      <c r="D34" s="31" t="n">
        <f aca="false">IF($B34="","",Territorier!$E$8)</f>
        <v>2</v>
      </c>
      <c r="E34" s="25" t="n">
        <f aca="false">IF($B34="","",Territorier!$H$8)</f>
        <v>0.165605692388563</v>
      </c>
    </row>
    <row r="35" customFormat="false" ht="15" hidden="false" customHeight="false" outlineLevel="0" collapsed="false">
      <c r="B35" s="12" t="str">
        <f aca="false">IF(Territorier!$B$9="","",Territorier!$B$9)</f>
        <v>Key accounts</v>
      </c>
      <c r="C35" s="33" t="n">
        <f aca="false">IF($B35="","",Territorier!$G$9)</f>
        <v>4500000</v>
      </c>
      <c r="D35" s="31" t="n">
        <f aca="false">IF($B35="","",Territorier!$E$9)</f>
        <v>1</v>
      </c>
      <c r="E35" s="25" t="n">
        <f aca="false">IF($B35="","",Territorier!$H$9)</f>
        <v>0.136363636363636</v>
      </c>
    </row>
    <row r="36" customFormat="false" ht="15" hidden="false" customHeight="false" outlineLevel="0" collapsed="false">
      <c r="B36" s="12" t="str">
        <f aca="false">IF(Territorier!$B$10="","",Territorier!$B$10)</f>
        <v/>
      </c>
      <c r="C36" s="33" t="str">
        <f aca="false">IF($B36="","",Territorier!$G$10)</f>
        <v/>
      </c>
      <c r="D36" s="31" t="str">
        <f aca="false">IF($B36="","",Territorier!$E$10)</f>
        <v/>
      </c>
      <c r="E36" s="25" t="str">
        <f aca="false">IF($B36="","",Territorier!$H$10)</f>
        <v/>
      </c>
    </row>
    <row r="37" customFormat="false" ht="15" hidden="false" customHeight="false" outlineLevel="0" collapsed="false">
      <c r="B37" s="12" t="str">
        <f aca="false">IF(Territorier!$B$11="","",Territorier!$B$11)</f>
        <v/>
      </c>
      <c r="C37" s="33" t="str">
        <f aca="false">IF($B37="","",Territorier!$G$11)</f>
        <v/>
      </c>
      <c r="D37" s="31" t="str">
        <f aca="false">IF($B37="","",Territorier!$E$11)</f>
        <v/>
      </c>
      <c r="E37" s="25" t="str">
        <f aca="false">IF($B37="","",Territorier!$H$11)</f>
        <v/>
      </c>
    </row>
    <row r="38" customFormat="false" ht="15" hidden="false" customHeight="false" outlineLevel="0" collapsed="false">
      <c r="B38" s="12" t="str">
        <f aca="false">IF(Territorier!$B$12="","",Territorier!$B$12)</f>
        <v/>
      </c>
      <c r="C38" s="33" t="str">
        <f aca="false">IF($B38="","",Territorier!$G$12)</f>
        <v/>
      </c>
      <c r="D38" s="31" t="str">
        <f aca="false">IF($B38="","",Territorier!$E$12)</f>
        <v/>
      </c>
      <c r="E38" s="25" t="str">
        <f aca="false">IF($B38="","",Territorier!$H$12)</f>
        <v/>
      </c>
    </row>
    <row r="39" customFormat="false" ht="15" hidden="false" customHeight="false" outlineLevel="0" collapsed="false">
      <c r="B39" s="12" t="str">
        <f aca="false">IF(Territorier!$B$13="","",Territorier!$B$13)</f>
        <v/>
      </c>
      <c r="C39" s="33" t="str">
        <f aca="false">IF($B39="","",Territorier!$G$13)</f>
        <v/>
      </c>
      <c r="D39" s="31" t="str">
        <f aca="false">IF($B39="","",Territorier!$E$13)</f>
        <v/>
      </c>
      <c r="E39" s="25" t="str">
        <f aca="false">IF($B39="","",Territorier!$H$13)</f>
        <v/>
      </c>
    </row>
    <row r="40" customFormat="false" ht="15" hidden="false" customHeight="false" outlineLevel="0" collapsed="false">
      <c r="B40" s="12" t="str">
        <f aca="false">IF(Territorier!$B$14="","",Territorier!$B$14)</f>
        <v/>
      </c>
      <c r="C40" s="33" t="str">
        <f aca="false">IF($B40="","",Territorier!$G$14)</f>
        <v/>
      </c>
      <c r="D40" s="31" t="str">
        <f aca="false">IF($B40="","",Territorier!$E$14)</f>
        <v/>
      </c>
      <c r="E40" s="25" t="str">
        <f aca="false">IF($B40="","",Territorier!$H$14)</f>
        <v/>
      </c>
    </row>
    <row r="41" customFormat="false" ht="15" hidden="false" customHeight="false" outlineLevel="0" collapsed="false">
      <c r="B41" s="12" t="str">
        <f aca="false">IF(Territorier!$B$15="","",Territorier!$B$15)</f>
        <v/>
      </c>
      <c r="C41" s="33" t="str">
        <f aca="false">IF($B41="","",Territorier!$G$15)</f>
        <v/>
      </c>
      <c r="D41" s="31" t="str">
        <f aca="false">IF($B41="","",Territorier!$E$15)</f>
        <v/>
      </c>
      <c r="E41" s="25" t="str">
        <f aca="false">IF($B41="","",Territorier!$H$15)</f>
        <v/>
      </c>
    </row>
    <row r="42" customFormat="false" ht="15" hidden="false" customHeight="false" outlineLevel="0" collapsed="false">
      <c r="B42" s="34" t="s">
        <v>85</v>
      </c>
      <c r="C42" s="24" t="n">
        <f aca="false">SUM(C32:C41)</f>
        <v>33000000</v>
      </c>
      <c r="D42" s="28" t="n">
        <f aca="false">SUM(D32:D41)</f>
        <v>10</v>
      </c>
      <c r="E42" s="29" t="n">
        <f aca="false">SUM(E32:E41)</f>
        <v>1</v>
      </c>
    </row>
    <row r="44" customFormat="false" ht="15" hidden="false" customHeight="false" outlineLevel="0" collapsed="false">
      <c r="B44" s="16" t="s">
        <v>39</v>
      </c>
    </row>
  </sheetData>
  <conditionalFormatting sqref="C10">
    <cfRule type="cellIs" priority="2" operator="notEqual" aboveAverage="0" equalAverage="0" bottom="0" percent="0" rank="0" text="" dxfId="0">
      <formula>0</formula>
    </cfRule>
  </conditionalFormatting>
  <conditionalFormatting sqref="C14">
    <cfRule type="cellIs" priority="3" operator="lessThan" aboveAverage="0" equalAverage="0" bottom="0" percent="0" rank="0" text="" dxfId="0">
      <formula>0</formula>
    </cfRule>
  </conditionalFormatting>
  <conditionalFormatting sqref="C22">
    <cfRule type="cellIs" priority="4" operator="greaterThan" aboveAverage="0" equalAverage="0" bottom="0" percent="0" rank="0" text="" dxfId="1">
      <formula>0</formula>
    </cfRule>
  </conditionalFormatting>
  <conditionalFormatting sqref="C23">
    <cfRule type="cellIs" priority="5" operator="greaterThan" aboveAverage="0" equalAverage="0" bottom="0" percent="0" rank="0" text="" dxfId="1">
      <formula>0</formula>
    </cfRule>
  </conditionalFormatting>
  <conditionalFormatting sqref="C24">
    <cfRule type="cellIs" priority="6" operator="greaterThan" aboveAverage="0" equalAverage="0" bottom="0" percent="0" rank="0" text="" dxfId="1">
      <formula>0</formula>
    </cfRule>
  </conditionalFormatting>
  <conditionalFormatting sqref="C25">
    <cfRule type="cellIs" priority="7" operator="greaterThan" aboveAverage="0" equalAverage="0" bottom="0" percent="0" rank="0" text="" dxfId="1">
      <formula>0</formula>
    </cfRule>
  </conditionalFormatting>
  <conditionalFormatting sqref="C26">
    <cfRule type="cellIs" priority="8" operator="greaterThan" aboveAverage="0" equalAverage="0" bottom="0" percent="0" rank="0" text="" dxfId="1">
      <formula>0</formula>
    </cfRule>
  </conditionalFormatting>
  <conditionalFormatting sqref="C27">
    <cfRule type="cellIs" priority="9" operator="greaterThan" aboveAverage="0" equalAverage="0" bottom="0" percent="0" rank="0" text="" dxfId="1">
      <formula>0</formula>
    </cfRule>
  </conditionalFormatting>
  <hyperlinks>
    <hyperlink ref="B44" r:id="rId1" display="prowi.io · Gratis skabelon fra Prowi"/>
  </hyperlink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2026-10-28T16:29:50Z</dcterms:created>
  <dc:creator>Prowi</dc:creator>
  <dc:description/>
  <dc:language>da-DK</dc:language>
  <cp:lastModifiedBy/>
  <dcterms:modified xsi:type="dcterms:W3CDTF">2026-10-28T16:29:50Z</dcterms:modified>
  <cp:revision>0</cp:revision>
  <dc:subject/>
  <dc:title>Kvoteplan (skabelon)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