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Assumptions" sheetId="2" state="visible" r:id="rId4"/>
    <sheet name="Capacity" sheetId="3" state="visible" r:id="rId5"/>
    <sheet name="Quota allocation" sheetId="4" state="visible" r:id="rId6"/>
    <sheet name="OTE and commission" sheetId="5" state="visible" r:id="rId7"/>
    <sheet name="Summary" sheetId="6" state="visible" r:id="rId8"/>
  </sheets>
  <definedNames>
    <definedName function="false" hidden="false" localSheetId="1" name="_xlnm.Print_Area" vbProcedure="false">Assumptions!$A$1:$E$41</definedName>
    <definedName function="false" hidden="false" localSheetId="2" name="_xlnm.Print_Area" vbProcedure="false">Capacity!$A$1:$E$27</definedName>
    <definedName function="false" hidden="false" localSheetId="0" name="_xlnm.Print_Area" vbProcedure="false">Instructions!$A$1:$D$37</definedName>
    <definedName function="false" hidden="false" localSheetId="4" name="_xlnm.Print_Area" vbProcedure="false">'OTE and commission'!$A$1:$I$44</definedName>
    <definedName function="false" hidden="false" localSheetId="3" name="_xlnm.Print_Area" vbProcedure="false">'Quota allocation'!$A$1:$S$31</definedName>
    <definedName function="false" hidden="false" localSheetId="5" name="_xlnm.Print_Area" vbProcedure="false">Summary!$A$1:$F$48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<sst xmlns="http://schemas.openxmlformats.org/spreadsheetml/2006/main" count="271" uniqueCount="226">
  <si>
    <t xml:space="preserve">Free template from Prowi</t>
  </si>
  <si>
    <t xml:space="preserve">Sales budget</t>
  </si>
  <si>
    <t xml:space="preserve">From revenue goal to reps, quotas and commission cost</t>
  </si>
  <si>
    <t xml:space="preserve">The workbook works backwards from your revenue goal: how much pipeline and how many deals you need, how many reps you need, how quotas are split per rep and month, and what sales pay costs at 80, 100 and 120% attainment. It contains example data for 10 reps, so you can see how it works. Amounts are plain numbers in your currency; the example uses DKK.</t>
  </si>
  <si>
    <t xml:space="preserve">Step by step</t>
  </si>
  <si>
    <t xml:space="preserve">1. Assumptions</t>
  </si>
  <si>
    <t xml:space="preserve">Enter revenue goal, deal size, win rate, sales cycle, quota, ramp period, rep attrition, pay and seasonality. These are the only numbers the workbook uses, apart from the rep list.</t>
  </si>
  <si>
    <t xml:space="preserve">2. Capacity</t>
  </si>
  <si>
    <t xml:space="preserve">Shows the pipeline, deals and opportunities you need, and how many reps you need once ramp and attrition are included. You do not type anything here.</t>
  </si>
  <si>
    <t xml:space="preserve">3. Quota allocation</t>
  </si>
  <si>
    <t xml:space="preserve">Enter the reps (up to 20) with start month and whether they are new. The sheet spreads the annual quota over the months by seasonality and reduces it during ramp.</t>
  </si>
  <si>
    <t xml:space="preserve">4. OTE and commission</t>
  </si>
  <si>
    <t xml:space="preserve">Shows OTE, pay mix and commission rate (variable pay ÷ quota), and commission per rep at 80, 100 and 120% attainment. The attainment levels can be changed.</t>
  </si>
  <si>
    <t xml:space="preserve">5. Summary</t>
  </si>
  <si>
    <t xml:space="preserve">Brings the budget together: reps, quota, pipeline, sales pay cost and cost as a % of revenue (cost of sales) for the three scenarios and per month.</t>
  </si>
  <si>
    <t xml:space="preserve">Colours</t>
  </si>
  <si>
    <t xml:space="preserve">Lavender cell, purple text</t>
  </si>
  <si>
    <t xml:space="preserve">This is where you type. Everything else is formulas.</t>
  </si>
  <si>
    <t xml:space="preserve">Grey cell</t>
  </si>
  <si>
    <t xml:space="preserve">Calculated automatically. Leave the formulas alone unless you know what you are changing.</t>
  </si>
  <si>
    <t xml:space="preserve">Light blue cell</t>
  </si>
  <si>
    <t xml:space="preserve">Results and totals.</t>
  </si>
  <si>
    <t xml:space="preserve">How the workbook calculates</t>
  </si>
  <si>
    <t xml:space="preserve">Deals and pipeline</t>
  </si>
  <si>
    <t xml:space="preserve">Deals = revenue goal ÷ deal size. Opportunities = deals ÷ win rate. Pipeline needed = revenue goal ÷ win rate, and pipeline coverage = pipeline ÷ goal.</t>
  </si>
  <si>
    <t xml:space="preserve">Capacity per rep</t>
  </si>
  <si>
    <t xml:space="preserve">Annual quota × planned attainment. Fully productive reps (FTE) = revenue goal ÷ capacity per rep.</t>
  </si>
  <si>
    <t xml:space="preserve">Ramp and attrition</t>
  </si>
  <si>
    <t xml:space="preserve">A new rep loses ramp months × (1 − ramp productivity) ÷ 12 of a year's capacity. A rep who leaves costs the hiring time plus a new ramp. Reps needed = (FTE − reps at start × loss per new rep) ÷ (1 − attrition × loss per leaver − loss per new rep). New reps are assumed to start at the beginning of the year.</t>
  </si>
  <si>
    <t xml:space="preserve">Quota per month</t>
  </si>
  <si>
    <t xml:space="preserve">Annual quota × the month's share of the seasonality. Before the start month the quota is 0, and during ramp it is multiplied by ramp productivity. Attrition is not in the quota plan, because you do not know who will leave.</t>
  </si>
  <si>
    <t xml:space="preserve">Commission rate</t>
  </si>
  <si>
    <t xml:space="preserve">Variable pay at 100% ÷ the rep's annual quota. Above 100% the rate is multiplied by the accelerator factor. Set the factor to 1 if you do not use an accelerator.</t>
  </si>
  <si>
    <t xml:space="preserve">Cost of sales</t>
  </si>
  <si>
    <t xml:space="preserve">Base salary + commission + other pay costs ÷ revenue in the scenario. Revenue = total quota × attainment.</t>
  </si>
  <si>
    <t xml:space="preserve">Pipeline per month</t>
  </si>
  <si>
    <t xml:space="preserve">Pipeline to create in a month = the quota one sales cycle later ÷ win rate. For the last months, this year's seasonality is used as an estimate for next year.</t>
  </si>
  <si>
    <t xml:space="preserve">Good to know</t>
  </si>
  <si>
    <t xml:space="preserve">•</t>
  </si>
  <si>
    <t xml:space="preserve">All numbers in the workbook are examples. Use your own numbers from your CRM and accounts, for example win rate and deal size for the last 12 months.</t>
  </si>
  <si>
    <t xml:space="preserve">The budget is a model, not a guarantee. Use it to test what happens if the win rate drops or a hire is delayed.</t>
  </si>
  <si>
    <t xml:space="preserve">Pay excludes holiday pay, pension and other costs unless you include them in 'Other pay costs'.</t>
  </si>
  <si>
    <t xml:space="preserve">No macros. Every calculation is an ordinary formula that works in Excel, Google Sheets, Numbers and LibreOffice.</t>
  </si>
  <si>
    <t xml:space="preserve">prowi.io · Free template from Prowi</t>
  </si>
  <si>
    <t xml:space="preserve">Assumptions</t>
  </si>
  <si>
    <t xml:space="preserve">Only type in the lavender cells. Every other sheet calculates from the numbers here and the rep list in Quota allocation.</t>
  </si>
  <si>
    <t xml:space="preserve">Goal and sales process</t>
  </si>
  <si>
    <t xml:space="preserve">Year</t>
  </si>
  <si>
    <t xml:space="preserve">The budget year.</t>
  </si>
  <si>
    <t xml:space="preserve">Revenue goal, new business</t>
  </si>
  <si>
    <t xml:space="preserve">The revenue the reps must close in the year.</t>
  </si>
  <si>
    <t xml:space="preserve">Average deal size</t>
  </si>
  <si>
    <t xml:space="preserve">Average value of a won deal. Use your own numbers from the CRM.</t>
  </si>
  <si>
    <t xml:space="preserve">Win rate</t>
  </si>
  <si>
    <t xml:space="preserve">Share of qualified opportunities that are won.</t>
  </si>
  <si>
    <t xml:space="preserve">Sales cycle (months)</t>
  </si>
  <si>
    <t xml:space="preserve">Time from qualified opportunity to signature.</t>
  </si>
  <si>
    <t xml:space="preserve">Reps</t>
  </si>
  <si>
    <t xml:space="preserve">Reps at the start of the year</t>
  </si>
  <si>
    <t xml:space="preserve">Fully ramped reps employed on 1 January.</t>
  </si>
  <si>
    <t xml:space="preserve">Annual quota per fully productive rep</t>
  </si>
  <si>
    <t xml:space="preserve">Default quota. Can be changed per rep in Quota allocation.</t>
  </si>
  <si>
    <t xml:space="preserve">Planned average attainment</t>
  </si>
  <si>
    <t xml:space="preserve">The attainment you budget with. Rarely 100% for the whole team.</t>
  </si>
  <si>
    <t xml:space="preserve">Ramp period (months)</t>
  </si>
  <si>
    <t xml:space="preserve">Months before a new rep is fully productive.</t>
  </si>
  <si>
    <t xml:space="preserve">Productivity during ramp</t>
  </si>
  <si>
    <t xml:space="preserve">Average share of full quota during ramp.</t>
  </si>
  <si>
    <t xml:space="preserve">Annual rep attrition</t>
  </si>
  <si>
    <t xml:space="preserve">Share of reps expected to leave during the year.</t>
  </si>
  <si>
    <t xml:space="preserve">Hiring time after a leaver (months)</t>
  </si>
  <si>
    <t xml:space="preserve">Months a position is empty before a new rep starts.</t>
  </si>
  <si>
    <t xml:space="preserve">Pay and commission (standard plan)</t>
  </si>
  <si>
    <t xml:space="preserve">Base salary per month</t>
  </si>
  <si>
    <t xml:space="preserve">Fixed pay per rep.</t>
  </si>
  <si>
    <t xml:space="preserve">Variable pay at 100%, per year</t>
  </si>
  <si>
    <t xml:space="preserve">Commission at exactly 100% of annual quota.</t>
  </si>
  <si>
    <t xml:space="preserve">Accelerator above 100% (factor)</t>
  </si>
  <si>
    <t xml:space="preserve">Rate above quota = commission rate × factor. Enter 1 if you do not use an accelerator.</t>
  </si>
  <si>
    <t xml:space="preserve">Other pay costs (% of pay)</t>
  </si>
  <si>
    <t xml:space="preserve">Example. For instance pension, ATP, insurance and holiday pay. Use your own numbers.</t>
  </si>
  <si>
    <t xml:space="preserve">Seasonality</t>
  </si>
  <si>
    <t xml:space="preserve">Weight per month. The weights do not need to add up to 100; the sheet works out the shares.</t>
  </si>
  <si>
    <t xml:space="preserve">Month</t>
  </si>
  <si>
    <t xml:space="preserve">Weight</t>
  </si>
  <si>
    <t xml:space="preserve">Share</t>
  </si>
  <si>
    <t xml:space="preserve">January</t>
  </si>
  <si>
    <t xml:space="preserve">February</t>
  </si>
  <si>
    <t xml:space="preserve">March</t>
  </si>
  <si>
    <t xml:space="preserve">April</t>
  </si>
  <si>
    <t xml:space="preserve">May</t>
  </si>
  <si>
    <t xml:space="preserve">Example: lower in July (summer holiday) and higher in the last months of the year.</t>
  </si>
  <si>
    <t xml:space="preserve">June</t>
  </si>
  <si>
    <t xml:space="preserve">July</t>
  </si>
  <si>
    <t xml:space="preserve">August</t>
  </si>
  <si>
    <t xml:space="preserve">September</t>
  </si>
  <si>
    <t xml:space="preserve">October</t>
  </si>
  <si>
    <t xml:space="preserve">November</t>
  </si>
  <si>
    <t xml:space="preserve">December</t>
  </si>
  <si>
    <t xml:space="preserve">Total</t>
  </si>
  <si>
    <t xml:space="preserve">Capacity: pipeline and number of reps</t>
  </si>
  <si>
    <t xml:space="preserve">Everything on this sheet is formulas. Change the assumptions in Assumptions.</t>
  </si>
  <si>
    <t xml:space="preserve">Pipeline and activity</t>
  </si>
  <si>
    <t xml:space="preserve">Revenue goal</t>
  </si>
  <si>
    <t xml:space="preserve">From Assumptions.</t>
  </si>
  <si>
    <t xml:space="preserve">Deals to win</t>
  </si>
  <si>
    <t xml:space="preserve">Revenue goal ÷ average deal size.</t>
  </si>
  <si>
    <t xml:space="preserve">Qualified opportunities in the year</t>
  </si>
  <si>
    <t xml:space="preserve">Deals ÷ win rate.</t>
  </si>
  <si>
    <t xml:space="preserve">Pipeline needed</t>
  </si>
  <si>
    <t xml:space="preserve">Revenue goal ÷ win rate.</t>
  </si>
  <si>
    <t xml:space="preserve">Pipeline coverage</t>
  </si>
  <si>
    <t xml:space="preserve">Pipeline ÷ revenue goal. Equals 1 ÷ win rate.</t>
  </si>
  <si>
    <t xml:space="preserve">Opportunities per month (average)</t>
  </si>
  <si>
    <t xml:space="preserve">See the split per month in Summary.</t>
  </si>
  <si>
    <t xml:space="preserve">Pipeline is created about this many months before close</t>
  </si>
  <si>
    <t xml:space="preserve">The sales cycle from Assumptions.</t>
  </si>
  <si>
    <t xml:space="preserve">Rep capacity</t>
  </si>
  <si>
    <t xml:space="preserve">Capacity per fully productive rep</t>
  </si>
  <si>
    <t xml:space="preserve">Annual quota × planned attainment.</t>
  </si>
  <si>
    <t xml:space="preserve">Fully productive reps (FTE) needed</t>
  </si>
  <si>
    <t xml:space="preserve">Revenue goal ÷ capacity per rep.</t>
  </si>
  <si>
    <t xml:space="preserve">Loss per new rep (share of a year's capacity)</t>
  </si>
  <si>
    <t xml:space="preserve">Ramp months × (1 − ramp productivity) ÷ 12.</t>
  </si>
  <si>
    <t xml:space="preserve">Loss per rep who leaves (share of a year)</t>
  </si>
  <si>
    <t xml:space="preserve">(Hiring time + ramp loss in months) ÷ 12.</t>
  </si>
  <si>
    <t xml:space="preserve">Reps needed (calculated)</t>
  </si>
  <si>
    <t xml:space="preserve">Including losses from ramp and attrition. New reps are assumed to start at the beginning of the year.</t>
  </si>
  <si>
    <t xml:space="preserve">Reps needed (rounded up)</t>
  </si>
  <si>
    <t xml:space="preserve">The number of positions the budget needs on average over the year.</t>
  </si>
  <si>
    <t xml:space="preserve">New reps for growth</t>
  </si>
  <si>
    <t xml:space="preserve">Should start early in the year.</t>
  </si>
  <si>
    <t xml:space="preserve">Expected leavers in the year</t>
  </si>
  <si>
    <t xml:space="preserve">Number of reps × annual attrition. Each leaver needs a replacement hire.</t>
  </si>
  <si>
    <t xml:space="preserve">Total hires in the year</t>
  </si>
  <si>
    <t xml:space="preserve">New reps + replacement hires.</t>
  </si>
  <si>
    <t xml:space="preserve">Comparison with the quota plan</t>
  </si>
  <si>
    <t xml:space="preserve">Reps in Quota allocation</t>
  </si>
  <si>
    <t xml:space="preserve">Number of names on the rep list.</t>
  </si>
  <si>
    <t xml:space="preserve">Difference: reps in plan − reps needed</t>
  </si>
  <si>
    <t xml:space="preserve">Negative number: the plan has too few reps.</t>
  </si>
  <si>
    <t xml:space="preserve">Quota allocation per rep and month</t>
  </si>
  <si>
    <t xml:space="preserve">Enter the reps in the lavender columns B-E. Quota is spread by seasonality and reduced during ramp for new reps.</t>
  </si>
  <si>
    <t xml:space="preserve">Individual annual quota is optional. Empty = the default quota from Assumptions. Start month 1 = January.</t>
  </si>
  <si>
    <t xml:space="preserve">Rep</t>
  </si>
  <si>
    <t xml:space="preserve">Start month (1-12)</t>
  </si>
  <si>
    <t xml:space="preserve">New rep with ramp?</t>
  </si>
  <si>
    <t xml:space="preserve">Individual annual quota (optional)</t>
  </si>
  <si>
    <t xml:space="preserve">Annual quota, applied</t>
  </si>
  <si>
    <t xml:space="preserve">Jan</t>
  </si>
  <si>
    <t xml:space="preserve">Feb</t>
  </si>
  <si>
    <t xml:space="preserve">Mar</t>
  </si>
  <si>
    <t xml:space="preserve">Apr</t>
  </si>
  <si>
    <t xml:space="preserve">Jun</t>
  </si>
  <si>
    <t xml:space="preserve">Jul</t>
  </si>
  <si>
    <t xml:space="preserve">Aug</t>
  </si>
  <si>
    <t xml:space="preserve">Sep</t>
  </si>
  <si>
    <t xml:space="preserve">Oct</t>
  </si>
  <si>
    <t xml:space="preserve">Nov</t>
  </si>
  <si>
    <t xml:space="preserve">Dec</t>
  </si>
  <si>
    <t xml:space="preserve">Quota for the year</t>
  </si>
  <si>
    <t xml:space="preserve">Anna Holm</t>
  </si>
  <si>
    <t xml:space="preserve">No</t>
  </si>
  <si>
    <t xml:space="preserve">Bo Jensen</t>
  </si>
  <si>
    <t xml:space="preserve">Camilla Nørgaard</t>
  </si>
  <si>
    <t xml:space="preserve">Dennis Lund</t>
  </si>
  <si>
    <t xml:space="preserve">Emma Krogh</t>
  </si>
  <si>
    <t xml:space="preserve">Frederik Sand</t>
  </si>
  <si>
    <t xml:space="preserve">Gitte Mølgaard</t>
  </si>
  <si>
    <t xml:space="preserve">New rep 1</t>
  </si>
  <si>
    <t xml:space="preserve">Yes</t>
  </si>
  <si>
    <t xml:space="preserve">New rep 2</t>
  </si>
  <si>
    <t xml:space="preserve">New rep 3</t>
  </si>
  <si>
    <t xml:space="preserve">Total quota</t>
  </si>
  <si>
    <t xml:space="preserve">Revenue goal spread by seasonality</t>
  </si>
  <si>
    <t xml:space="preserve">Quota as % of revenue goal</t>
  </si>
  <si>
    <t xml:space="preserve">Quota above 100% of the revenue goal is a buffer against attrition, delayed hires and reps who miss target.</t>
  </si>
  <si>
    <t xml:space="preserve">OTE and commission</t>
  </si>
  <si>
    <t xml:space="preserve">The standard plan from Assumptions. The attainment levels in row 15 can be changed.</t>
  </si>
  <si>
    <t xml:space="preserve">Standard plan per fully productive rep</t>
  </si>
  <si>
    <t xml:space="preserve">Base salary per year</t>
  </si>
  <si>
    <t xml:space="preserve">Variable pay at 100%</t>
  </si>
  <si>
    <t xml:space="preserve">OTE, on-target earnings</t>
  </si>
  <si>
    <t xml:space="preserve">OTE = base salary + variable pay at 100%.</t>
  </si>
  <si>
    <t xml:space="preserve">Pay mix, fixed share</t>
  </si>
  <si>
    <t xml:space="preserve">Pay mix, variable share</t>
  </si>
  <si>
    <t xml:space="preserve">Commission rate (variable ÷ quota)</t>
  </si>
  <si>
    <t xml:space="preserve">Rate = variable pay at 100% ÷ annual quota.</t>
  </si>
  <si>
    <t xml:space="preserve">Rate above 100% (with accelerator)</t>
  </si>
  <si>
    <t xml:space="preserve">Commission for a fully productive rep</t>
  </si>
  <si>
    <t xml:space="preserve">Scenario 1</t>
  </si>
  <si>
    <t xml:space="preserve">Scenario 2</t>
  </si>
  <si>
    <t xml:space="preserve">Scenario 3</t>
  </si>
  <si>
    <t xml:space="preserve">Attainment</t>
  </si>
  <si>
    <t xml:space="preserve">Sales</t>
  </si>
  <si>
    <t xml:space="preserve">Commission</t>
  </si>
  <si>
    <t xml:space="preserve">Total pay</t>
  </si>
  <si>
    <t xml:space="preserve">Commission as % of sales</t>
  </si>
  <si>
    <t xml:space="preserve">Commission per rep in the budget year</t>
  </si>
  <si>
    <t xml:space="preserve">Quota from Quota allocation. Reps in ramp have a lower quota and therefore earn less commission at the same attainment.</t>
  </si>
  <si>
    <t xml:space="preserve">Months employed</t>
  </si>
  <si>
    <t xml:space="preserve">Base salary for the year</t>
  </si>
  <si>
    <t xml:space="preserve">Commission at scenario 1</t>
  </si>
  <si>
    <t xml:space="preserve">Commission at scenario 2</t>
  </si>
  <si>
    <t xml:space="preserve">Commission at scenario 3</t>
  </si>
  <si>
    <t xml:space="preserve">prowi.io</t>
  </si>
  <si>
    <t xml:space="preserve">Key figures</t>
  </si>
  <si>
    <t xml:space="preserve">Qualified opportunities</t>
  </si>
  <si>
    <t xml:space="preserve">Reps needed</t>
  </si>
  <si>
    <t xml:space="preserve">Reps in the quota plan</t>
  </si>
  <si>
    <t xml:space="preserve">Hires in the year (growth + attrition)</t>
  </si>
  <si>
    <t xml:space="preserve">Expected revenue at planned attainment</t>
  </si>
  <si>
    <t xml:space="preserve">Difference to revenue goal</t>
  </si>
  <si>
    <t xml:space="preserve">Sales pay cost and cost of sales</t>
  </si>
  <si>
    <t xml:space="preserve">Revenue</t>
  </si>
  <si>
    <t xml:space="preserve">Total base salary</t>
  </si>
  <si>
    <t xml:space="preserve">Total commission</t>
  </si>
  <si>
    <t xml:space="preserve">Other pay costs</t>
  </si>
  <si>
    <t xml:space="preserve">Total sales pay cost</t>
  </si>
  <si>
    <t xml:space="preserve">Cost of sales (sales pay as % of revenue)</t>
  </si>
  <si>
    <t xml:space="preserve">Commission as % of revenue</t>
  </si>
  <si>
    <t xml:space="preserve">Revenue = total quota × attainment. Base salary is the same in every scenario.</t>
  </si>
  <si>
    <t xml:space="preserve">Per month</t>
  </si>
  <si>
    <t xml:space="preserve">New pipeline to create</t>
  </si>
  <si>
    <t xml:space="preserve">New opportunities</t>
  </si>
  <si>
    <t xml:space="preserve">New pipeline in a month = the quota one sales cycle later ÷ win rate. The last months use this year's quotas as an estimate for next year.</t>
  </si>
</sst>
</file>

<file path=xl/styles.xml><?xml version="1.0" encoding="utf-8"?>
<styleSheet xmlns="http://schemas.openxmlformats.org/spreadsheetml/2006/main">
  <numFmts count="12">
    <numFmt numFmtId="164" formatCode="General"/>
    <numFmt numFmtId="165" formatCode="0"/>
    <numFmt numFmtId="166" formatCode="#,##0;\-#,##0;\–"/>
    <numFmt numFmtId="167" formatCode="0.0%"/>
    <numFmt numFmtId="168" formatCode="0.0"/>
    <numFmt numFmtId="169" formatCode="0.0%;\-0.0%;\–"/>
    <numFmt numFmtId="170" formatCode="#,##0.0"/>
    <numFmt numFmtId="171" formatCode="0.0\x"/>
    <numFmt numFmtId="172" formatCode="0.00"/>
    <numFmt numFmtId="173" formatCode="\+0;\-0;0"/>
    <numFmt numFmtId="174" formatCode="0.00%;\-0.00%;\–"/>
    <numFmt numFmtId="175" formatCode="\+#,##0;\-#,##0;\0"/>
  </numFmts>
  <fonts count="15">
    <font>
      <sz val="11"/>
      <color theme="1"/>
      <name val="Calibri"/>
      <family val="2"/>
      <charset val="1"/>
    </font>
    <font>
      <sz val="10"/>
      <name val="Arial"/>
      <family val="0"/>
    </font>
    <font>
      <sz val="10"/>
      <name val="Arial"/>
      <family val="0"/>
    </font>
    <font>
      <sz val="10"/>
      <name val="Arial"/>
      <family val="0"/>
    </font>
    <font>
      <sz val="9"/>
      <color rgb="FFA1A0BD"/>
      <name val="Arial"/>
      <family val="0"/>
      <charset val="1"/>
    </font>
    <font>
      <sz val="24"/>
      <color rgb="FF110663"/>
      <name val="Arial"/>
      <family val="0"/>
      <charset val="1"/>
    </font>
    <font>
      <sz val="12"/>
      <color rgb="FF4C39CA"/>
      <name val="Arial"/>
      <family val="0"/>
      <charset val="1"/>
    </font>
    <font>
      <sz val="10"/>
      <color rgb="FF110663"/>
      <name val="Arial"/>
      <family val="0"/>
      <charset val="1"/>
    </font>
    <font>
      <b val="true"/>
      <sz val="12"/>
      <color rgb="FF110663"/>
      <name val="Arial"/>
      <family val="0"/>
      <charset val="1"/>
    </font>
    <font>
      <b val="true"/>
      <sz val="10"/>
      <color rgb="FF110663"/>
      <name val="Arial"/>
      <family val="0"/>
      <charset val="1"/>
    </font>
    <font>
      <sz val="10"/>
      <color rgb="FF4C39CA"/>
      <name val="Arial"/>
      <family val="0"/>
      <charset val="1"/>
    </font>
    <font>
      <sz val="20"/>
      <color rgb="FF110663"/>
      <name val="Arial"/>
      <family val="0"/>
      <charset val="1"/>
    </font>
    <font>
      <i val="true"/>
      <sz val="9"/>
      <color rgb="FF6B6893"/>
      <name val="Arial"/>
      <family val="0"/>
      <charset val="1"/>
    </font>
    <font>
      <b val="true"/>
      <sz val="10"/>
      <color rgb="FFFFFFFF"/>
      <name val="Arial"/>
      <family val="0"/>
      <charset val="1"/>
    </font>
    <font>
      <b val="true"/>
      <sz val="13"/>
      <color rgb="FF4C39CA"/>
      <name val="Arial"/>
      <family val="0"/>
      <charset val="1"/>
    </font>
  </fonts>
  <fills count="7">
    <fill>
      <patternFill patternType="none"/>
    </fill>
    <fill>
      <patternFill patternType="gray125"/>
    </fill>
    <fill>
      <patternFill patternType="solid">
        <fgColor rgb="FFF4F1FE"/>
        <bgColor rgb="FFF6F4F3"/>
      </patternFill>
    </fill>
    <fill>
      <patternFill patternType="solid">
        <fgColor rgb="FFF6F4F3"/>
        <bgColor rgb="FFF4F1FE"/>
      </patternFill>
    </fill>
    <fill>
      <patternFill patternType="solid">
        <fgColor rgb="FFE8F8FD"/>
        <bgColor rgb="FFF4F1FE"/>
      </patternFill>
    </fill>
    <fill>
      <patternFill patternType="solid">
        <fgColor rgb="FF110663"/>
        <bgColor rgb="FF000080"/>
      </patternFill>
    </fill>
    <fill>
      <patternFill patternType="solid">
        <fgColor rgb="FF4C39CA"/>
        <bgColor rgb="FF3366FF"/>
      </patternFill>
    </fill>
  </fills>
  <borders count="6">
    <border diagonalUp="false" diagonalDown="false">
      <left/>
      <right/>
      <top/>
      <bottom/>
      <diagonal/>
    </border>
    <border diagonalUp="false" diagonalDown="false">
      <left/>
      <right/>
      <top/>
      <bottom style="medium">
        <color rgb="FF46D3F7"/>
      </bottom>
      <diagonal/>
    </border>
    <border diagonalUp="false" diagonalDown="false">
      <left style="thin">
        <color rgb="FF4C39CA"/>
      </left>
      <right style="thin">
        <color rgb="FF4C39CA"/>
      </right>
      <top style="thin">
        <color rgb="FF4C39CA"/>
      </top>
      <bottom style="thin">
        <color rgb="FF4C39CA"/>
      </bottom>
      <diagonal/>
    </border>
    <border diagonalUp="false" diagonalDown="false">
      <left style="thin">
        <color rgb="FFDCD8EC"/>
      </left>
      <right style="thin">
        <color rgb="FFDCD8EC"/>
      </right>
      <top style="thin">
        <color rgb="FFDCD8EC"/>
      </top>
      <bottom style="thin">
        <color rgb="FFDCD8EC"/>
      </bottom>
      <diagonal/>
    </border>
    <border diagonalUp="false" diagonalDown="false">
      <left/>
      <right/>
      <top/>
      <bottom style="thin">
        <color rgb="FFDCD8EC"/>
      </bottom>
      <diagonal/>
    </border>
    <border diagonalUp="false" diagonalDown="false">
      <left style="thin">
        <color rgb="FFDCD8EC"/>
      </left>
      <right style="thin">
        <color rgb="FFDCD8EC"/>
      </right>
      <top style="thin">
        <color rgb="FF110663"/>
      </top>
      <bottom style="thin">
        <color rgb="FF11066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right" vertical="center" textRotation="0" wrapText="false" indent="0" shrinkToFit="false"/>
      <protection locked="true" hidden="false"/>
    </xf>
    <xf numFmtId="164" fontId="5" fillId="2" borderId="0" xfId="0" applyFont="true" applyBorder="false" applyAlignment="true" applyProtection="false">
      <alignment horizontal="general" vertical="bottom"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top" textRotation="0" wrapText="false" indent="1"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0" fillId="2"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1" shrinkToFit="false"/>
      <protection locked="true" hidden="false"/>
    </xf>
    <xf numFmtId="164" fontId="7" fillId="3" borderId="3" xfId="0" applyFont="true" applyBorder="true" applyAlignment="false" applyProtection="false">
      <alignment horizontal="general" vertical="bottom" textRotation="0" wrapText="false" indent="0" shrinkToFit="false"/>
      <protection locked="true" hidden="false"/>
    </xf>
    <xf numFmtId="164" fontId="9" fillId="4" borderId="3"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right" vertical="top"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5" fontId="10" fillId="2" borderId="2"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6" fontId="10" fillId="2" borderId="2" xfId="0" applyFont="true" applyBorder="true" applyAlignment="false" applyProtection="false">
      <alignment horizontal="general" vertical="bottom" textRotation="0" wrapText="false" indent="0" shrinkToFit="false"/>
      <protection locked="true" hidden="false"/>
    </xf>
    <xf numFmtId="167" fontId="10" fillId="2" borderId="2" xfId="0" applyFont="true" applyBorder="true" applyAlignment="false" applyProtection="false">
      <alignment horizontal="general" vertical="bottom" textRotation="0" wrapText="false" indent="0" shrinkToFit="false"/>
      <protection locked="true" hidden="false"/>
    </xf>
    <xf numFmtId="168" fontId="10" fillId="2" borderId="2" xfId="0" applyFont="true" applyBorder="true" applyAlignment="false" applyProtection="false">
      <alignment horizontal="general" vertical="bottom" textRotation="0" wrapText="false" indent="0" shrinkToFit="false"/>
      <protection locked="true" hidden="false"/>
    </xf>
    <xf numFmtId="164" fontId="13" fillId="5" borderId="3" xfId="0" applyFont="true" applyBorder="true" applyAlignment="true" applyProtection="false">
      <alignment horizontal="center" vertical="center" textRotation="0" wrapText="true" indent="0" shrinkToFit="false"/>
      <protection locked="true" hidden="false"/>
    </xf>
    <xf numFmtId="164" fontId="7" fillId="0" borderId="3" xfId="0" applyFont="true" applyBorder="true" applyAlignment="false" applyProtection="false">
      <alignment horizontal="general" vertical="bottom" textRotation="0" wrapText="false" indent="0" shrinkToFit="false"/>
      <protection locked="true" hidden="false"/>
    </xf>
    <xf numFmtId="169" fontId="7" fillId="3" borderId="3" xfId="0" applyFont="true" applyBorder="true" applyAlignment="false" applyProtection="false">
      <alignment horizontal="general" vertical="bottom" textRotation="0" wrapText="false" indent="0" shrinkToFit="false"/>
      <protection locked="true" hidden="false"/>
    </xf>
    <xf numFmtId="165" fontId="9" fillId="4" borderId="3" xfId="0" applyFont="true" applyBorder="true" applyAlignment="false" applyProtection="false">
      <alignment horizontal="general" vertical="bottom" textRotation="0" wrapText="false" indent="0" shrinkToFit="false"/>
      <protection locked="true" hidden="false"/>
    </xf>
    <xf numFmtId="169" fontId="9" fillId="4" borderId="3"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6" fontId="7" fillId="3" borderId="3" xfId="0" applyFont="true" applyBorder="true" applyAlignment="false" applyProtection="false">
      <alignment horizontal="general" vertical="bottom" textRotation="0" wrapText="false" indent="0" shrinkToFit="false"/>
      <protection locked="true" hidden="false"/>
    </xf>
    <xf numFmtId="170" fontId="7" fillId="3" borderId="3" xfId="0" applyFont="true" applyBorder="true" applyAlignment="false" applyProtection="false">
      <alignment horizontal="general" vertical="bottom" textRotation="0" wrapText="false" indent="0" shrinkToFit="false"/>
      <protection locked="true" hidden="false"/>
    </xf>
    <xf numFmtId="166" fontId="9" fillId="4" borderId="3" xfId="0" applyFont="true" applyBorder="true" applyAlignment="false" applyProtection="false">
      <alignment horizontal="general" vertical="bottom" textRotation="0" wrapText="false" indent="0" shrinkToFit="false"/>
      <protection locked="true" hidden="false"/>
    </xf>
    <xf numFmtId="171" fontId="7" fillId="3" borderId="3" xfId="0" applyFont="true" applyBorder="true" applyAlignment="false" applyProtection="false">
      <alignment horizontal="general" vertical="bottom" textRotation="0" wrapText="false" indent="0" shrinkToFit="false"/>
      <protection locked="true" hidden="false"/>
    </xf>
    <xf numFmtId="165" fontId="7" fillId="3" borderId="3" xfId="0" applyFont="true" applyBorder="true" applyAlignment="false" applyProtection="false">
      <alignment horizontal="general" vertical="bottom" textRotation="0" wrapText="false" indent="0" shrinkToFit="false"/>
      <protection locked="true" hidden="false"/>
    </xf>
    <xf numFmtId="172" fontId="7" fillId="3" borderId="3" xfId="0" applyFont="true" applyBorder="true" applyAlignment="false" applyProtection="false">
      <alignment horizontal="general" vertical="bottom" textRotation="0" wrapText="false" indent="0" shrinkToFit="false"/>
      <protection locked="true" hidden="false"/>
    </xf>
    <xf numFmtId="173" fontId="7" fillId="3" borderId="3" xfId="0" applyFont="true" applyBorder="true" applyAlignment="false" applyProtection="false">
      <alignment horizontal="general" vertical="bottom" textRotation="0" wrapText="false" indent="0" shrinkToFit="false"/>
      <protection locked="true" hidden="false"/>
    </xf>
    <xf numFmtId="164" fontId="13" fillId="6" borderId="3" xfId="0" applyFont="true" applyBorder="true" applyAlignment="true" applyProtection="false">
      <alignment horizontal="center" vertical="center" textRotation="0" wrapText="tru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5" fontId="10" fillId="2" borderId="2" xfId="0" applyFont="true" applyBorder="true" applyAlignment="true" applyProtection="false">
      <alignment horizontal="center" vertical="bottom" textRotation="0" wrapText="false" indent="0" shrinkToFit="false"/>
      <protection locked="true" hidden="false"/>
    </xf>
    <xf numFmtId="164" fontId="10" fillId="2" borderId="2" xfId="0" applyFont="true" applyBorder="true" applyAlignment="true" applyProtection="false">
      <alignment horizontal="center" vertical="bottom" textRotation="0" wrapText="false" indent="0" shrinkToFit="false"/>
      <protection locked="true" hidden="false"/>
    </xf>
    <xf numFmtId="166" fontId="9" fillId="3" borderId="3" xfId="0" applyFont="true" applyBorder="true" applyAlignment="false" applyProtection="false">
      <alignment horizontal="general" vertical="bottom" textRotation="0" wrapText="false" indent="0" shrinkToFit="false"/>
      <protection locked="true" hidden="false"/>
    </xf>
    <xf numFmtId="164" fontId="9" fillId="4" borderId="5" xfId="0" applyFont="true" applyBorder="true" applyAlignment="true" applyProtection="false">
      <alignment horizontal="general" vertical="center" textRotation="0" wrapText="true" indent="0" shrinkToFit="false"/>
      <protection locked="true" hidden="false"/>
    </xf>
    <xf numFmtId="164" fontId="0" fillId="4" borderId="5"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74" fontId="9" fillId="4" borderId="3" xfId="0" applyFont="true" applyBorder="true" applyAlignment="false" applyProtection="false">
      <alignment horizontal="general" vertical="bottom" textRotation="0" wrapText="false" indent="0" shrinkToFit="false"/>
      <protection locked="true" hidden="false"/>
    </xf>
    <xf numFmtId="174" fontId="7" fillId="3" borderId="3" xfId="0" applyFont="true" applyBorder="true" applyAlignment="false" applyProtection="false">
      <alignment horizontal="general" vertical="bottom" textRotation="0" wrapText="false" indent="0" shrinkToFit="false"/>
      <protection locked="true" hidden="false"/>
    </xf>
    <xf numFmtId="165" fontId="7" fillId="3" borderId="3"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3" xfId="0" applyFont="true" applyBorder="true" applyAlignment="true" applyProtection="false">
      <alignment horizontal="general" vertical="center" textRotation="0" wrapText="true" indent="0" shrinkToFit="false"/>
      <protection locked="true" hidden="false"/>
    </xf>
    <xf numFmtId="175" fontId="7" fillId="3" borderId="3" xfId="0" applyFont="true" applyBorder="true" applyAlignment="false" applyProtection="false">
      <alignment horizontal="general" vertical="bottom" textRotation="0" wrapText="false" indent="0" shrinkToFit="false"/>
      <protection locked="true" hidden="false"/>
    </xf>
    <xf numFmtId="170" fontId="9" fillId="4" borderId="3"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110663"/>
      <rgbColor rgb="FF808000"/>
      <rgbColor rgb="FF800080"/>
      <rgbColor rgb="FF008080"/>
      <rgbColor rgb="FFC0C0C0"/>
      <rgbColor rgb="FF808080"/>
      <rgbColor rgb="FF9999FF"/>
      <rgbColor rgb="FF993366"/>
      <rgbColor rgb="FFF6F4F3"/>
      <rgbColor rgb="FFE8F8FD"/>
      <rgbColor rgb="FF660066"/>
      <rgbColor rgb="FFFF8080"/>
      <rgbColor rgb="FF0066CC"/>
      <rgbColor rgb="FFDCD8EC"/>
      <rgbColor rgb="FF000080"/>
      <rgbColor rgb="FFFF00FF"/>
      <rgbColor rgb="FFFFFF00"/>
      <rgbColor rgb="FF00FFFF"/>
      <rgbColor rgb="FF800080"/>
      <rgbColor rgb="FF800000"/>
      <rgbColor rgb="FF008080"/>
      <rgbColor rgb="FF0000FF"/>
      <rgbColor rgb="FF00CCFF"/>
      <rgbColor rgb="FFF4F1FE"/>
      <rgbColor rgb="FFCCFFCC"/>
      <rgbColor rgb="FFFFFF99"/>
      <rgbColor rgb="FF99CCFF"/>
      <rgbColor rgb="FFFF99CC"/>
      <rgbColor rgb="FFCC99FF"/>
      <rgbColor rgb="FFFFCC99"/>
      <rgbColor rgb="FF3366FF"/>
      <rgbColor rgb="FF46D3F7"/>
      <rgbColor rgb="FF99CC00"/>
      <rgbColor rgb="FFFFCC00"/>
      <rgbColor rgb="FFFF9900"/>
      <rgbColor rgb="FFFF6600"/>
      <rgbColor rgb="FF6B6893"/>
      <rgbColor rgb="FFA1A0BD"/>
      <rgbColor rgb="FF003366"/>
      <rgbColor rgb="FF339966"/>
      <rgbColor rgb="FF003300"/>
      <rgbColor rgb="FF333300"/>
      <rgbColor rgb="FF993300"/>
      <rgbColor rgb="FF993366"/>
      <rgbColor rgb="FF4C39CA"/>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1238040</xdr:colOff>
      <xdr:row>1</xdr:row>
      <xdr:rowOff>380520</xdr:rowOff>
    </xdr:to>
    <xdr:pic>
      <xdr:nvPicPr>
        <xdr:cNvPr id="0" name="Image 1" descr="Picture"/>
        <xdr:cNvPicPr/>
      </xdr:nvPicPr>
      <xdr:blipFill>
        <a:blip r:embed="rId1"/>
        <a:stretch/>
      </xdr:blipFill>
      <xdr:spPr>
        <a:xfrm>
          <a:off x="211320" y="152280"/>
          <a:ext cx="1238040" cy="3805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1</xdr:col>
      <xdr:colOff>1171080</xdr:colOff>
      <xdr:row>0</xdr:row>
      <xdr:rowOff>361440</xdr:rowOff>
    </xdr:to>
    <xdr:pic>
      <xdr:nvPicPr>
        <xdr:cNvPr id="1" name="Image 1" descr="Picture"/>
        <xdr:cNvPicPr/>
      </xdr:nvPicPr>
      <xdr:blipFill>
        <a:blip r:embed="rId1"/>
        <a:stretch/>
      </xdr:blipFill>
      <xdr:spPr>
        <a:xfrm>
          <a:off x="211320" y="0"/>
          <a:ext cx="1171080" cy="3614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prowi.io/" TargetMode="External"/><Relationship Id="rId2" Type="http://schemas.openxmlformats.org/officeDocument/2006/relationships/drawing" Target="../drawings/drawing1.xml"/>
</Relationships>
</file>

<file path=xl/worksheets/_rels/sheet6.xml.rels><?xml version="1.0" encoding="UTF-8"?>
<Relationships xmlns="http://schemas.openxmlformats.org/package/2006/relationships"><Relationship Id="rId1" Type="http://schemas.openxmlformats.org/officeDocument/2006/relationships/hyperlink" Target="https://www.prowi.io/" TargetMode="External"/><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80"/>
    <col collapsed="false" customWidth="true" hidden="false" outlineLevel="0" max="4" min="4" style="0" width="3"/>
  </cols>
  <sheetData>
    <row r="1" customFormat="false" ht="12" hidden="false" customHeight="true" outlineLevel="0" collapsed="false"/>
    <row r="2" customFormat="false" ht="39.75" hidden="false" customHeight="true" outlineLevel="0" collapsed="false">
      <c r="C2" s="1" t="s">
        <v>0</v>
      </c>
    </row>
    <row r="3" customFormat="false" ht="12" hidden="false" customHeight="true" outlineLevel="0" collapsed="false"/>
    <row r="4" customFormat="false" ht="43.5" hidden="false" customHeight="true" outlineLevel="0" collapsed="false">
      <c r="B4" s="2" t="s">
        <v>1</v>
      </c>
      <c r="C4" s="3"/>
    </row>
    <row r="5" customFormat="false" ht="25.5" hidden="false" customHeight="true" outlineLevel="0" collapsed="false">
      <c r="B5" s="4" t="s">
        <v>2</v>
      </c>
      <c r="C5" s="5"/>
    </row>
    <row r="7" customFormat="false" ht="43.5" hidden="false" customHeight="true" outlineLevel="0" collapsed="false">
      <c r="B7" s="6" t="s">
        <v>3</v>
      </c>
      <c r="C7" s="6"/>
    </row>
    <row r="9" customFormat="false" ht="15" hidden="false" customHeight="false" outlineLevel="0" collapsed="false">
      <c r="B9" s="7" t="s">
        <v>4</v>
      </c>
    </row>
    <row r="10" customFormat="false" ht="30" hidden="false" customHeight="true" outlineLevel="0" collapsed="false">
      <c r="B10" s="8" t="s">
        <v>5</v>
      </c>
      <c r="C10" s="9" t="s">
        <v>6</v>
      </c>
    </row>
    <row r="11" customFormat="false" ht="30" hidden="false" customHeight="true" outlineLevel="0" collapsed="false">
      <c r="B11" s="8" t="s">
        <v>7</v>
      </c>
      <c r="C11" s="9" t="s">
        <v>8</v>
      </c>
    </row>
    <row r="12" customFormat="false" ht="30" hidden="false" customHeight="true" outlineLevel="0" collapsed="false">
      <c r="B12" s="8" t="s">
        <v>9</v>
      </c>
      <c r="C12" s="9" t="s">
        <v>10</v>
      </c>
    </row>
    <row r="13" customFormat="false" ht="30" hidden="false" customHeight="true" outlineLevel="0" collapsed="false">
      <c r="B13" s="8" t="s">
        <v>11</v>
      </c>
      <c r="C13" s="9" t="s">
        <v>12</v>
      </c>
    </row>
    <row r="14" customFormat="false" ht="30" hidden="false" customHeight="true" outlineLevel="0" collapsed="false">
      <c r="B14" s="8" t="s">
        <v>13</v>
      </c>
      <c r="C14" s="9" t="s">
        <v>14</v>
      </c>
    </row>
    <row r="16" customFormat="false" ht="15" hidden="false" customHeight="false" outlineLevel="0" collapsed="false">
      <c r="B16" s="7" t="s">
        <v>15</v>
      </c>
    </row>
    <row r="17" customFormat="false" ht="18" hidden="false" customHeight="true" outlineLevel="0" collapsed="false">
      <c r="B17" s="10" t="s">
        <v>16</v>
      </c>
      <c r="C17" s="11" t="s">
        <v>17</v>
      </c>
    </row>
    <row r="18" customFormat="false" ht="18" hidden="false" customHeight="true" outlineLevel="0" collapsed="false">
      <c r="B18" s="12" t="s">
        <v>18</v>
      </c>
      <c r="C18" s="11" t="s">
        <v>19</v>
      </c>
    </row>
    <row r="19" customFormat="false" ht="18" hidden="false" customHeight="true" outlineLevel="0" collapsed="false">
      <c r="B19" s="13" t="s">
        <v>20</v>
      </c>
      <c r="C19" s="11" t="s">
        <v>21</v>
      </c>
    </row>
    <row r="21" customFormat="false" ht="15" hidden="false" customHeight="false" outlineLevel="0" collapsed="false">
      <c r="B21" s="7" t="s">
        <v>22</v>
      </c>
    </row>
    <row r="22" customFormat="false" ht="30" hidden="false" customHeight="true" outlineLevel="0" collapsed="false">
      <c r="B22" s="8" t="s">
        <v>23</v>
      </c>
      <c r="C22" s="9" t="s">
        <v>24</v>
      </c>
    </row>
    <row r="23" customFormat="false" ht="30" hidden="false" customHeight="true" outlineLevel="0" collapsed="false">
      <c r="B23" s="8" t="s">
        <v>25</v>
      </c>
      <c r="C23" s="9" t="s">
        <v>26</v>
      </c>
    </row>
    <row r="24" customFormat="false" ht="60" hidden="false" customHeight="true" outlineLevel="0" collapsed="false">
      <c r="B24" s="8" t="s">
        <v>27</v>
      </c>
      <c r="C24" s="9" t="s">
        <v>28</v>
      </c>
    </row>
    <row r="25" customFormat="false" ht="45" hidden="false" customHeight="true" outlineLevel="0" collapsed="false">
      <c r="B25" s="8" t="s">
        <v>29</v>
      </c>
      <c r="C25" s="9" t="s">
        <v>30</v>
      </c>
    </row>
    <row r="26" customFormat="false" ht="30" hidden="false" customHeight="true" outlineLevel="0" collapsed="false">
      <c r="B26" s="8" t="s">
        <v>31</v>
      </c>
      <c r="C26" s="9" t="s">
        <v>32</v>
      </c>
    </row>
    <row r="27" customFormat="false" ht="30" hidden="false" customHeight="true" outlineLevel="0" collapsed="false">
      <c r="B27" s="8" t="s">
        <v>33</v>
      </c>
      <c r="C27" s="9" t="s">
        <v>34</v>
      </c>
    </row>
    <row r="28" customFormat="false" ht="30" hidden="false" customHeight="true" outlineLevel="0" collapsed="false">
      <c r="B28" s="8" t="s">
        <v>35</v>
      </c>
      <c r="C28" s="9" t="s">
        <v>36</v>
      </c>
    </row>
    <row r="30" customFormat="false" ht="15" hidden="false" customHeight="false" outlineLevel="0" collapsed="false">
      <c r="B30" s="7" t="s">
        <v>37</v>
      </c>
    </row>
    <row r="31" customFormat="false" ht="30" hidden="false" customHeight="true" outlineLevel="0" collapsed="false">
      <c r="B31" s="14" t="s">
        <v>38</v>
      </c>
      <c r="C31" s="9" t="s">
        <v>39</v>
      </c>
    </row>
    <row r="32" customFormat="false" ht="30" hidden="false" customHeight="true" outlineLevel="0" collapsed="false">
      <c r="B32" s="14" t="s">
        <v>38</v>
      </c>
      <c r="C32" s="9" t="s">
        <v>40</v>
      </c>
    </row>
    <row r="33" customFormat="false" ht="30" hidden="false" customHeight="true" outlineLevel="0" collapsed="false">
      <c r="B33" s="14" t="s">
        <v>38</v>
      </c>
      <c r="C33" s="9" t="s">
        <v>41</v>
      </c>
    </row>
    <row r="34" customFormat="false" ht="30" hidden="false" customHeight="true" outlineLevel="0" collapsed="false">
      <c r="B34" s="14" t="s">
        <v>38</v>
      </c>
      <c r="C34" s="9" t="s">
        <v>42</v>
      </c>
    </row>
    <row r="36" customFormat="false" ht="15" hidden="false" customHeight="false" outlineLevel="0" collapsed="false">
      <c r="B36" s="15"/>
      <c r="C36" s="15"/>
    </row>
    <row r="37" customFormat="false" ht="15" hidden="false" customHeight="false" outlineLevel="0" collapsed="false">
      <c r="B37" s="16" t="s">
        <v>43</v>
      </c>
    </row>
  </sheetData>
  <mergeCells count="1">
    <mergeCell ref="B7:C7"/>
  </mergeCells>
  <hyperlinks>
    <hyperlink ref="B37" r:id="rId1" display="prowi.io · Free template from Prowi"/>
  </hyperlink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&amp;C&amp;"Arial,Regular"&amp;8 &amp;Ka1a0bdprowi.io · Free template from Prowi</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3" min="3" style="0" width="16"/>
    <col collapsed="false" customWidth="true" hidden="false" outlineLevel="0" max="4" min="4" style="0" width="12"/>
    <col collapsed="false" customWidth="true" hidden="false" outlineLevel="0" max="5" min="5" style="0" width="70"/>
  </cols>
  <sheetData>
    <row r="2" customFormat="false" ht="30" hidden="false" customHeight="true" outlineLevel="0" collapsed="false">
      <c r="B2" s="17" t="s">
        <v>44</v>
      </c>
    </row>
    <row r="3" customFormat="false" ht="15" hidden="false" customHeight="false" outlineLevel="0" collapsed="false">
      <c r="B3" s="18" t="s">
        <v>45</v>
      </c>
    </row>
    <row r="5" customFormat="false" ht="15" hidden="false" customHeight="false" outlineLevel="0" collapsed="false">
      <c r="B5" s="7" t="s">
        <v>46</v>
      </c>
    </row>
    <row r="6" customFormat="false" ht="18" hidden="false" customHeight="true" outlineLevel="0" collapsed="false">
      <c r="B6" s="19" t="s">
        <v>47</v>
      </c>
      <c r="C6" s="20" t="n">
        <v>2026</v>
      </c>
      <c r="E6" s="21" t="s">
        <v>48</v>
      </c>
    </row>
    <row r="7" customFormat="false" ht="18" hidden="false" customHeight="true" outlineLevel="0" collapsed="false">
      <c r="B7" s="19" t="s">
        <v>49</v>
      </c>
      <c r="C7" s="22" t="n">
        <v>24000000</v>
      </c>
      <c r="E7" s="21" t="s">
        <v>50</v>
      </c>
    </row>
    <row r="8" customFormat="false" ht="18" hidden="false" customHeight="true" outlineLevel="0" collapsed="false">
      <c r="B8" s="19" t="s">
        <v>51</v>
      </c>
      <c r="C8" s="22" t="n">
        <v>150000</v>
      </c>
      <c r="E8" s="21" t="s">
        <v>52</v>
      </c>
    </row>
    <row r="9" customFormat="false" ht="18" hidden="false" customHeight="true" outlineLevel="0" collapsed="false">
      <c r="B9" s="19" t="s">
        <v>53</v>
      </c>
      <c r="C9" s="23" t="n">
        <v>0.25</v>
      </c>
      <c r="E9" s="21" t="s">
        <v>54</v>
      </c>
    </row>
    <row r="10" customFormat="false" ht="18" hidden="false" customHeight="true" outlineLevel="0" collapsed="false">
      <c r="B10" s="19" t="s">
        <v>55</v>
      </c>
      <c r="C10" s="20" t="n">
        <v>3</v>
      </c>
      <c r="E10" s="21" t="s">
        <v>56</v>
      </c>
    </row>
    <row r="12" customFormat="false" ht="15" hidden="false" customHeight="false" outlineLevel="0" collapsed="false">
      <c r="B12" s="7" t="s">
        <v>57</v>
      </c>
    </row>
    <row r="13" customFormat="false" ht="18" hidden="false" customHeight="true" outlineLevel="0" collapsed="false">
      <c r="B13" s="19" t="s">
        <v>58</v>
      </c>
      <c r="C13" s="20" t="n">
        <v>7</v>
      </c>
      <c r="E13" s="21" t="s">
        <v>59</v>
      </c>
    </row>
    <row r="14" customFormat="false" ht="18" hidden="false" customHeight="true" outlineLevel="0" collapsed="false">
      <c r="B14" s="19" t="s">
        <v>60</v>
      </c>
      <c r="C14" s="22" t="n">
        <v>3000000</v>
      </c>
      <c r="E14" s="21" t="s">
        <v>61</v>
      </c>
    </row>
    <row r="15" customFormat="false" ht="18" hidden="false" customHeight="true" outlineLevel="0" collapsed="false">
      <c r="B15" s="19" t="s">
        <v>62</v>
      </c>
      <c r="C15" s="23" t="n">
        <v>0.9</v>
      </c>
      <c r="E15" s="21" t="s">
        <v>63</v>
      </c>
    </row>
    <row r="16" customFormat="false" ht="18" hidden="false" customHeight="true" outlineLevel="0" collapsed="false">
      <c r="B16" s="19" t="s">
        <v>64</v>
      </c>
      <c r="C16" s="20" t="n">
        <v>4</v>
      </c>
      <c r="E16" s="21" t="s">
        <v>65</v>
      </c>
    </row>
    <row r="17" customFormat="false" ht="18" hidden="false" customHeight="true" outlineLevel="0" collapsed="false">
      <c r="B17" s="19" t="s">
        <v>66</v>
      </c>
      <c r="C17" s="23" t="n">
        <v>0.5</v>
      </c>
      <c r="E17" s="21" t="s">
        <v>67</v>
      </c>
    </row>
    <row r="18" customFormat="false" ht="18" hidden="false" customHeight="true" outlineLevel="0" collapsed="false">
      <c r="B18" s="19" t="s">
        <v>68</v>
      </c>
      <c r="C18" s="23" t="n">
        <v>0.15</v>
      </c>
      <c r="E18" s="21" t="s">
        <v>69</v>
      </c>
    </row>
    <row r="19" customFormat="false" ht="18" hidden="false" customHeight="true" outlineLevel="0" collapsed="false">
      <c r="B19" s="19" t="s">
        <v>70</v>
      </c>
      <c r="C19" s="20" t="n">
        <v>2</v>
      </c>
      <c r="E19" s="21" t="s">
        <v>71</v>
      </c>
    </row>
    <row r="21" customFormat="false" ht="15" hidden="false" customHeight="false" outlineLevel="0" collapsed="false">
      <c r="B21" s="7" t="s">
        <v>72</v>
      </c>
    </row>
    <row r="22" customFormat="false" ht="18" hidden="false" customHeight="true" outlineLevel="0" collapsed="false">
      <c r="B22" s="19" t="s">
        <v>73</v>
      </c>
      <c r="C22" s="22" t="n">
        <v>42000</v>
      </c>
      <c r="E22" s="21" t="s">
        <v>74</v>
      </c>
    </row>
    <row r="23" customFormat="false" ht="18" hidden="false" customHeight="true" outlineLevel="0" collapsed="false">
      <c r="B23" s="19" t="s">
        <v>75</v>
      </c>
      <c r="C23" s="22" t="n">
        <v>216000</v>
      </c>
      <c r="E23" s="21" t="s">
        <v>76</v>
      </c>
    </row>
    <row r="24" customFormat="false" ht="18" hidden="false" customHeight="true" outlineLevel="0" collapsed="false">
      <c r="B24" s="19" t="s">
        <v>77</v>
      </c>
      <c r="C24" s="24" t="n">
        <v>1.5</v>
      </c>
      <c r="E24" s="21" t="s">
        <v>78</v>
      </c>
    </row>
    <row r="25" customFormat="false" ht="18" hidden="false" customHeight="true" outlineLevel="0" collapsed="false">
      <c r="B25" s="19" t="s">
        <v>79</v>
      </c>
      <c r="C25" s="23" t="n">
        <v>0.1</v>
      </c>
      <c r="E25" s="21" t="s">
        <v>80</v>
      </c>
    </row>
    <row r="27" customFormat="false" ht="15" hidden="false" customHeight="false" outlineLevel="0" collapsed="false">
      <c r="B27" s="7" t="s">
        <v>81</v>
      </c>
      <c r="E27" s="21" t="s">
        <v>82</v>
      </c>
    </row>
    <row r="28" customFormat="false" ht="24" hidden="false" customHeight="true" outlineLevel="0" collapsed="false">
      <c r="B28" s="25" t="s">
        <v>83</v>
      </c>
      <c r="C28" s="25" t="s">
        <v>84</v>
      </c>
      <c r="D28" s="25" t="s">
        <v>85</v>
      </c>
    </row>
    <row r="29" customFormat="false" ht="15" hidden="false" customHeight="false" outlineLevel="0" collapsed="false">
      <c r="B29" s="26" t="s">
        <v>86</v>
      </c>
      <c r="C29" s="20" t="n">
        <v>7</v>
      </c>
      <c r="D29" s="27" t="n">
        <f aca="false">IF(SUM($C$29:$C$40)=0,1/12,C29/SUM($C$29:$C$40))</f>
        <v>0.07</v>
      </c>
    </row>
    <row r="30" customFormat="false" ht="15" hidden="false" customHeight="false" outlineLevel="0" collapsed="false">
      <c r="B30" s="26" t="s">
        <v>87</v>
      </c>
      <c r="C30" s="20" t="n">
        <v>8</v>
      </c>
      <c r="D30" s="27" t="n">
        <f aca="false">IF(SUM($C$29:$C$40)=0,1/12,C30/SUM($C$29:$C$40))</f>
        <v>0.08</v>
      </c>
    </row>
    <row r="31" customFormat="false" ht="15" hidden="false" customHeight="false" outlineLevel="0" collapsed="false">
      <c r="B31" s="26" t="s">
        <v>88</v>
      </c>
      <c r="C31" s="20" t="n">
        <v>9</v>
      </c>
      <c r="D31" s="27" t="n">
        <f aca="false">IF(SUM($C$29:$C$40)=0,1/12,C31/SUM($C$29:$C$40))</f>
        <v>0.09</v>
      </c>
    </row>
    <row r="32" customFormat="false" ht="15" hidden="false" customHeight="false" outlineLevel="0" collapsed="false">
      <c r="B32" s="26" t="s">
        <v>89</v>
      </c>
      <c r="C32" s="20" t="n">
        <v>8</v>
      </c>
      <c r="D32" s="27" t="n">
        <f aca="false">IF(SUM($C$29:$C$40)=0,1/12,C32/SUM($C$29:$C$40))</f>
        <v>0.08</v>
      </c>
    </row>
    <row r="33" customFormat="false" ht="15" hidden="false" customHeight="false" outlineLevel="0" collapsed="false">
      <c r="B33" s="26" t="s">
        <v>90</v>
      </c>
      <c r="C33" s="20" t="n">
        <v>9</v>
      </c>
      <c r="D33" s="27" t="n">
        <f aca="false">IF(SUM($C$29:$C$40)=0,1/12,C33/SUM($C$29:$C$40))</f>
        <v>0.09</v>
      </c>
      <c r="E33" s="21" t="s">
        <v>91</v>
      </c>
    </row>
    <row r="34" customFormat="false" ht="15" hidden="false" customHeight="false" outlineLevel="0" collapsed="false">
      <c r="B34" s="26" t="s">
        <v>92</v>
      </c>
      <c r="C34" s="20" t="n">
        <v>9</v>
      </c>
      <c r="D34" s="27" t="n">
        <f aca="false">IF(SUM($C$29:$C$40)=0,1/12,C34/SUM($C$29:$C$40))</f>
        <v>0.09</v>
      </c>
    </row>
    <row r="35" customFormat="false" ht="15" hidden="false" customHeight="false" outlineLevel="0" collapsed="false">
      <c r="B35" s="26" t="s">
        <v>93</v>
      </c>
      <c r="C35" s="20" t="n">
        <v>4</v>
      </c>
      <c r="D35" s="27" t="n">
        <f aca="false">IF(SUM($C$29:$C$40)=0,1/12,C35/SUM($C$29:$C$40))</f>
        <v>0.04</v>
      </c>
    </row>
    <row r="36" customFormat="false" ht="15" hidden="false" customHeight="false" outlineLevel="0" collapsed="false">
      <c r="B36" s="26" t="s">
        <v>94</v>
      </c>
      <c r="C36" s="20" t="n">
        <v>7</v>
      </c>
      <c r="D36" s="27" t="n">
        <f aca="false">IF(SUM($C$29:$C$40)=0,1/12,C36/SUM($C$29:$C$40))</f>
        <v>0.07</v>
      </c>
    </row>
    <row r="37" customFormat="false" ht="15" hidden="false" customHeight="false" outlineLevel="0" collapsed="false">
      <c r="B37" s="26" t="s">
        <v>95</v>
      </c>
      <c r="C37" s="20" t="n">
        <v>9</v>
      </c>
      <c r="D37" s="27" t="n">
        <f aca="false">IF(SUM($C$29:$C$40)=0,1/12,C37/SUM($C$29:$C$40))</f>
        <v>0.09</v>
      </c>
    </row>
    <row r="38" customFormat="false" ht="15" hidden="false" customHeight="false" outlineLevel="0" collapsed="false">
      <c r="B38" s="26" t="s">
        <v>96</v>
      </c>
      <c r="C38" s="20" t="n">
        <v>9</v>
      </c>
      <c r="D38" s="27" t="n">
        <f aca="false">IF(SUM($C$29:$C$40)=0,1/12,C38/SUM($C$29:$C$40))</f>
        <v>0.09</v>
      </c>
    </row>
    <row r="39" customFormat="false" ht="15" hidden="false" customHeight="false" outlineLevel="0" collapsed="false">
      <c r="B39" s="26" t="s">
        <v>97</v>
      </c>
      <c r="C39" s="20" t="n">
        <v>10</v>
      </c>
      <c r="D39" s="27" t="n">
        <f aca="false">IF(SUM($C$29:$C$40)=0,1/12,C39/SUM($C$29:$C$40))</f>
        <v>0.1</v>
      </c>
    </row>
    <row r="40" customFormat="false" ht="15" hidden="false" customHeight="false" outlineLevel="0" collapsed="false">
      <c r="B40" s="26" t="s">
        <v>98</v>
      </c>
      <c r="C40" s="20" t="n">
        <v>11</v>
      </c>
      <c r="D40" s="27" t="n">
        <f aca="false">IF(SUM($C$29:$C$40)=0,1/12,C40/SUM($C$29:$C$40))</f>
        <v>0.11</v>
      </c>
    </row>
    <row r="41" customFormat="false" ht="15" hidden="false" customHeight="false" outlineLevel="0" collapsed="false">
      <c r="B41" s="19" t="s">
        <v>99</v>
      </c>
      <c r="C41" s="28" t="n">
        <f aca="false">SUM(C29:C40)</f>
        <v>100</v>
      </c>
      <c r="D41" s="29" t="n">
        <f aca="false">SUM(D29:D40)</f>
        <v>1</v>
      </c>
    </row>
  </sheetData>
  <dataValidations count="4">
    <dataValidation allowBlank="false" error="Enter a percentage between 0 and 100%." errorStyle="stop" errorTitle="Invalid value" operator="between" showDropDown="false" showErrorMessage="false" showInputMessage="false" sqref="C9 C15 C17" type="decimal">
      <formula1>0.0001</formula1>
      <formula2>1</formula2>
    </dataValidation>
    <dataValidation allowBlank="false" error="Enter a number greater than 0." errorStyle="stop" errorTitle="Invalid value" operator="greaterThan" showDropDown="false" showErrorMessage="false" showInputMessage="false" sqref="C7:C8 C14 C24" type="decimal">
      <formula1>0</formula1>
      <formula2>0</formula2>
    </dataValidation>
    <dataValidation allowBlank="false" error="Enter a whole number of months (0-36)." errorStyle="stop" errorTitle="Invalid value" operator="between" showDropDown="false" showErrorMessage="false" showInputMessage="false" sqref="C10 C13 C16 C19" type="whole">
      <formula1>0</formula1>
      <formula2>36</formula2>
    </dataValidation>
    <dataValidation allowBlank="false" error="Enter a percentage between 0 and 99%." errorStyle="stop" errorTitle="Invalid value" operator="between" showDropDown="false" showErrorMessage="false" showInputMessage="false" sqref="C18 C25" type="decimal">
      <formula1>0</formula1>
      <formula2>0.99</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&amp;C&amp;"Arial,Regular"&amp;8 &amp;Ka1a0bdprowi.io · Free template from Prowi</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18"/>
    <col collapsed="false" customWidth="true" hidden="false" outlineLevel="0" max="4" min="4" style="0" width="3"/>
    <col collapsed="false" customWidth="true" hidden="false" outlineLevel="0" max="5" min="5" style="0" width="70"/>
  </cols>
  <sheetData>
    <row r="2" customFormat="false" ht="30" hidden="false" customHeight="true" outlineLevel="0" collapsed="false">
      <c r="B2" s="17" t="s">
        <v>100</v>
      </c>
    </row>
    <row r="3" customFormat="false" ht="15" hidden="false" customHeight="false" outlineLevel="0" collapsed="false">
      <c r="B3" s="18" t="s">
        <v>101</v>
      </c>
    </row>
    <row r="4" customFormat="false" ht="27.75" hidden="false" customHeight="true" outlineLevel="0" collapsed="false">
      <c r="B4" s="30" t="s">
        <v>102</v>
      </c>
    </row>
    <row r="5" customFormat="false" ht="18" hidden="false" customHeight="true" outlineLevel="0" collapsed="false">
      <c r="B5" s="19" t="s">
        <v>103</v>
      </c>
      <c r="C5" s="31" t="n">
        <f aca="false">Assumptions!$C$7</f>
        <v>24000000</v>
      </c>
      <c r="E5" s="21" t="s">
        <v>104</v>
      </c>
    </row>
    <row r="6" customFormat="false" ht="18" hidden="false" customHeight="true" outlineLevel="0" collapsed="false">
      <c r="B6" s="19" t="s">
        <v>105</v>
      </c>
      <c r="C6" s="32" t="n">
        <f aca="false">IFERROR(C5/Assumptions!$C$8,0)</f>
        <v>160</v>
      </c>
      <c r="E6" s="21" t="s">
        <v>106</v>
      </c>
    </row>
    <row r="7" customFormat="false" ht="18" hidden="false" customHeight="true" outlineLevel="0" collapsed="false">
      <c r="B7" s="19" t="s">
        <v>107</v>
      </c>
      <c r="C7" s="32" t="n">
        <f aca="false">IFERROR(C6/Assumptions!$C$9,0)</f>
        <v>640</v>
      </c>
      <c r="E7" s="21" t="s">
        <v>108</v>
      </c>
    </row>
    <row r="8" customFormat="false" ht="18" hidden="false" customHeight="true" outlineLevel="0" collapsed="false">
      <c r="B8" s="19" t="s">
        <v>109</v>
      </c>
      <c r="C8" s="33" t="n">
        <f aca="false">IFERROR(C5/Assumptions!$C$9,0)</f>
        <v>96000000</v>
      </c>
      <c r="E8" s="21" t="s">
        <v>110</v>
      </c>
    </row>
    <row r="9" customFormat="false" ht="18" hidden="false" customHeight="true" outlineLevel="0" collapsed="false">
      <c r="B9" s="19" t="s">
        <v>111</v>
      </c>
      <c r="C9" s="34" t="n">
        <f aca="false">IFERROR(C8/C5,0)</f>
        <v>4</v>
      </c>
      <c r="E9" s="21" t="s">
        <v>112</v>
      </c>
    </row>
    <row r="10" customFormat="false" ht="18" hidden="false" customHeight="true" outlineLevel="0" collapsed="false">
      <c r="B10" s="19" t="s">
        <v>113</v>
      </c>
      <c r="C10" s="32" t="n">
        <f aca="false">C7/12</f>
        <v>53.3333333333333</v>
      </c>
      <c r="E10" s="21" t="s">
        <v>114</v>
      </c>
    </row>
    <row r="11" customFormat="false" ht="18" hidden="false" customHeight="true" outlineLevel="0" collapsed="false">
      <c r="B11" s="19" t="s">
        <v>115</v>
      </c>
      <c r="C11" s="35" t="n">
        <f aca="false">Assumptions!$C$10</f>
        <v>3</v>
      </c>
      <c r="E11" s="21" t="s">
        <v>116</v>
      </c>
    </row>
    <row r="13" customFormat="false" ht="15" hidden="false" customHeight="false" outlineLevel="0" collapsed="false">
      <c r="B13" s="30" t="s">
        <v>117</v>
      </c>
    </row>
    <row r="14" customFormat="false" ht="18" hidden="false" customHeight="true" outlineLevel="0" collapsed="false">
      <c r="B14" s="19" t="s">
        <v>118</v>
      </c>
      <c r="C14" s="31" t="n">
        <f aca="false">Assumptions!$C$14*Assumptions!$C$15</f>
        <v>2700000</v>
      </c>
      <c r="E14" s="21" t="s">
        <v>119</v>
      </c>
    </row>
    <row r="15" customFormat="false" ht="18" hidden="false" customHeight="true" outlineLevel="0" collapsed="false">
      <c r="B15" s="19" t="s">
        <v>120</v>
      </c>
      <c r="C15" s="36" t="n">
        <f aca="false">IFERROR(C5/C14,0)</f>
        <v>8.88888888888889</v>
      </c>
      <c r="E15" s="21" t="s">
        <v>121</v>
      </c>
    </row>
    <row r="16" customFormat="false" ht="18" hidden="false" customHeight="true" outlineLevel="0" collapsed="false">
      <c r="B16" s="19" t="s">
        <v>122</v>
      </c>
      <c r="C16" s="36" t="n">
        <f aca="false">Assumptions!$C$16*(1-Assumptions!$C$17)/12</f>
        <v>0.166666666666667</v>
      </c>
      <c r="E16" s="21" t="s">
        <v>123</v>
      </c>
    </row>
    <row r="17" customFormat="false" ht="18" hidden="false" customHeight="true" outlineLevel="0" collapsed="false">
      <c r="B17" s="19" t="s">
        <v>124</v>
      </c>
      <c r="C17" s="36" t="n">
        <f aca="false">(Assumptions!$C$19+Assumptions!$C$16*(1-Assumptions!$C$17))/12</f>
        <v>0.333333333333333</v>
      </c>
      <c r="E17" s="21" t="s">
        <v>125</v>
      </c>
    </row>
    <row r="18" customFormat="false" ht="18" hidden="false" customHeight="true" outlineLevel="0" collapsed="false">
      <c r="B18" s="19" t="s">
        <v>126</v>
      </c>
      <c r="C18" s="36" t="n">
        <f aca="false">IFERROR(IF((C15-Assumptions!$C$13*C16)/(1-Assumptions!$C$18*C17-C16)&gt;Assumptions!$C$13,(C15-Assumptions!$C$13*C16)/(1-Assumptions!$C$18*C17-C16),C15/(1-Assumptions!$C$18*C17)),0)</f>
        <v>9.8581560283688</v>
      </c>
      <c r="E18" s="21" t="s">
        <v>127</v>
      </c>
    </row>
    <row r="19" customFormat="false" ht="18" hidden="false" customHeight="true" outlineLevel="0" collapsed="false">
      <c r="B19" s="19" t="s">
        <v>128</v>
      </c>
      <c r="C19" s="28" t="n">
        <f aca="false">ROUNDUP(C18,0)</f>
        <v>10</v>
      </c>
      <c r="E19" s="21" t="s">
        <v>129</v>
      </c>
    </row>
    <row r="20" customFormat="false" ht="18" hidden="false" customHeight="true" outlineLevel="0" collapsed="false">
      <c r="B20" s="19" t="s">
        <v>58</v>
      </c>
      <c r="C20" s="35" t="n">
        <f aca="false">Assumptions!$C$13</f>
        <v>7</v>
      </c>
      <c r="E20" s="21" t="s">
        <v>104</v>
      </c>
    </row>
    <row r="21" customFormat="false" ht="18" hidden="false" customHeight="true" outlineLevel="0" collapsed="false">
      <c r="B21" s="19" t="s">
        <v>130</v>
      </c>
      <c r="C21" s="35" t="n">
        <f aca="false">MAX(0,C19-C20)</f>
        <v>3</v>
      </c>
      <c r="E21" s="21" t="s">
        <v>131</v>
      </c>
    </row>
    <row r="22" customFormat="false" ht="18" hidden="false" customHeight="true" outlineLevel="0" collapsed="false">
      <c r="B22" s="19" t="s">
        <v>132</v>
      </c>
      <c r="C22" s="32" t="n">
        <f aca="false">C19*Assumptions!$C$18</f>
        <v>1.5</v>
      </c>
      <c r="E22" s="21" t="s">
        <v>133</v>
      </c>
    </row>
    <row r="23" customFormat="false" ht="18" hidden="false" customHeight="true" outlineLevel="0" collapsed="false">
      <c r="B23" s="19" t="s">
        <v>134</v>
      </c>
      <c r="C23" s="32" t="n">
        <f aca="false">C21+C22</f>
        <v>4.5</v>
      </c>
      <c r="E23" s="21" t="s">
        <v>135</v>
      </c>
    </row>
    <row r="25" customFormat="false" ht="15" hidden="false" customHeight="false" outlineLevel="0" collapsed="false">
      <c r="B25" s="30" t="s">
        <v>136</v>
      </c>
    </row>
    <row r="26" customFormat="false" ht="18" hidden="false" customHeight="true" outlineLevel="0" collapsed="false">
      <c r="B26" s="19" t="s">
        <v>137</v>
      </c>
      <c r="C26" s="35" t="n">
        <f aca="false">COUNTA('Quota allocation'!$B$7:$B$26)</f>
        <v>10</v>
      </c>
      <c r="E26" s="21" t="s">
        <v>138</v>
      </c>
    </row>
    <row r="27" customFormat="false" ht="18" hidden="false" customHeight="true" outlineLevel="0" collapsed="false">
      <c r="B27" s="19" t="s">
        <v>139</v>
      </c>
      <c r="C27" s="37" t="n">
        <f aca="false">C26-C19</f>
        <v>0</v>
      </c>
      <c r="E27" s="21" t="s">
        <v>140</v>
      </c>
    </row>
  </sheetData>
  <conditionalFormatting sqref="C27">
    <cfRule type="cellIs" priority="2" operator="lessThan" aboveAverage="0" equalAverage="0" bottom="0" percent="0" rank="0" text="" dxfId="0">
      <formula>0</formula>
    </cfRule>
  </conditionalFormatting>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&amp;C&amp;"Arial,Regular"&amp;8 &amp;Ka1a0bdprowi.io · Free template from Prowi</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T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11"/>
    <col collapsed="false" customWidth="true" hidden="false" outlineLevel="0" max="4" min="4" style="0" width="12"/>
    <col collapsed="false" customWidth="true" hidden="false" outlineLevel="0" max="5" min="5" style="0" width="15"/>
    <col collapsed="false" customWidth="true" hidden="false" outlineLevel="0" max="6" min="6" style="0" width="14"/>
    <col collapsed="false" customWidth="true" hidden="false" outlineLevel="0" max="18" min="7" style="0" width="11.5"/>
    <col collapsed="false" customWidth="true" hidden="false" outlineLevel="0" max="19" min="19" style="0" width="15"/>
  </cols>
  <sheetData>
    <row r="2" customFormat="false" ht="30" hidden="false" customHeight="true" outlineLevel="0" collapsed="false">
      <c r="B2" s="17" t="s">
        <v>141</v>
      </c>
    </row>
    <row r="3" customFormat="false" ht="15" hidden="false" customHeight="false" outlineLevel="0" collapsed="false">
      <c r="B3" s="18" t="s">
        <v>142</v>
      </c>
    </row>
    <row r="4" customFormat="false" ht="15" hidden="false" customHeight="false" outlineLevel="0" collapsed="false">
      <c r="B4" s="21" t="s">
        <v>143</v>
      </c>
    </row>
    <row r="6" customFormat="false" ht="42" hidden="false" customHeight="true" outlineLevel="0" collapsed="false">
      <c r="B6" s="25" t="s">
        <v>144</v>
      </c>
      <c r="C6" s="25" t="s">
        <v>145</v>
      </c>
      <c r="D6" s="25" t="s">
        <v>146</v>
      </c>
      <c r="E6" s="25" t="s">
        <v>147</v>
      </c>
      <c r="F6" s="38" t="s">
        <v>148</v>
      </c>
      <c r="G6" s="38" t="s">
        <v>149</v>
      </c>
      <c r="H6" s="38" t="s">
        <v>150</v>
      </c>
      <c r="I6" s="38" t="s">
        <v>151</v>
      </c>
      <c r="J6" s="38" t="s">
        <v>152</v>
      </c>
      <c r="K6" s="38" t="s">
        <v>90</v>
      </c>
      <c r="L6" s="38" t="s">
        <v>153</v>
      </c>
      <c r="M6" s="38" t="s">
        <v>154</v>
      </c>
      <c r="N6" s="38" t="s">
        <v>155</v>
      </c>
      <c r="O6" s="38" t="s">
        <v>156</v>
      </c>
      <c r="P6" s="38" t="s">
        <v>157</v>
      </c>
      <c r="Q6" s="38" t="s">
        <v>158</v>
      </c>
      <c r="R6" s="38" t="s">
        <v>159</v>
      </c>
      <c r="S6" s="38" t="s">
        <v>160</v>
      </c>
      <c r="T6" s="39"/>
    </row>
    <row r="7" customFormat="false" ht="15" hidden="false" customHeight="false" outlineLevel="0" collapsed="false">
      <c r="B7" s="10" t="s">
        <v>161</v>
      </c>
      <c r="C7" s="40" t="n">
        <v>1</v>
      </c>
      <c r="D7" s="41" t="s">
        <v>162</v>
      </c>
      <c r="E7" s="22"/>
      <c r="F7" s="31" t="n">
        <f aca="false">IF($B7="","",IF(N($E7)&gt;0,$E7,Assumptions!$C$14))</f>
        <v>3000000</v>
      </c>
      <c r="G7" s="31" t="n">
        <f aca="false">IF($B7="","",$F7*INDEX(Assumptions!$D$29:$D$40,1)*IF(1&lt;IF(N($C7)&lt;1,1,$C7),0,IF(AND($D7="Yes",1&lt;IF(N($C7)&lt;1,1,$C7)+Assumptions!$C$16),Assumptions!$C$17,1)))</f>
        <v>210000</v>
      </c>
      <c r="H7" s="31" t="n">
        <f aca="false">IF($B7="","",$F7*INDEX(Assumptions!$D$29:$D$40,2)*IF(2&lt;IF(N($C7)&lt;1,1,$C7),0,IF(AND($D7="Yes",2&lt;IF(N($C7)&lt;1,1,$C7)+Assumptions!$C$16),Assumptions!$C$17,1)))</f>
        <v>240000</v>
      </c>
      <c r="I7" s="31" t="n">
        <f aca="false">IF($B7="","",$F7*INDEX(Assumptions!$D$29:$D$40,3)*IF(3&lt;IF(N($C7)&lt;1,1,$C7),0,IF(AND($D7="Yes",3&lt;IF(N($C7)&lt;1,1,$C7)+Assumptions!$C$16),Assumptions!$C$17,1)))</f>
        <v>270000</v>
      </c>
      <c r="J7" s="31" t="n">
        <f aca="false">IF($B7="","",$F7*INDEX(Assumptions!$D$29:$D$40,4)*IF(4&lt;IF(N($C7)&lt;1,1,$C7),0,IF(AND($D7="Yes",4&lt;IF(N($C7)&lt;1,1,$C7)+Assumptions!$C$16),Assumptions!$C$17,1)))</f>
        <v>240000</v>
      </c>
      <c r="K7" s="31" t="n">
        <f aca="false">IF($B7="","",$F7*INDEX(Assumptions!$D$29:$D$40,5)*IF(5&lt;IF(N($C7)&lt;1,1,$C7),0,IF(AND($D7="Yes",5&lt;IF(N($C7)&lt;1,1,$C7)+Assumptions!$C$16),Assumptions!$C$17,1)))</f>
        <v>270000</v>
      </c>
      <c r="L7" s="31" t="n">
        <f aca="false">IF($B7="","",$F7*INDEX(Assumptions!$D$29:$D$40,6)*IF(6&lt;IF(N($C7)&lt;1,1,$C7),0,IF(AND($D7="Yes",6&lt;IF(N($C7)&lt;1,1,$C7)+Assumptions!$C$16),Assumptions!$C$17,1)))</f>
        <v>270000</v>
      </c>
      <c r="M7" s="31" t="n">
        <f aca="false">IF($B7="","",$F7*INDEX(Assumptions!$D$29:$D$40,7)*IF(7&lt;IF(N($C7)&lt;1,1,$C7),0,IF(AND($D7="Yes",7&lt;IF(N($C7)&lt;1,1,$C7)+Assumptions!$C$16),Assumptions!$C$17,1)))</f>
        <v>120000</v>
      </c>
      <c r="N7" s="31" t="n">
        <f aca="false">IF($B7="","",$F7*INDEX(Assumptions!$D$29:$D$40,8)*IF(8&lt;IF(N($C7)&lt;1,1,$C7),0,IF(AND($D7="Yes",8&lt;IF(N($C7)&lt;1,1,$C7)+Assumptions!$C$16),Assumptions!$C$17,1)))</f>
        <v>210000</v>
      </c>
      <c r="O7" s="31" t="n">
        <f aca="false">IF($B7="","",$F7*INDEX(Assumptions!$D$29:$D$40,9)*IF(9&lt;IF(N($C7)&lt;1,1,$C7),0,IF(AND($D7="Yes",9&lt;IF(N($C7)&lt;1,1,$C7)+Assumptions!$C$16),Assumptions!$C$17,1)))</f>
        <v>270000</v>
      </c>
      <c r="P7" s="31" t="n">
        <f aca="false">IF($B7="","",$F7*INDEX(Assumptions!$D$29:$D$40,10)*IF(10&lt;IF(N($C7)&lt;1,1,$C7),0,IF(AND($D7="Yes",10&lt;IF(N($C7)&lt;1,1,$C7)+Assumptions!$C$16),Assumptions!$C$17,1)))</f>
        <v>270000</v>
      </c>
      <c r="Q7" s="31" t="n">
        <f aca="false">IF($B7="","",$F7*INDEX(Assumptions!$D$29:$D$40,11)*IF(11&lt;IF(N($C7)&lt;1,1,$C7),0,IF(AND($D7="Yes",11&lt;IF(N($C7)&lt;1,1,$C7)+Assumptions!$C$16),Assumptions!$C$17,1)))</f>
        <v>300000</v>
      </c>
      <c r="R7" s="31" t="n">
        <f aca="false">IF($B7="","",$F7*INDEX(Assumptions!$D$29:$D$40,12)*IF(12&lt;IF(N($C7)&lt;1,1,$C7),0,IF(AND($D7="Yes",12&lt;IF(N($C7)&lt;1,1,$C7)+Assumptions!$C$16),Assumptions!$C$17,1)))</f>
        <v>330000</v>
      </c>
      <c r="S7" s="42" t="n">
        <f aca="false">IF($B7="","",SUM(G7:R7))</f>
        <v>3000000</v>
      </c>
    </row>
    <row r="8" customFormat="false" ht="15" hidden="false" customHeight="false" outlineLevel="0" collapsed="false">
      <c r="B8" s="10" t="s">
        <v>163</v>
      </c>
      <c r="C8" s="40" t="n">
        <v>1</v>
      </c>
      <c r="D8" s="41" t="s">
        <v>162</v>
      </c>
      <c r="E8" s="22"/>
      <c r="F8" s="31" t="n">
        <f aca="false">IF($B8="","",IF(N($E8)&gt;0,$E8,Assumptions!$C$14))</f>
        <v>3000000</v>
      </c>
      <c r="G8" s="31" t="n">
        <f aca="false">IF($B8="","",$F8*INDEX(Assumptions!$D$29:$D$40,1)*IF(1&lt;IF(N($C8)&lt;1,1,$C8),0,IF(AND($D8="Yes",1&lt;IF(N($C8)&lt;1,1,$C8)+Assumptions!$C$16),Assumptions!$C$17,1)))</f>
        <v>210000</v>
      </c>
      <c r="H8" s="31" t="n">
        <f aca="false">IF($B8="","",$F8*INDEX(Assumptions!$D$29:$D$40,2)*IF(2&lt;IF(N($C8)&lt;1,1,$C8),0,IF(AND($D8="Yes",2&lt;IF(N($C8)&lt;1,1,$C8)+Assumptions!$C$16),Assumptions!$C$17,1)))</f>
        <v>240000</v>
      </c>
      <c r="I8" s="31" t="n">
        <f aca="false">IF($B8="","",$F8*INDEX(Assumptions!$D$29:$D$40,3)*IF(3&lt;IF(N($C8)&lt;1,1,$C8),0,IF(AND($D8="Yes",3&lt;IF(N($C8)&lt;1,1,$C8)+Assumptions!$C$16),Assumptions!$C$17,1)))</f>
        <v>270000</v>
      </c>
      <c r="J8" s="31" t="n">
        <f aca="false">IF($B8="","",$F8*INDEX(Assumptions!$D$29:$D$40,4)*IF(4&lt;IF(N($C8)&lt;1,1,$C8),0,IF(AND($D8="Yes",4&lt;IF(N($C8)&lt;1,1,$C8)+Assumptions!$C$16),Assumptions!$C$17,1)))</f>
        <v>240000</v>
      </c>
      <c r="K8" s="31" t="n">
        <f aca="false">IF($B8="","",$F8*INDEX(Assumptions!$D$29:$D$40,5)*IF(5&lt;IF(N($C8)&lt;1,1,$C8),0,IF(AND($D8="Yes",5&lt;IF(N($C8)&lt;1,1,$C8)+Assumptions!$C$16),Assumptions!$C$17,1)))</f>
        <v>270000</v>
      </c>
      <c r="L8" s="31" t="n">
        <f aca="false">IF($B8="","",$F8*INDEX(Assumptions!$D$29:$D$40,6)*IF(6&lt;IF(N($C8)&lt;1,1,$C8),0,IF(AND($D8="Yes",6&lt;IF(N($C8)&lt;1,1,$C8)+Assumptions!$C$16),Assumptions!$C$17,1)))</f>
        <v>270000</v>
      </c>
      <c r="M8" s="31" t="n">
        <f aca="false">IF($B8="","",$F8*INDEX(Assumptions!$D$29:$D$40,7)*IF(7&lt;IF(N($C8)&lt;1,1,$C8),0,IF(AND($D8="Yes",7&lt;IF(N($C8)&lt;1,1,$C8)+Assumptions!$C$16),Assumptions!$C$17,1)))</f>
        <v>120000</v>
      </c>
      <c r="N8" s="31" t="n">
        <f aca="false">IF($B8="","",$F8*INDEX(Assumptions!$D$29:$D$40,8)*IF(8&lt;IF(N($C8)&lt;1,1,$C8),0,IF(AND($D8="Yes",8&lt;IF(N($C8)&lt;1,1,$C8)+Assumptions!$C$16),Assumptions!$C$17,1)))</f>
        <v>210000</v>
      </c>
      <c r="O8" s="31" t="n">
        <f aca="false">IF($B8="","",$F8*INDEX(Assumptions!$D$29:$D$40,9)*IF(9&lt;IF(N($C8)&lt;1,1,$C8),0,IF(AND($D8="Yes",9&lt;IF(N($C8)&lt;1,1,$C8)+Assumptions!$C$16),Assumptions!$C$17,1)))</f>
        <v>270000</v>
      </c>
      <c r="P8" s="31" t="n">
        <f aca="false">IF($B8="","",$F8*INDEX(Assumptions!$D$29:$D$40,10)*IF(10&lt;IF(N($C8)&lt;1,1,$C8),0,IF(AND($D8="Yes",10&lt;IF(N($C8)&lt;1,1,$C8)+Assumptions!$C$16),Assumptions!$C$17,1)))</f>
        <v>270000</v>
      </c>
      <c r="Q8" s="31" t="n">
        <f aca="false">IF($B8="","",$F8*INDEX(Assumptions!$D$29:$D$40,11)*IF(11&lt;IF(N($C8)&lt;1,1,$C8),0,IF(AND($D8="Yes",11&lt;IF(N($C8)&lt;1,1,$C8)+Assumptions!$C$16),Assumptions!$C$17,1)))</f>
        <v>300000</v>
      </c>
      <c r="R8" s="31" t="n">
        <f aca="false">IF($B8="","",$F8*INDEX(Assumptions!$D$29:$D$40,12)*IF(12&lt;IF(N($C8)&lt;1,1,$C8),0,IF(AND($D8="Yes",12&lt;IF(N($C8)&lt;1,1,$C8)+Assumptions!$C$16),Assumptions!$C$17,1)))</f>
        <v>330000</v>
      </c>
      <c r="S8" s="42" t="n">
        <f aca="false">IF($B8="","",SUM(G8:R8))</f>
        <v>3000000</v>
      </c>
    </row>
    <row r="9" customFormat="false" ht="15" hidden="false" customHeight="false" outlineLevel="0" collapsed="false">
      <c r="B9" s="10" t="s">
        <v>164</v>
      </c>
      <c r="C9" s="40" t="n">
        <v>1</v>
      </c>
      <c r="D9" s="41" t="s">
        <v>162</v>
      </c>
      <c r="E9" s="22"/>
      <c r="F9" s="31" t="n">
        <f aca="false">IF($B9="","",IF(N($E9)&gt;0,$E9,Assumptions!$C$14))</f>
        <v>3000000</v>
      </c>
      <c r="G9" s="31" t="n">
        <f aca="false">IF($B9="","",$F9*INDEX(Assumptions!$D$29:$D$40,1)*IF(1&lt;IF(N($C9)&lt;1,1,$C9),0,IF(AND($D9="Yes",1&lt;IF(N($C9)&lt;1,1,$C9)+Assumptions!$C$16),Assumptions!$C$17,1)))</f>
        <v>210000</v>
      </c>
      <c r="H9" s="31" t="n">
        <f aca="false">IF($B9="","",$F9*INDEX(Assumptions!$D$29:$D$40,2)*IF(2&lt;IF(N($C9)&lt;1,1,$C9),0,IF(AND($D9="Yes",2&lt;IF(N($C9)&lt;1,1,$C9)+Assumptions!$C$16),Assumptions!$C$17,1)))</f>
        <v>240000</v>
      </c>
      <c r="I9" s="31" t="n">
        <f aca="false">IF($B9="","",$F9*INDEX(Assumptions!$D$29:$D$40,3)*IF(3&lt;IF(N($C9)&lt;1,1,$C9),0,IF(AND($D9="Yes",3&lt;IF(N($C9)&lt;1,1,$C9)+Assumptions!$C$16),Assumptions!$C$17,1)))</f>
        <v>270000</v>
      </c>
      <c r="J9" s="31" t="n">
        <f aca="false">IF($B9="","",$F9*INDEX(Assumptions!$D$29:$D$40,4)*IF(4&lt;IF(N($C9)&lt;1,1,$C9),0,IF(AND($D9="Yes",4&lt;IF(N($C9)&lt;1,1,$C9)+Assumptions!$C$16),Assumptions!$C$17,1)))</f>
        <v>240000</v>
      </c>
      <c r="K9" s="31" t="n">
        <f aca="false">IF($B9="","",$F9*INDEX(Assumptions!$D$29:$D$40,5)*IF(5&lt;IF(N($C9)&lt;1,1,$C9),0,IF(AND($D9="Yes",5&lt;IF(N($C9)&lt;1,1,$C9)+Assumptions!$C$16),Assumptions!$C$17,1)))</f>
        <v>270000</v>
      </c>
      <c r="L9" s="31" t="n">
        <f aca="false">IF($B9="","",$F9*INDEX(Assumptions!$D$29:$D$40,6)*IF(6&lt;IF(N($C9)&lt;1,1,$C9),0,IF(AND($D9="Yes",6&lt;IF(N($C9)&lt;1,1,$C9)+Assumptions!$C$16),Assumptions!$C$17,1)))</f>
        <v>270000</v>
      </c>
      <c r="M9" s="31" t="n">
        <f aca="false">IF($B9="","",$F9*INDEX(Assumptions!$D$29:$D$40,7)*IF(7&lt;IF(N($C9)&lt;1,1,$C9),0,IF(AND($D9="Yes",7&lt;IF(N($C9)&lt;1,1,$C9)+Assumptions!$C$16),Assumptions!$C$17,1)))</f>
        <v>120000</v>
      </c>
      <c r="N9" s="31" t="n">
        <f aca="false">IF($B9="","",$F9*INDEX(Assumptions!$D$29:$D$40,8)*IF(8&lt;IF(N($C9)&lt;1,1,$C9),0,IF(AND($D9="Yes",8&lt;IF(N($C9)&lt;1,1,$C9)+Assumptions!$C$16),Assumptions!$C$17,1)))</f>
        <v>210000</v>
      </c>
      <c r="O9" s="31" t="n">
        <f aca="false">IF($B9="","",$F9*INDEX(Assumptions!$D$29:$D$40,9)*IF(9&lt;IF(N($C9)&lt;1,1,$C9),0,IF(AND($D9="Yes",9&lt;IF(N($C9)&lt;1,1,$C9)+Assumptions!$C$16),Assumptions!$C$17,1)))</f>
        <v>270000</v>
      </c>
      <c r="P9" s="31" t="n">
        <f aca="false">IF($B9="","",$F9*INDEX(Assumptions!$D$29:$D$40,10)*IF(10&lt;IF(N($C9)&lt;1,1,$C9),0,IF(AND($D9="Yes",10&lt;IF(N($C9)&lt;1,1,$C9)+Assumptions!$C$16),Assumptions!$C$17,1)))</f>
        <v>270000</v>
      </c>
      <c r="Q9" s="31" t="n">
        <f aca="false">IF($B9="","",$F9*INDEX(Assumptions!$D$29:$D$40,11)*IF(11&lt;IF(N($C9)&lt;1,1,$C9),0,IF(AND($D9="Yes",11&lt;IF(N($C9)&lt;1,1,$C9)+Assumptions!$C$16),Assumptions!$C$17,1)))</f>
        <v>300000</v>
      </c>
      <c r="R9" s="31" t="n">
        <f aca="false">IF($B9="","",$F9*INDEX(Assumptions!$D$29:$D$40,12)*IF(12&lt;IF(N($C9)&lt;1,1,$C9),0,IF(AND($D9="Yes",12&lt;IF(N($C9)&lt;1,1,$C9)+Assumptions!$C$16),Assumptions!$C$17,1)))</f>
        <v>330000</v>
      </c>
      <c r="S9" s="42" t="n">
        <f aca="false">IF($B9="","",SUM(G9:R9))</f>
        <v>3000000</v>
      </c>
    </row>
    <row r="10" customFormat="false" ht="15" hidden="false" customHeight="false" outlineLevel="0" collapsed="false">
      <c r="B10" s="10" t="s">
        <v>165</v>
      </c>
      <c r="C10" s="40" t="n">
        <v>1</v>
      </c>
      <c r="D10" s="41" t="s">
        <v>162</v>
      </c>
      <c r="E10" s="22"/>
      <c r="F10" s="31" t="n">
        <f aca="false">IF($B10="","",IF(N($E10)&gt;0,$E10,Assumptions!$C$14))</f>
        <v>3000000</v>
      </c>
      <c r="G10" s="31" t="n">
        <f aca="false">IF($B10="","",$F10*INDEX(Assumptions!$D$29:$D$40,1)*IF(1&lt;IF(N($C10)&lt;1,1,$C10),0,IF(AND($D10="Yes",1&lt;IF(N($C10)&lt;1,1,$C10)+Assumptions!$C$16),Assumptions!$C$17,1)))</f>
        <v>210000</v>
      </c>
      <c r="H10" s="31" t="n">
        <f aca="false">IF($B10="","",$F10*INDEX(Assumptions!$D$29:$D$40,2)*IF(2&lt;IF(N($C10)&lt;1,1,$C10),0,IF(AND($D10="Yes",2&lt;IF(N($C10)&lt;1,1,$C10)+Assumptions!$C$16),Assumptions!$C$17,1)))</f>
        <v>240000</v>
      </c>
      <c r="I10" s="31" t="n">
        <f aca="false">IF($B10="","",$F10*INDEX(Assumptions!$D$29:$D$40,3)*IF(3&lt;IF(N($C10)&lt;1,1,$C10),0,IF(AND($D10="Yes",3&lt;IF(N($C10)&lt;1,1,$C10)+Assumptions!$C$16),Assumptions!$C$17,1)))</f>
        <v>270000</v>
      </c>
      <c r="J10" s="31" t="n">
        <f aca="false">IF($B10="","",$F10*INDEX(Assumptions!$D$29:$D$40,4)*IF(4&lt;IF(N($C10)&lt;1,1,$C10),0,IF(AND($D10="Yes",4&lt;IF(N($C10)&lt;1,1,$C10)+Assumptions!$C$16),Assumptions!$C$17,1)))</f>
        <v>240000</v>
      </c>
      <c r="K10" s="31" t="n">
        <f aca="false">IF($B10="","",$F10*INDEX(Assumptions!$D$29:$D$40,5)*IF(5&lt;IF(N($C10)&lt;1,1,$C10),0,IF(AND($D10="Yes",5&lt;IF(N($C10)&lt;1,1,$C10)+Assumptions!$C$16),Assumptions!$C$17,1)))</f>
        <v>270000</v>
      </c>
      <c r="L10" s="31" t="n">
        <f aca="false">IF($B10="","",$F10*INDEX(Assumptions!$D$29:$D$40,6)*IF(6&lt;IF(N($C10)&lt;1,1,$C10),0,IF(AND($D10="Yes",6&lt;IF(N($C10)&lt;1,1,$C10)+Assumptions!$C$16),Assumptions!$C$17,1)))</f>
        <v>270000</v>
      </c>
      <c r="M10" s="31" t="n">
        <f aca="false">IF($B10="","",$F10*INDEX(Assumptions!$D$29:$D$40,7)*IF(7&lt;IF(N($C10)&lt;1,1,$C10),0,IF(AND($D10="Yes",7&lt;IF(N($C10)&lt;1,1,$C10)+Assumptions!$C$16),Assumptions!$C$17,1)))</f>
        <v>120000</v>
      </c>
      <c r="N10" s="31" t="n">
        <f aca="false">IF($B10="","",$F10*INDEX(Assumptions!$D$29:$D$40,8)*IF(8&lt;IF(N($C10)&lt;1,1,$C10),0,IF(AND($D10="Yes",8&lt;IF(N($C10)&lt;1,1,$C10)+Assumptions!$C$16),Assumptions!$C$17,1)))</f>
        <v>210000</v>
      </c>
      <c r="O10" s="31" t="n">
        <f aca="false">IF($B10="","",$F10*INDEX(Assumptions!$D$29:$D$40,9)*IF(9&lt;IF(N($C10)&lt;1,1,$C10),0,IF(AND($D10="Yes",9&lt;IF(N($C10)&lt;1,1,$C10)+Assumptions!$C$16),Assumptions!$C$17,1)))</f>
        <v>270000</v>
      </c>
      <c r="P10" s="31" t="n">
        <f aca="false">IF($B10="","",$F10*INDEX(Assumptions!$D$29:$D$40,10)*IF(10&lt;IF(N($C10)&lt;1,1,$C10),0,IF(AND($D10="Yes",10&lt;IF(N($C10)&lt;1,1,$C10)+Assumptions!$C$16),Assumptions!$C$17,1)))</f>
        <v>270000</v>
      </c>
      <c r="Q10" s="31" t="n">
        <f aca="false">IF($B10="","",$F10*INDEX(Assumptions!$D$29:$D$40,11)*IF(11&lt;IF(N($C10)&lt;1,1,$C10),0,IF(AND($D10="Yes",11&lt;IF(N($C10)&lt;1,1,$C10)+Assumptions!$C$16),Assumptions!$C$17,1)))</f>
        <v>300000</v>
      </c>
      <c r="R10" s="31" t="n">
        <f aca="false">IF($B10="","",$F10*INDEX(Assumptions!$D$29:$D$40,12)*IF(12&lt;IF(N($C10)&lt;1,1,$C10),0,IF(AND($D10="Yes",12&lt;IF(N($C10)&lt;1,1,$C10)+Assumptions!$C$16),Assumptions!$C$17,1)))</f>
        <v>330000</v>
      </c>
      <c r="S10" s="42" t="n">
        <f aca="false">IF($B10="","",SUM(G10:R10))</f>
        <v>3000000</v>
      </c>
    </row>
    <row r="11" customFormat="false" ht="15" hidden="false" customHeight="false" outlineLevel="0" collapsed="false">
      <c r="B11" s="10" t="s">
        <v>166</v>
      </c>
      <c r="C11" s="40" t="n">
        <v>1</v>
      </c>
      <c r="D11" s="41" t="s">
        <v>162</v>
      </c>
      <c r="E11" s="22"/>
      <c r="F11" s="31" t="n">
        <f aca="false">IF($B11="","",IF(N($E11)&gt;0,$E11,Assumptions!$C$14))</f>
        <v>3000000</v>
      </c>
      <c r="G11" s="31" t="n">
        <f aca="false">IF($B11="","",$F11*INDEX(Assumptions!$D$29:$D$40,1)*IF(1&lt;IF(N($C11)&lt;1,1,$C11),0,IF(AND($D11="Yes",1&lt;IF(N($C11)&lt;1,1,$C11)+Assumptions!$C$16),Assumptions!$C$17,1)))</f>
        <v>210000</v>
      </c>
      <c r="H11" s="31" t="n">
        <f aca="false">IF($B11="","",$F11*INDEX(Assumptions!$D$29:$D$40,2)*IF(2&lt;IF(N($C11)&lt;1,1,$C11),0,IF(AND($D11="Yes",2&lt;IF(N($C11)&lt;1,1,$C11)+Assumptions!$C$16),Assumptions!$C$17,1)))</f>
        <v>240000</v>
      </c>
      <c r="I11" s="31" t="n">
        <f aca="false">IF($B11="","",$F11*INDEX(Assumptions!$D$29:$D$40,3)*IF(3&lt;IF(N($C11)&lt;1,1,$C11),0,IF(AND($D11="Yes",3&lt;IF(N($C11)&lt;1,1,$C11)+Assumptions!$C$16),Assumptions!$C$17,1)))</f>
        <v>270000</v>
      </c>
      <c r="J11" s="31" t="n">
        <f aca="false">IF($B11="","",$F11*INDEX(Assumptions!$D$29:$D$40,4)*IF(4&lt;IF(N($C11)&lt;1,1,$C11),0,IF(AND($D11="Yes",4&lt;IF(N($C11)&lt;1,1,$C11)+Assumptions!$C$16),Assumptions!$C$17,1)))</f>
        <v>240000</v>
      </c>
      <c r="K11" s="31" t="n">
        <f aca="false">IF($B11="","",$F11*INDEX(Assumptions!$D$29:$D$40,5)*IF(5&lt;IF(N($C11)&lt;1,1,$C11),0,IF(AND($D11="Yes",5&lt;IF(N($C11)&lt;1,1,$C11)+Assumptions!$C$16),Assumptions!$C$17,1)))</f>
        <v>270000</v>
      </c>
      <c r="L11" s="31" t="n">
        <f aca="false">IF($B11="","",$F11*INDEX(Assumptions!$D$29:$D$40,6)*IF(6&lt;IF(N($C11)&lt;1,1,$C11),0,IF(AND($D11="Yes",6&lt;IF(N($C11)&lt;1,1,$C11)+Assumptions!$C$16),Assumptions!$C$17,1)))</f>
        <v>270000</v>
      </c>
      <c r="M11" s="31" t="n">
        <f aca="false">IF($B11="","",$F11*INDEX(Assumptions!$D$29:$D$40,7)*IF(7&lt;IF(N($C11)&lt;1,1,$C11),0,IF(AND($D11="Yes",7&lt;IF(N($C11)&lt;1,1,$C11)+Assumptions!$C$16),Assumptions!$C$17,1)))</f>
        <v>120000</v>
      </c>
      <c r="N11" s="31" t="n">
        <f aca="false">IF($B11="","",$F11*INDEX(Assumptions!$D$29:$D$40,8)*IF(8&lt;IF(N($C11)&lt;1,1,$C11),0,IF(AND($D11="Yes",8&lt;IF(N($C11)&lt;1,1,$C11)+Assumptions!$C$16),Assumptions!$C$17,1)))</f>
        <v>210000</v>
      </c>
      <c r="O11" s="31" t="n">
        <f aca="false">IF($B11="","",$F11*INDEX(Assumptions!$D$29:$D$40,9)*IF(9&lt;IF(N($C11)&lt;1,1,$C11),0,IF(AND($D11="Yes",9&lt;IF(N($C11)&lt;1,1,$C11)+Assumptions!$C$16),Assumptions!$C$17,1)))</f>
        <v>270000</v>
      </c>
      <c r="P11" s="31" t="n">
        <f aca="false">IF($B11="","",$F11*INDEX(Assumptions!$D$29:$D$40,10)*IF(10&lt;IF(N($C11)&lt;1,1,$C11),0,IF(AND($D11="Yes",10&lt;IF(N($C11)&lt;1,1,$C11)+Assumptions!$C$16),Assumptions!$C$17,1)))</f>
        <v>270000</v>
      </c>
      <c r="Q11" s="31" t="n">
        <f aca="false">IF($B11="","",$F11*INDEX(Assumptions!$D$29:$D$40,11)*IF(11&lt;IF(N($C11)&lt;1,1,$C11),0,IF(AND($D11="Yes",11&lt;IF(N($C11)&lt;1,1,$C11)+Assumptions!$C$16),Assumptions!$C$17,1)))</f>
        <v>300000</v>
      </c>
      <c r="R11" s="31" t="n">
        <f aca="false">IF($B11="","",$F11*INDEX(Assumptions!$D$29:$D$40,12)*IF(12&lt;IF(N($C11)&lt;1,1,$C11),0,IF(AND($D11="Yes",12&lt;IF(N($C11)&lt;1,1,$C11)+Assumptions!$C$16),Assumptions!$C$17,1)))</f>
        <v>330000</v>
      </c>
      <c r="S11" s="42" t="n">
        <f aca="false">IF($B11="","",SUM(G11:R11))</f>
        <v>3000000</v>
      </c>
    </row>
    <row r="12" customFormat="false" ht="15" hidden="false" customHeight="false" outlineLevel="0" collapsed="false">
      <c r="B12" s="10" t="s">
        <v>167</v>
      </c>
      <c r="C12" s="40" t="n">
        <v>1</v>
      </c>
      <c r="D12" s="41" t="s">
        <v>162</v>
      </c>
      <c r="E12" s="22"/>
      <c r="F12" s="31" t="n">
        <f aca="false">IF($B12="","",IF(N($E12)&gt;0,$E12,Assumptions!$C$14))</f>
        <v>3000000</v>
      </c>
      <c r="G12" s="31" t="n">
        <f aca="false">IF($B12="","",$F12*INDEX(Assumptions!$D$29:$D$40,1)*IF(1&lt;IF(N($C12)&lt;1,1,$C12),0,IF(AND($D12="Yes",1&lt;IF(N($C12)&lt;1,1,$C12)+Assumptions!$C$16),Assumptions!$C$17,1)))</f>
        <v>210000</v>
      </c>
      <c r="H12" s="31" t="n">
        <f aca="false">IF($B12="","",$F12*INDEX(Assumptions!$D$29:$D$40,2)*IF(2&lt;IF(N($C12)&lt;1,1,$C12),0,IF(AND($D12="Yes",2&lt;IF(N($C12)&lt;1,1,$C12)+Assumptions!$C$16),Assumptions!$C$17,1)))</f>
        <v>240000</v>
      </c>
      <c r="I12" s="31" t="n">
        <f aca="false">IF($B12="","",$F12*INDEX(Assumptions!$D$29:$D$40,3)*IF(3&lt;IF(N($C12)&lt;1,1,$C12),0,IF(AND($D12="Yes",3&lt;IF(N($C12)&lt;1,1,$C12)+Assumptions!$C$16),Assumptions!$C$17,1)))</f>
        <v>270000</v>
      </c>
      <c r="J12" s="31" t="n">
        <f aca="false">IF($B12="","",$F12*INDEX(Assumptions!$D$29:$D$40,4)*IF(4&lt;IF(N($C12)&lt;1,1,$C12),0,IF(AND($D12="Yes",4&lt;IF(N($C12)&lt;1,1,$C12)+Assumptions!$C$16),Assumptions!$C$17,1)))</f>
        <v>240000</v>
      </c>
      <c r="K12" s="31" t="n">
        <f aca="false">IF($B12="","",$F12*INDEX(Assumptions!$D$29:$D$40,5)*IF(5&lt;IF(N($C12)&lt;1,1,$C12),0,IF(AND($D12="Yes",5&lt;IF(N($C12)&lt;1,1,$C12)+Assumptions!$C$16),Assumptions!$C$17,1)))</f>
        <v>270000</v>
      </c>
      <c r="L12" s="31" t="n">
        <f aca="false">IF($B12="","",$F12*INDEX(Assumptions!$D$29:$D$40,6)*IF(6&lt;IF(N($C12)&lt;1,1,$C12),0,IF(AND($D12="Yes",6&lt;IF(N($C12)&lt;1,1,$C12)+Assumptions!$C$16),Assumptions!$C$17,1)))</f>
        <v>270000</v>
      </c>
      <c r="M12" s="31" t="n">
        <f aca="false">IF($B12="","",$F12*INDEX(Assumptions!$D$29:$D$40,7)*IF(7&lt;IF(N($C12)&lt;1,1,$C12),0,IF(AND($D12="Yes",7&lt;IF(N($C12)&lt;1,1,$C12)+Assumptions!$C$16),Assumptions!$C$17,1)))</f>
        <v>120000</v>
      </c>
      <c r="N12" s="31" t="n">
        <f aca="false">IF($B12="","",$F12*INDEX(Assumptions!$D$29:$D$40,8)*IF(8&lt;IF(N($C12)&lt;1,1,$C12),0,IF(AND($D12="Yes",8&lt;IF(N($C12)&lt;1,1,$C12)+Assumptions!$C$16),Assumptions!$C$17,1)))</f>
        <v>210000</v>
      </c>
      <c r="O12" s="31" t="n">
        <f aca="false">IF($B12="","",$F12*INDEX(Assumptions!$D$29:$D$40,9)*IF(9&lt;IF(N($C12)&lt;1,1,$C12),0,IF(AND($D12="Yes",9&lt;IF(N($C12)&lt;1,1,$C12)+Assumptions!$C$16),Assumptions!$C$17,1)))</f>
        <v>270000</v>
      </c>
      <c r="P12" s="31" t="n">
        <f aca="false">IF($B12="","",$F12*INDEX(Assumptions!$D$29:$D$40,10)*IF(10&lt;IF(N($C12)&lt;1,1,$C12),0,IF(AND($D12="Yes",10&lt;IF(N($C12)&lt;1,1,$C12)+Assumptions!$C$16),Assumptions!$C$17,1)))</f>
        <v>270000</v>
      </c>
      <c r="Q12" s="31" t="n">
        <f aca="false">IF($B12="","",$F12*INDEX(Assumptions!$D$29:$D$40,11)*IF(11&lt;IF(N($C12)&lt;1,1,$C12),0,IF(AND($D12="Yes",11&lt;IF(N($C12)&lt;1,1,$C12)+Assumptions!$C$16),Assumptions!$C$17,1)))</f>
        <v>300000</v>
      </c>
      <c r="R12" s="31" t="n">
        <f aca="false">IF($B12="","",$F12*INDEX(Assumptions!$D$29:$D$40,12)*IF(12&lt;IF(N($C12)&lt;1,1,$C12),0,IF(AND($D12="Yes",12&lt;IF(N($C12)&lt;1,1,$C12)+Assumptions!$C$16),Assumptions!$C$17,1)))</f>
        <v>330000</v>
      </c>
      <c r="S12" s="42" t="n">
        <f aca="false">IF($B12="","",SUM(G12:R12))</f>
        <v>3000000</v>
      </c>
    </row>
    <row r="13" customFormat="false" ht="15" hidden="false" customHeight="false" outlineLevel="0" collapsed="false">
      <c r="B13" s="10" t="s">
        <v>168</v>
      </c>
      <c r="C13" s="40" t="n">
        <v>1</v>
      </c>
      <c r="D13" s="41" t="s">
        <v>162</v>
      </c>
      <c r="E13" s="22"/>
      <c r="F13" s="31" t="n">
        <f aca="false">IF($B13="","",IF(N($E13)&gt;0,$E13,Assumptions!$C$14))</f>
        <v>3000000</v>
      </c>
      <c r="G13" s="31" t="n">
        <f aca="false">IF($B13="","",$F13*INDEX(Assumptions!$D$29:$D$40,1)*IF(1&lt;IF(N($C13)&lt;1,1,$C13),0,IF(AND($D13="Yes",1&lt;IF(N($C13)&lt;1,1,$C13)+Assumptions!$C$16),Assumptions!$C$17,1)))</f>
        <v>210000</v>
      </c>
      <c r="H13" s="31" t="n">
        <f aca="false">IF($B13="","",$F13*INDEX(Assumptions!$D$29:$D$40,2)*IF(2&lt;IF(N($C13)&lt;1,1,$C13),0,IF(AND($D13="Yes",2&lt;IF(N($C13)&lt;1,1,$C13)+Assumptions!$C$16),Assumptions!$C$17,1)))</f>
        <v>240000</v>
      </c>
      <c r="I13" s="31" t="n">
        <f aca="false">IF($B13="","",$F13*INDEX(Assumptions!$D$29:$D$40,3)*IF(3&lt;IF(N($C13)&lt;1,1,$C13),0,IF(AND($D13="Yes",3&lt;IF(N($C13)&lt;1,1,$C13)+Assumptions!$C$16),Assumptions!$C$17,1)))</f>
        <v>270000</v>
      </c>
      <c r="J13" s="31" t="n">
        <f aca="false">IF($B13="","",$F13*INDEX(Assumptions!$D$29:$D$40,4)*IF(4&lt;IF(N($C13)&lt;1,1,$C13),0,IF(AND($D13="Yes",4&lt;IF(N($C13)&lt;1,1,$C13)+Assumptions!$C$16),Assumptions!$C$17,1)))</f>
        <v>240000</v>
      </c>
      <c r="K13" s="31" t="n">
        <f aca="false">IF($B13="","",$F13*INDEX(Assumptions!$D$29:$D$40,5)*IF(5&lt;IF(N($C13)&lt;1,1,$C13),0,IF(AND($D13="Yes",5&lt;IF(N($C13)&lt;1,1,$C13)+Assumptions!$C$16),Assumptions!$C$17,1)))</f>
        <v>270000</v>
      </c>
      <c r="L13" s="31" t="n">
        <f aca="false">IF($B13="","",$F13*INDEX(Assumptions!$D$29:$D$40,6)*IF(6&lt;IF(N($C13)&lt;1,1,$C13),0,IF(AND($D13="Yes",6&lt;IF(N($C13)&lt;1,1,$C13)+Assumptions!$C$16),Assumptions!$C$17,1)))</f>
        <v>270000</v>
      </c>
      <c r="M13" s="31" t="n">
        <f aca="false">IF($B13="","",$F13*INDEX(Assumptions!$D$29:$D$40,7)*IF(7&lt;IF(N($C13)&lt;1,1,$C13),0,IF(AND($D13="Yes",7&lt;IF(N($C13)&lt;1,1,$C13)+Assumptions!$C$16),Assumptions!$C$17,1)))</f>
        <v>120000</v>
      </c>
      <c r="N13" s="31" t="n">
        <f aca="false">IF($B13="","",$F13*INDEX(Assumptions!$D$29:$D$40,8)*IF(8&lt;IF(N($C13)&lt;1,1,$C13),0,IF(AND($D13="Yes",8&lt;IF(N($C13)&lt;1,1,$C13)+Assumptions!$C$16),Assumptions!$C$17,1)))</f>
        <v>210000</v>
      </c>
      <c r="O13" s="31" t="n">
        <f aca="false">IF($B13="","",$F13*INDEX(Assumptions!$D$29:$D$40,9)*IF(9&lt;IF(N($C13)&lt;1,1,$C13),0,IF(AND($D13="Yes",9&lt;IF(N($C13)&lt;1,1,$C13)+Assumptions!$C$16),Assumptions!$C$17,1)))</f>
        <v>270000</v>
      </c>
      <c r="P13" s="31" t="n">
        <f aca="false">IF($B13="","",$F13*INDEX(Assumptions!$D$29:$D$40,10)*IF(10&lt;IF(N($C13)&lt;1,1,$C13),0,IF(AND($D13="Yes",10&lt;IF(N($C13)&lt;1,1,$C13)+Assumptions!$C$16),Assumptions!$C$17,1)))</f>
        <v>270000</v>
      </c>
      <c r="Q13" s="31" t="n">
        <f aca="false">IF($B13="","",$F13*INDEX(Assumptions!$D$29:$D$40,11)*IF(11&lt;IF(N($C13)&lt;1,1,$C13),0,IF(AND($D13="Yes",11&lt;IF(N($C13)&lt;1,1,$C13)+Assumptions!$C$16),Assumptions!$C$17,1)))</f>
        <v>300000</v>
      </c>
      <c r="R13" s="31" t="n">
        <f aca="false">IF($B13="","",$F13*INDEX(Assumptions!$D$29:$D$40,12)*IF(12&lt;IF(N($C13)&lt;1,1,$C13),0,IF(AND($D13="Yes",12&lt;IF(N($C13)&lt;1,1,$C13)+Assumptions!$C$16),Assumptions!$C$17,1)))</f>
        <v>330000</v>
      </c>
      <c r="S13" s="42" t="n">
        <f aca="false">IF($B13="","",SUM(G13:R13))</f>
        <v>3000000</v>
      </c>
    </row>
    <row r="14" customFormat="false" ht="15" hidden="false" customHeight="false" outlineLevel="0" collapsed="false">
      <c r="B14" s="10" t="s">
        <v>169</v>
      </c>
      <c r="C14" s="40" t="n">
        <v>1</v>
      </c>
      <c r="D14" s="41" t="s">
        <v>170</v>
      </c>
      <c r="E14" s="22"/>
      <c r="F14" s="31" t="n">
        <f aca="false">IF($B14="","",IF(N($E14)&gt;0,$E14,Assumptions!$C$14))</f>
        <v>3000000</v>
      </c>
      <c r="G14" s="31" t="n">
        <f aca="false">IF($B14="","",$F14*INDEX(Assumptions!$D$29:$D$40,1)*IF(1&lt;IF(N($C14)&lt;1,1,$C14),0,IF(AND($D14="Yes",1&lt;IF(N($C14)&lt;1,1,$C14)+Assumptions!$C$16),Assumptions!$C$17,1)))</f>
        <v>105000</v>
      </c>
      <c r="H14" s="31" t="n">
        <f aca="false">IF($B14="","",$F14*INDEX(Assumptions!$D$29:$D$40,2)*IF(2&lt;IF(N($C14)&lt;1,1,$C14),0,IF(AND($D14="Yes",2&lt;IF(N($C14)&lt;1,1,$C14)+Assumptions!$C$16),Assumptions!$C$17,1)))</f>
        <v>120000</v>
      </c>
      <c r="I14" s="31" t="n">
        <f aca="false">IF($B14="","",$F14*INDEX(Assumptions!$D$29:$D$40,3)*IF(3&lt;IF(N($C14)&lt;1,1,$C14),0,IF(AND($D14="Yes",3&lt;IF(N($C14)&lt;1,1,$C14)+Assumptions!$C$16),Assumptions!$C$17,1)))</f>
        <v>135000</v>
      </c>
      <c r="J14" s="31" t="n">
        <f aca="false">IF($B14="","",$F14*INDEX(Assumptions!$D$29:$D$40,4)*IF(4&lt;IF(N($C14)&lt;1,1,$C14),0,IF(AND($D14="Yes",4&lt;IF(N($C14)&lt;1,1,$C14)+Assumptions!$C$16),Assumptions!$C$17,1)))</f>
        <v>120000</v>
      </c>
      <c r="K14" s="31" t="n">
        <f aca="false">IF($B14="","",$F14*INDEX(Assumptions!$D$29:$D$40,5)*IF(5&lt;IF(N($C14)&lt;1,1,$C14),0,IF(AND($D14="Yes",5&lt;IF(N($C14)&lt;1,1,$C14)+Assumptions!$C$16),Assumptions!$C$17,1)))</f>
        <v>270000</v>
      </c>
      <c r="L14" s="31" t="n">
        <f aca="false">IF($B14="","",$F14*INDEX(Assumptions!$D$29:$D$40,6)*IF(6&lt;IF(N($C14)&lt;1,1,$C14),0,IF(AND($D14="Yes",6&lt;IF(N($C14)&lt;1,1,$C14)+Assumptions!$C$16),Assumptions!$C$17,1)))</f>
        <v>270000</v>
      </c>
      <c r="M14" s="31" t="n">
        <f aca="false">IF($B14="","",$F14*INDEX(Assumptions!$D$29:$D$40,7)*IF(7&lt;IF(N($C14)&lt;1,1,$C14),0,IF(AND($D14="Yes",7&lt;IF(N($C14)&lt;1,1,$C14)+Assumptions!$C$16),Assumptions!$C$17,1)))</f>
        <v>120000</v>
      </c>
      <c r="N14" s="31" t="n">
        <f aca="false">IF($B14="","",$F14*INDEX(Assumptions!$D$29:$D$40,8)*IF(8&lt;IF(N($C14)&lt;1,1,$C14),0,IF(AND($D14="Yes",8&lt;IF(N($C14)&lt;1,1,$C14)+Assumptions!$C$16),Assumptions!$C$17,1)))</f>
        <v>210000</v>
      </c>
      <c r="O14" s="31" t="n">
        <f aca="false">IF($B14="","",$F14*INDEX(Assumptions!$D$29:$D$40,9)*IF(9&lt;IF(N($C14)&lt;1,1,$C14),0,IF(AND($D14="Yes",9&lt;IF(N($C14)&lt;1,1,$C14)+Assumptions!$C$16),Assumptions!$C$17,1)))</f>
        <v>270000</v>
      </c>
      <c r="P14" s="31" t="n">
        <f aca="false">IF($B14="","",$F14*INDEX(Assumptions!$D$29:$D$40,10)*IF(10&lt;IF(N($C14)&lt;1,1,$C14),0,IF(AND($D14="Yes",10&lt;IF(N($C14)&lt;1,1,$C14)+Assumptions!$C$16),Assumptions!$C$17,1)))</f>
        <v>270000</v>
      </c>
      <c r="Q14" s="31" t="n">
        <f aca="false">IF($B14="","",$F14*INDEX(Assumptions!$D$29:$D$40,11)*IF(11&lt;IF(N($C14)&lt;1,1,$C14),0,IF(AND($D14="Yes",11&lt;IF(N($C14)&lt;1,1,$C14)+Assumptions!$C$16),Assumptions!$C$17,1)))</f>
        <v>300000</v>
      </c>
      <c r="R14" s="31" t="n">
        <f aca="false">IF($B14="","",$F14*INDEX(Assumptions!$D$29:$D$40,12)*IF(12&lt;IF(N($C14)&lt;1,1,$C14),0,IF(AND($D14="Yes",12&lt;IF(N($C14)&lt;1,1,$C14)+Assumptions!$C$16),Assumptions!$C$17,1)))</f>
        <v>330000</v>
      </c>
      <c r="S14" s="42" t="n">
        <f aca="false">IF($B14="","",SUM(G14:R14))</f>
        <v>2520000</v>
      </c>
    </row>
    <row r="15" customFormat="false" ht="15" hidden="false" customHeight="false" outlineLevel="0" collapsed="false">
      <c r="B15" s="10" t="s">
        <v>171</v>
      </c>
      <c r="C15" s="40" t="n">
        <v>2</v>
      </c>
      <c r="D15" s="41" t="s">
        <v>170</v>
      </c>
      <c r="E15" s="22"/>
      <c r="F15" s="31" t="n">
        <f aca="false">IF($B15="","",IF(N($E15)&gt;0,$E15,Assumptions!$C$14))</f>
        <v>3000000</v>
      </c>
      <c r="G15" s="31" t="n">
        <f aca="false">IF($B15="","",$F15*INDEX(Assumptions!$D$29:$D$40,1)*IF(1&lt;IF(N($C15)&lt;1,1,$C15),0,IF(AND($D15="Yes",1&lt;IF(N($C15)&lt;1,1,$C15)+Assumptions!$C$16),Assumptions!$C$17,1)))</f>
        <v>0</v>
      </c>
      <c r="H15" s="31" t="n">
        <f aca="false">IF($B15="","",$F15*INDEX(Assumptions!$D$29:$D$40,2)*IF(2&lt;IF(N($C15)&lt;1,1,$C15),0,IF(AND($D15="Yes",2&lt;IF(N($C15)&lt;1,1,$C15)+Assumptions!$C$16),Assumptions!$C$17,1)))</f>
        <v>120000</v>
      </c>
      <c r="I15" s="31" t="n">
        <f aca="false">IF($B15="","",$F15*INDEX(Assumptions!$D$29:$D$40,3)*IF(3&lt;IF(N($C15)&lt;1,1,$C15),0,IF(AND($D15="Yes",3&lt;IF(N($C15)&lt;1,1,$C15)+Assumptions!$C$16),Assumptions!$C$17,1)))</f>
        <v>135000</v>
      </c>
      <c r="J15" s="31" t="n">
        <f aca="false">IF($B15="","",$F15*INDEX(Assumptions!$D$29:$D$40,4)*IF(4&lt;IF(N($C15)&lt;1,1,$C15),0,IF(AND($D15="Yes",4&lt;IF(N($C15)&lt;1,1,$C15)+Assumptions!$C$16),Assumptions!$C$17,1)))</f>
        <v>120000</v>
      </c>
      <c r="K15" s="31" t="n">
        <f aca="false">IF($B15="","",$F15*INDEX(Assumptions!$D$29:$D$40,5)*IF(5&lt;IF(N($C15)&lt;1,1,$C15),0,IF(AND($D15="Yes",5&lt;IF(N($C15)&lt;1,1,$C15)+Assumptions!$C$16),Assumptions!$C$17,1)))</f>
        <v>135000</v>
      </c>
      <c r="L15" s="31" t="n">
        <f aca="false">IF($B15="","",$F15*INDEX(Assumptions!$D$29:$D$40,6)*IF(6&lt;IF(N($C15)&lt;1,1,$C15),0,IF(AND($D15="Yes",6&lt;IF(N($C15)&lt;1,1,$C15)+Assumptions!$C$16),Assumptions!$C$17,1)))</f>
        <v>270000</v>
      </c>
      <c r="M15" s="31" t="n">
        <f aca="false">IF($B15="","",$F15*INDEX(Assumptions!$D$29:$D$40,7)*IF(7&lt;IF(N($C15)&lt;1,1,$C15),0,IF(AND($D15="Yes",7&lt;IF(N($C15)&lt;1,1,$C15)+Assumptions!$C$16),Assumptions!$C$17,1)))</f>
        <v>120000</v>
      </c>
      <c r="N15" s="31" t="n">
        <f aca="false">IF($B15="","",$F15*INDEX(Assumptions!$D$29:$D$40,8)*IF(8&lt;IF(N($C15)&lt;1,1,$C15),0,IF(AND($D15="Yes",8&lt;IF(N($C15)&lt;1,1,$C15)+Assumptions!$C$16),Assumptions!$C$17,1)))</f>
        <v>210000</v>
      </c>
      <c r="O15" s="31" t="n">
        <f aca="false">IF($B15="","",$F15*INDEX(Assumptions!$D$29:$D$40,9)*IF(9&lt;IF(N($C15)&lt;1,1,$C15),0,IF(AND($D15="Yes",9&lt;IF(N($C15)&lt;1,1,$C15)+Assumptions!$C$16),Assumptions!$C$17,1)))</f>
        <v>270000</v>
      </c>
      <c r="P15" s="31" t="n">
        <f aca="false">IF($B15="","",$F15*INDEX(Assumptions!$D$29:$D$40,10)*IF(10&lt;IF(N($C15)&lt;1,1,$C15),0,IF(AND($D15="Yes",10&lt;IF(N($C15)&lt;1,1,$C15)+Assumptions!$C$16),Assumptions!$C$17,1)))</f>
        <v>270000</v>
      </c>
      <c r="Q15" s="31" t="n">
        <f aca="false">IF($B15="","",$F15*INDEX(Assumptions!$D$29:$D$40,11)*IF(11&lt;IF(N($C15)&lt;1,1,$C15),0,IF(AND($D15="Yes",11&lt;IF(N($C15)&lt;1,1,$C15)+Assumptions!$C$16),Assumptions!$C$17,1)))</f>
        <v>300000</v>
      </c>
      <c r="R15" s="31" t="n">
        <f aca="false">IF($B15="","",$F15*INDEX(Assumptions!$D$29:$D$40,12)*IF(12&lt;IF(N($C15)&lt;1,1,$C15),0,IF(AND($D15="Yes",12&lt;IF(N($C15)&lt;1,1,$C15)+Assumptions!$C$16),Assumptions!$C$17,1)))</f>
        <v>330000</v>
      </c>
      <c r="S15" s="42" t="n">
        <f aca="false">IF($B15="","",SUM(G15:R15))</f>
        <v>2280000</v>
      </c>
    </row>
    <row r="16" customFormat="false" ht="15" hidden="false" customHeight="false" outlineLevel="0" collapsed="false">
      <c r="B16" s="10" t="s">
        <v>172</v>
      </c>
      <c r="C16" s="40" t="n">
        <v>4</v>
      </c>
      <c r="D16" s="41" t="s">
        <v>170</v>
      </c>
      <c r="E16" s="22"/>
      <c r="F16" s="31" t="n">
        <f aca="false">IF($B16="","",IF(N($E16)&gt;0,$E16,Assumptions!$C$14))</f>
        <v>3000000</v>
      </c>
      <c r="G16" s="31" t="n">
        <f aca="false">IF($B16="","",$F16*INDEX(Assumptions!$D$29:$D$40,1)*IF(1&lt;IF(N($C16)&lt;1,1,$C16),0,IF(AND($D16="Yes",1&lt;IF(N($C16)&lt;1,1,$C16)+Assumptions!$C$16),Assumptions!$C$17,1)))</f>
        <v>0</v>
      </c>
      <c r="H16" s="31" t="n">
        <f aca="false">IF($B16="","",$F16*INDEX(Assumptions!$D$29:$D$40,2)*IF(2&lt;IF(N($C16)&lt;1,1,$C16),0,IF(AND($D16="Yes",2&lt;IF(N($C16)&lt;1,1,$C16)+Assumptions!$C$16),Assumptions!$C$17,1)))</f>
        <v>0</v>
      </c>
      <c r="I16" s="31" t="n">
        <f aca="false">IF($B16="","",$F16*INDEX(Assumptions!$D$29:$D$40,3)*IF(3&lt;IF(N($C16)&lt;1,1,$C16),0,IF(AND($D16="Yes",3&lt;IF(N($C16)&lt;1,1,$C16)+Assumptions!$C$16),Assumptions!$C$17,1)))</f>
        <v>0</v>
      </c>
      <c r="J16" s="31" t="n">
        <f aca="false">IF($B16="","",$F16*INDEX(Assumptions!$D$29:$D$40,4)*IF(4&lt;IF(N($C16)&lt;1,1,$C16),0,IF(AND($D16="Yes",4&lt;IF(N($C16)&lt;1,1,$C16)+Assumptions!$C$16),Assumptions!$C$17,1)))</f>
        <v>120000</v>
      </c>
      <c r="K16" s="31" t="n">
        <f aca="false">IF($B16="","",$F16*INDEX(Assumptions!$D$29:$D$40,5)*IF(5&lt;IF(N($C16)&lt;1,1,$C16),0,IF(AND($D16="Yes",5&lt;IF(N($C16)&lt;1,1,$C16)+Assumptions!$C$16),Assumptions!$C$17,1)))</f>
        <v>135000</v>
      </c>
      <c r="L16" s="31" t="n">
        <f aca="false">IF($B16="","",$F16*INDEX(Assumptions!$D$29:$D$40,6)*IF(6&lt;IF(N($C16)&lt;1,1,$C16),0,IF(AND($D16="Yes",6&lt;IF(N($C16)&lt;1,1,$C16)+Assumptions!$C$16),Assumptions!$C$17,1)))</f>
        <v>135000</v>
      </c>
      <c r="M16" s="31" t="n">
        <f aca="false">IF($B16="","",$F16*INDEX(Assumptions!$D$29:$D$40,7)*IF(7&lt;IF(N($C16)&lt;1,1,$C16),0,IF(AND($D16="Yes",7&lt;IF(N($C16)&lt;1,1,$C16)+Assumptions!$C$16),Assumptions!$C$17,1)))</f>
        <v>60000</v>
      </c>
      <c r="N16" s="31" t="n">
        <f aca="false">IF($B16="","",$F16*INDEX(Assumptions!$D$29:$D$40,8)*IF(8&lt;IF(N($C16)&lt;1,1,$C16),0,IF(AND($D16="Yes",8&lt;IF(N($C16)&lt;1,1,$C16)+Assumptions!$C$16),Assumptions!$C$17,1)))</f>
        <v>210000</v>
      </c>
      <c r="O16" s="31" t="n">
        <f aca="false">IF($B16="","",$F16*INDEX(Assumptions!$D$29:$D$40,9)*IF(9&lt;IF(N($C16)&lt;1,1,$C16),0,IF(AND($D16="Yes",9&lt;IF(N($C16)&lt;1,1,$C16)+Assumptions!$C$16),Assumptions!$C$17,1)))</f>
        <v>270000</v>
      </c>
      <c r="P16" s="31" t="n">
        <f aca="false">IF($B16="","",$F16*INDEX(Assumptions!$D$29:$D$40,10)*IF(10&lt;IF(N($C16)&lt;1,1,$C16),0,IF(AND($D16="Yes",10&lt;IF(N($C16)&lt;1,1,$C16)+Assumptions!$C$16),Assumptions!$C$17,1)))</f>
        <v>270000</v>
      </c>
      <c r="Q16" s="31" t="n">
        <f aca="false">IF($B16="","",$F16*INDEX(Assumptions!$D$29:$D$40,11)*IF(11&lt;IF(N($C16)&lt;1,1,$C16),0,IF(AND($D16="Yes",11&lt;IF(N($C16)&lt;1,1,$C16)+Assumptions!$C$16),Assumptions!$C$17,1)))</f>
        <v>300000</v>
      </c>
      <c r="R16" s="31" t="n">
        <f aca="false">IF($B16="","",$F16*INDEX(Assumptions!$D$29:$D$40,12)*IF(12&lt;IF(N($C16)&lt;1,1,$C16),0,IF(AND($D16="Yes",12&lt;IF(N($C16)&lt;1,1,$C16)+Assumptions!$C$16),Assumptions!$C$17,1)))</f>
        <v>330000</v>
      </c>
      <c r="S16" s="42" t="n">
        <f aca="false">IF($B16="","",SUM(G16:R16))</f>
        <v>1830000</v>
      </c>
    </row>
    <row r="17" customFormat="false" ht="15" hidden="false" customHeight="false" outlineLevel="0" collapsed="false">
      <c r="B17" s="10"/>
      <c r="C17" s="40"/>
      <c r="D17" s="41"/>
      <c r="E17" s="22"/>
      <c r="F17" s="31" t="str">
        <f aca="false">IF($B17="","",IF(N($E17)&gt;0,$E17,Assumptions!$C$14))</f>
        <v/>
      </c>
      <c r="G17" s="31" t="str">
        <f aca="false">IF($B17="","",$F17*INDEX(Assumptions!$D$29:$D$40,1)*IF(1&lt;IF(N($C17)&lt;1,1,$C17),0,IF(AND($D17="Yes",1&lt;IF(N($C17)&lt;1,1,$C17)+Assumptions!$C$16),Assumptions!$C$17,1)))</f>
        <v/>
      </c>
      <c r="H17" s="31" t="str">
        <f aca="false">IF($B17="","",$F17*INDEX(Assumptions!$D$29:$D$40,2)*IF(2&lt;IF(N($C17)&lt;1,1,$C17),0,IF(AND($D17="Yes",2&lt;IF(N($C17)&lt;1,1,$C17)+Assumptions!$C$16),Assumptions!$C$17,1)))</f>
        <v/>
      </c>
      <c r="I17" s="31" t="str">
        <f aca="false">IF($B17="","",$F17*INDEX(Assumptions!$D$29:$D$40,3)*IF(3&lt;IF(N($C17)&lt;1,1,$C17),0,IF(AND($D17="Yes",3&lt;IF(N($C17)&lt;1,1,$C17)+Assumptions!$C$16),Assumptions!$C$17,1)))</f>
        <v/>
      </c>
      <c r="J17" s="31" t="str">
        <f aca="false">IF($B17="","",$F17*INDEX(Assumptions!$D$29:$D$40,4)*IF(4&lt;IF(N($C17)&lt;1,1,$C17),0,IF(AND($D17="Yes",4&lt;IF(N($C17)&lt;1,1,$C17)+Assumptions!$C$16),Assumptions!$C$17,1)))</f>
        <v/>
      </c>
      <c r="K17" s="31" t="str">
        <f aca="false">IF($B17="","",$F17*INDEX(Assumptions!$D$29:$D$40,5)*IF(5&lt;IF(N($C17)&lt;1,1,$C17),0,IF(AND($D17="Yes",5&lt;IF(N($C17)&lt;1,1,$C17)+Assumptions!$C$16),Assumptions!$C$17,1)))</f>
        <v/>
      </c>
      <c r="L17" s="31" t="str">
        <f aca="false">IF($B17="","",$F17*INDEX(Assumptions!$D$29:$D$40,6)*IF(6&lt;IF(N($C17)&lt;1,1,$C17),0,IF(AND($D17="Yes",6&lt;IF(N($C17)&lt;1,1,$C17)+Assumptions!$C$16),Assumptions!$C$17,1)))</f>
        <v/>
      </c>
      <c r="M17" s="31" t="str">
        <f aca="false">IF($B17="","",$F17*INDEX(Assumptions!$D$29:$D$40,7)*IF(7&lt;IF(N($C17)&lt;1,1,$C17),0,IF(AND($D17="Yes",7&lt;IF(N($C17)&lt;1,1,$C17)+Assumptions!$C$16),Assumptions!$C$17,1)))</f>
        <v/>
      </c>
      <c r="N17" s="31" t="str">
        <f aca="false">IF($B17="","",$F17*INDEX(Assumptions!$D$29:$D$40,8)*IF(8&lt;IF(N($C17)&lt;1,1,$C17),0,IF(AND($D17="Yes",8&lt;IF(N($C17)&lt;1,1,$C17)+Assumptions!$C$16),Assumptions!$C$17,1)))</f>
        <v/>
      </c>
      <c r="O17" s="31" t="str">
        <f aca="false">IF($B17="","",$F17*INDEX(Assumptions!$D$29:$D$40,9)*IF(9&lt;IF(N($C17)&lt;1,1,$C17),0,IF(AND($D17="Yes",9&lt;IF(N($C17)&lt;1,1,$C17)+Assumptions!$C$16),Assumptions!$C$17,1)))</f>
        <v/>
      </c>
      <c r="P17" s="31" t="str">
        <f aca="false">IF($B17="","",$F17*INDEX(Assumptions!$D$29:$D$40,10)*IF(10&lt;IF(N($C17)&lt;1,1,$C17),0,IF(AND($D17="Yes",10&lt;IF(N($C17)&lt;1,1,$C17)+Assumptions!$C$16),Assumptions!$C$17,1)))</f>
        <v/>
      </c>
      <c r="Q17" s="31" t="str">
        <f aca="false">IF($B17="","",$F17*INDEX(Assumptions!$D$29:$D$40,11)*IF(11&lt;IF(N($C17)&lt;1,1,$C17),0,IF(AND($D17="Yes",11&lt;IF(N($C17)&lt;1,1,$C17)+Assumptions!$C$16),Assumptions!$C$17,1)))</f>
        <v/>
      </c>
      <c r="R17" s="31" t="str">
        <f aca="false">IF($B17="","",$F17*INDEX(Assumptions!$D$29:$D$40,12)*IF(12&lt;IF(N($C17)&lt;1,1,$C17),0,IF(AND($D17="Yes",12&lt;IF(N($C17)&lt;1,1,$C17)+Assumptions!$C$16),Assumptions!$C$17,1)))</f>
        <v/>
      </c>
      <c r="S17" s="42" t="str">
        <f aca="false">IF($B17="","",SUM(G17:R17))</f>
        <v/>
      </c>
    </row>
    <row r="18" customFormat="false" ht="15" hidden="false" customHeight="false" outlineLevel="0" collapsed="false">
      <c r="B18" s="10"/>
      <c r="C18" s="40"/>
      <c r="D18" s="41"/>
      <c r="E18" s="22"/>
      <c r="F18" s="31" t="str">
        <f aca="false">IF($B18="","",IF(N($E18)&gt;0,$E18,Assumptions!$C$14))</f>
        <v/>
      </c>
      <c r="G18" s="31" t="str">
        <f aca="false">IF($B18="","",$F18*INDEX(Assumptions!$D$29:$D$40,1)*IF(1&lt;IF(N($C18)&lt;1,1,$C18),0,IF(AND($D18="Yes",1&lt;IF(N($C18)&lt;1,1,$C18)+Assumptions!$C$16),Assumptions!$C$17,1)))</f>
        <v/>
      </c>
      <c r="H18" s="31" t="str">
        <f aca="false">IF($B18="","",$F18*INDEX(Assumptions!$D$29:$D$40,2)*IF(2&lt;IF(N($C18)&lt;1,1,$C18),0,IF(AND($D18="Yes",2&lt;IF(N($C18)&lt;1,1,$C18)+Assumptions!$C$16),Assumptions!$C$17,1)))</f>
        <v/>
      </c>
      <c r="I18" s="31" t="str">
        <f aca="false">IF($B18="","",$F18*INDEX(Assumptions!$D$29:$D$40,3)*IF(3&lt;IF(N($C18)&lt;1,1,$C18),0,IF(AND($D18="Yes",3&lt;IF(N($C18)&lt;1,1,$C18)+Assumptions!$C$16),Assumptions!$C$17,1)))</f>
        <v/>
      </c>
      <c r="J18" s="31" t="str">
        <f aca="false">IF($B18="","",$F18*INDEX(Assumptions!$D$29:$D$40,4)*IF(4&lt;IF(N($C18)&lt;1,1,$C18),0,IF(AND($D18="Yes",4&lt;IF(N($C18)&lt;1,1,$C18)+Assumptions!$C$16),Assumptions!$C$17,1)))</f>
        <v/>
      </c>
      <c r="K18" s="31" t="str">
        <f aca="false">IF($B18="","",$F18*INDEX(Assumptions!$D$29:$D$40,5)*IF(5&lt;IF(N($C18)&lt;1,1,$C18),0,IF(AND($D18="Yes",5&lt;IF(N($C18)&lt;1,1,$C18)+Assumptions!$C$16),Assumptions!$C$17,1)))</f>
        <v/>
      </c>
      <c r="L18" s="31" t="str">
        <f aca="false">IF($B18="","",$F18*INDEX(Assumptions!$D$29:$D$40,6)*IF(6&lt;IF(N($C18)&lt;1,1,$C18),0,IF(AND($D18="Yes",6&lt;IF(N($C18)&lt;1,1,$C18)+Assumptions!$C$16),Assumptions!$C$17,1)))</f>
        <v/>
      </c>
      <c r="M18" s="31" t="str">
        <f aca="false">IF($B18="","",$F18*INDEX(Assumptions!$D$29:$D$40,7)*IF(7&lt;IF(N($C18)&lt;1,1,$C18),0,IF(AND($D18="Yes",7&lt;IF(N($C18)&lt;1,1,$C18)+Assumptions!$C$16),Assumptions!$C$17,1)))</f>
        <v/>
      </c>
      <c r="N18" s="31" t="str">
        <f aca="false">IF($B18="","",$F18*INDEX(Assumptions!$D$29:$D$40,8)*IF(8&lt;IF(N($C18)&lt;1,1,$C18),0,IF(AND($D18="Yes",8&lt;IF(N($C18)&lt;1,1,$C18)+Assumptions!$C$16),Assumptions!$C$17,1)))</f>
        <v/>
      </c>
      <c r="O18" s="31" t="str">
        <f aca="false">IF($B18="","",$F18*INDEX(Assumptions!$D$29:$D$40,9)*IF(9&lt;IF(N($C18)&lt;1,1,$C18),0,IF(AND($D18="Yes",9&lt;IF(N($C18)&lt;1,1,$C18)+Assumptions!$C$16),Assumptions!$C$17,1)))</f>
        <v/>
      </c>
      <c r="P18" s="31" t="str">
        <f aca="false">IF($B18="","",$F18*INDEX(Assumptions!$D$29:$D$40,10)*IF(10&lt;IF(N($C18)&lt;1,1,$C18),0,IF(AND($D18="Yes",10&lt;IF(N($C18)&lt;1,1,$C18)+Assumptions!$C$16),Assumptions!$C$17,1)))</f>
        <v/>
      </c>
      <c r="Q18" s="31" t="str">
        <f aca="false">IF($B18="","",$F18*INDEX(Assumptions!$D$29:$D$40,11)*IF(11&lt;IF(N($C18)&lt;1,1,$C18),0,IF(AND($D18="Yes",11&lt;IF(N($C18)&lt;1,1,$C18)+Assumptions!$C$16),Assumptions!$C$17,1)))</f>
        <v/>
      </c>
      <c r="R18" s="31" t="str">
        <f aca="false">IF($B18="","",$F18*INDEX(Assumptions!$D$29:$D$40,12)*IF(12&lt;IF(N($C18)&lt;1,1,$C18),0,IF(AND($D18="Yes",12&lt;IF(N($C18)&lt;1,1,$C18)+Assumptions!$C$16),Assumptions!$C$17,1)))</f>
        <v/>
      </c>
      <c r="S18" s="42" t="str">
        <f aca="false">IF($B18="","",SUM(G18:R18))</f>
        <v/>
      </c>
    </row>
    <row r="19" customFormat="false" ht="15" hidden="false" customHeight="false" outlineLevel="0" collapsed="false">
      <c r="B19" s="10"/>
      <c r="C19" s="40"/>
      <c r="D19" s="41"/>
      <c r="E19" s="22"/>
      <c r="F19" s="31" t="str">
        <f aca="false">IF($B19="","",IF(N($E19)&gt;0,$E19,Assumptions!$C$14))</f>
        <v/>
      </c>
      <c r="G19" s="31" t="str">
        <f aca="false">IF($B19="","",$F19*INDEX(Assumptions!$D$29:$D$40,1)*IF(1&lt;IF(N($C19)&lt;1,1,$C19),0,IF(AND($D19="Yes",1&lt;IF(N($C19)&lt;1,1,$C19)+Assumptions!$C$16),Assumptions!$C$17,1)))</f>
        <v/>
      </c>
      <c r="H19" s="31" t="str">
        <f aca="false">IF($B19="","",$F19*INDEX(Assumptions!$D$29:$D$40,2)*IF(2&lt;IF(N($C19)&lt;1,1,$C19),0,IF(AND($D19="Yes",2&lt;IF(N($C19)&lt;1,1,$C19)+Assumptions!$C$16),Assumptions!$C$17,1)))</f>
        <v/>
      </c>
      <c r="I19" s="31" t="str">
        <f aca="false">IF($B19="","",$F19*INDEX(Assumptions!$D$29:$D$40,3)*IF(3&lt;IF(N($C19)&lt;1,1,$C19),0,IF(AND($D19="Yes",3&lt;IF(N($C19)&lt;1,1,$C19)+Assumptions!$C$16),Assumptions!$C$17,1)))</f>
        <v/>
      </c>
      <c r="J19" s="31" t="str">
        <f aca="false">IF($B19="","",$F19*INDEX(Assumptions!$D$29:$D$40,4)*IF(4&lt;IF(N($C19)&lt;1,1,$C19),0,IF(AND($D19="Yes",4&lt;IF(N($C19)&lt;1,1,$C19)+Assumptions!$C$16),Assumptions!$C$17,1)))</f>
        <v/>
      </c>
      <c r="K19" s="31" t="str">
        <f aca="false">IF($B19="","",$F19*INDEX(Assumptions!$D$29:$D$40,5)*IF(5&lt;IF(N($C19)&lt;1,1,$C19),0,IF(AND($D19="Yes",5&lt;IF(N($C19)&lt;1,1,$C19)+Assumptions!$C$16),Assumptions!$C$17,1)))</f>
        <v/>
      </c>
      <c r="L19" s="31" t="str">
        <f aca="false">IF($B19="","",$F19*INDEX(Assumptions!$D$29:$D$40,6)*IF(6&lt;IF(N($C19)&lt;1,1,$C19),0,IF(AND($D19="Yes",6&lt;IF(N($C19)&lt;1,1,$C19)+Assumptions!$C$16),Assumptions!$C$17,1)))</f>
        <v/>
      </c>
      <c r="M19" s="31" t="str">
        <f aca="false">IF($B19="","",$F19*INDEX(Assumptions!$D$29:$D$40,7)*IF(7&lt;IF(N($C19)&lt;1,1,$C19),0,IF(AND($D19="Yes",7&lt;IF(N($C19)&lt;1,1,$C19)+Assumptions!$C$16),Assumptions!$C$17,1)))</f>
        <v/>
      </c>
      <c r="N19" s="31" t="str">
        <f aca="false">IF($B19="","",$F19*INDEX(Assumptions!$D$29:$D$40,8)*IF(8&lt;IF(N($C19)&lt;1,1,$C19),0,IF(AND($D19="Yes",8&lt;IF(N($C19)&lt;1,1,$C19)+Assumptions!$C$16),Assumptions!$C$17,1)))</f>
        <v/>
      </c>
      <c r="O19" s="31" t="str">
        <f aca="false">IF($B19="","",$F19*INDEX(Assumptions!$D$29:$D$40,9)*IF(9&lt;IF(N($C19)&lt;1,1,$C19),0,IF(AND($D19="Yes",9&lt;IF(N($C19)&lt;1,1,$C19)+Assumptions!$C$16),Assumptions!$C$17,1)))</f>
        <v/>
      </c>
      <c r="P19" s="31" t="str">
        <f aca="false">IF($B19="","",$F19*INDEX(Assumptions!$D$29:$D$40,10)*IF(10&lt;IF(N($C19)&lt;1,1,$C19),0,IF(AND($D19="Yes",10&lt;IF(N($C19)&lt;1,1,$C19)+Assumptions!$C$16),Assumptions!$C$17,1)))</f>
        <v/>
      </c>
      <c r="Q19" s="31" t="str">
        <f aca="false">IF($B19="","",$F19*INDEX(Assumptions!$D$29:$D$40,11)*IF(11&lt;IF(N($C19)&lt;1,1,$C19),0,IF(AND($D19="Yes",11&lt;IF(N($C19)&lt;1,1,$C19)+Assumptions!$C$16),Assumptions!$C$17,1)))</f>
        <v/>
      </c>
      <c r="R19" s="31" t="str">
        <f aca="false">IF($B19="","",$F19*INDEX(Assumptions!$D$29:$D$40,12)*IF(12&lt;IF(N($C19)&lt;1,1,$C19),0,IF(AND($D19="Yes",12&lt;IF(N($C19)&lt;1,1,$C19)+Assumptions!$C$16),Assumptions!$C$17,1)))</f>
        <v/>
      </c>
      <c r="S19" s="42" t="str">
        <f aca="false">IF($B19="","",SUM(G19:R19))</f>
        <v/>
      </c>
    </row>
    <row r="20" customFormat="false" ht="15" hidden="false" customHeight="false" outlineLevel="0" collapsed="false">
      <c r="B20" s="10"/>
      <c r="C20" s="40"/>
      <c r="D20" s="41"/>
      <c r="E20" s="22"/>
      <c r="F20" s="31" t="str">
        <f aca="false">IF($B20="","",IF(N($E20)&gt;0,$E20,Assumptions!$C$14))</f>
        <v/>
      </c>
      <c r="G20" s="31" t="str">
        <f aca="false">IF($B20="","",$F20*INDEX(Assumptions!$D$29:$D$40,1)*IF(1&lt;IF(N($C20)&lt;1,1,$C20),0,IF(AND($D20="Yes",1&lt;IF(N($C20)&lt;1,1,$C20)+Assumptions!$C$16),Assumptions!$C$17,1)))</f>
        <v/>
      </c>
      <c r="H20" s="31" t="str">
        <f aca="false">IF($B20="","",$F20*INDEX(Assumptions!$D$29:$D$40,2)*IF(2&lt;IF(N($C20)&lt;1,1,$C20),0,IF(AND($D20="Yes",2&lt;IF(N($C20)&lt;1,1,$C20)+Assumptions!$C$16),Assumptions!$C$17,1)))</f>
        <v/>
      </c>
      <c r="I20" s="31" t="str">
        <f aca="false">IF($B20="","",$F20*INDEX(Assumptions!$D$29:$D$40,3)*IF(3&lt;IF(N($C20)&lt;1,1,$C20),0,IF(AND($D20="Yes",3&lt;IF(N($C20)&lt;1,1,$C20)+Assumptions!$C$16),Assumptions!$C$17,1)))</f>
        <v/>
      </c>
      <c r="J20" s="31" t="str">
        <f aca="false">IF($B20="","",$F20*INDEX(Assumptions!$D$29:$D$40,4)*IF(4&lt;IF(N($C20)&lt;1,1,$C20),0,IF(AND($D20="Yes",4&lt;IF(N($C20)&lt;1,1,$C20)+Assumptions!$C$16),Assumptions!$C$17,1)))</f>
        <v/>
      </c>
      <c r="K20" s="31" t="str">
        <f aca="false">IF($B20="","",$F20*INDEX(Assumptions!$D$29:$D$40,5)*IF(5&lt;IF(N($C20)&lt;1,1,$C20),0,IF(AND($D20="Yes",5&lt;IF(N($C20)&lt;1,1,$C20)+Assumptions!$C$16),Assumptions!$C$17,1)))</f>
        <v/>
      </c>
      <c r="L20" s="31" t="str">
        <f aca="false">IF($B20="","",$F20*INDEX(Assumptions!$D$29:$D$40,6)*IF(6&lt;IF(N($C20)&lt;1,1,$C20),0,IF(AND($D20="Yes",6&lt;IF(N($C20)&lt;1,1,$C20)+Assumptions!$C$16),Assumptions!$C$17,1)))</f>
        <v/>
      </c>
      <c r="M20" s="31" t="str">
        <f aca="false">IF($B20="","",$F20*INDEX(Assumptions!$D$29:$D$40,7)*IF(7&lt;IF(N($C20)&lt;1,1,$C20),0,IF(AND($D20="Yes",7&lt;IF(N($C20)&lt;1,1,$C20)+Assumptions!$C$16),Assumptions!$C$17,1)))</f>
        <v/>
      </c>
      <c r="N20" s="31" t="str">
        <f aca="false">IF($B20="","",$F20*INDEX(Assumptions!$D$29:$D$40,8)*IF(8&lt;IF(N($C20)&lt;1,1,$C20),0,IF(AND($D20="Yes",8&lt;IF(N($C20)&lt;1,1,$C20)+Assumptions!$C$16),Assumptions!$C$17,1)))</f>
        <v/>
      </c>
      <c r="O20" s="31" t="str">
        <f aca="false">IF($B20="","",$F20*INDEX(Assumptions!$D$29:$D$40,9)*IF(9&lt;IF(N($C20)&lt;1,1,$C20),0,IF(AND($D20="Yes",9&lt;IF(N($C20)&lt;1,1,$C20)+Assumptions!$C$16),Assumptions!$C$17,1)))</f>
        <v/>
      </c>
      <c r="P20" s="31" t="str">
        <f aca="false">IF($B20="","",$F20*INDEX(Assumptions!$D$29:$D$40,10)*IF(10&lt;IF(N($C20)&lt;1,1,$C20),0,IF(AND($D20="Yes",10&lt;IF(N($C20)&lt;1,1,$C20)+Assumptions!$C$16),Assumptions!$C$17,1)))</f>
        <v/>
      </c>
      <c r="Q20" s="31" t="str">
        <f aca="false">IF($B20="","",$F20*INDEX(Assumptions!$D$29:$D$40,11)*IF(11&lt;IF(N($C20)&lt;1,1,$C20),0,IF(AND($D20="Yes",11&lt;IF(N($C20)&lt;1,1,$C20)+Assumptions!$C$16),Assumptions!$C$17,1)))</f>
        <v/>
      </c>
      <c r="R20" s="31" t="str">
        <f aca="false">IF($B20="","",$F20*INDEX(Assumptions!$D$29:$D$40,12)*IF(12&lt;IF(N($C20)&lt;1,1,$C20),0,IF(AND($D20="Yes",12&lt;IF(N($C20)&lt;1,1,$C20)+Assumptions!$C$16),Assumptions!$C$17,1)))</f>
        <v/>
      </c>
      <c r="S20" s="42" t="str">
        <f aca="false">IF($B20="","",SUM(G20:R20))</f>
        <v/>
      </c>
    </row>
    <row r="21" customFormat="false" ht="15" hidden="false" customHeight="false" outlineLevel="0" collapsed="false">
      <c r="B21" s="10"/>
      <c r="C21" s="40"/>
      <c r="D21" s="41"/>
      <c r="E21" s="22"/>
      <c r="F21" s="31" t="str">
        <f aca="false">IF($B21="","",IF(N($E21)&gt;0,$E21,Assumptions!$C$14))</f>
        <v/>
      </c>
      <c r="G21" s="31" t="str">
        <f aca="false">IF($B21="","",$F21*INDEX(Assumptions!$D$29:$D$40,1)*IF(1&lt;IF(N($C21)&lt;1,1,$C21),0,IF(AND($D21="Yes",1&lt;IF(N($C21)&lt;1,1,$C21)+Assumptions!$C$16),Assumptions!$C$17,1)))</f>
        <v/>
      </c>
      <c r="H21" s="31" t="str">
        <f aca="false">IF($B21="","",$F21*INDEX(Assumptions!$D$29:$D$40,2)*IF(2&lt;IF(N($C21)&lt;1,1,$C21),0,IF(AND($D21="Yes",2&lt;IF(N($C21)&lt;1,1,$C21)+Assumptions!$C$16),Assumptions!$C$17,1)))</f>
        <v/>
      </c>
      <c r="I21" s="31" t="str">
        <f aca="false">IF($B21="","",$F21*INDEX(Assumptions!$D$29:$D$40,3)*IF(3&lt;IF(N($C21)&lt;1,1,$C21),0,IF(AND($D21="Yes",3&lt;IF(N($C21)&lt;1,1,$C21)+Assumptions!$C$16),Assumptions!$C$17,1)))</f>
        <v/>
      </c>
      <c r="J21" s="31" t="str">
        <f aca="false">IF($B21="","",$F21*INDEX(Assumptions!$D$29:$D$40,4)*IF(4&lt;IF(N($C21)&lt;1,1,$C21),0,IF(AND($D21="Yes",4&lt;IF(N($C21)&lt;1,1,$C21)+Assumptions!$C$16),Assumptions!$C$17,1)))</f>
        <v/>
      </c>
      <c r="K21" s="31" t="str">
        <f aca="false">IF($B21="","",$F21*INDEX(Assumptions!$D$29:$D$40,5)*IF(5&lt;IF(N($C21)&lt;1,1,$C21),0,IF(AND($D21="Yes",5&lt;IF(N($C21)&lt;1,1,$C21)+Assumptions!$C$16),Assumptions!$C$17,1)))</f>
        <v/>
      </c>
      <c r="L21" s="31" t="str">
        <f aca="false">IF($B21="","",$F21*INDEX(Assumptions!$D$29:$D$40,6)*IF(6&lt;IF(N($C21)&lt;1,1,$C21),0,IF(AND($D21="Yes",6&lt;IF(N($C21)&lt;1,1,$C21)+Assumptions!$C$16),Assumptions!$C$17,1)))</f>
        <v/>
      </c>
      <c r="M21" s="31" t="str">
        <f aca="false">IF($B21="","",$F21*INDEX(Assumptions!$D$29:$D$40,7)*IF(7&lt;IF(N($C21)&lt;1,1,$C21),0,IF(AND($D21="Yes",7&lt;IF(N($C21)&lt;1,1,$C21)+Assumptions!$C$16),Assumptions!$C$17,1)))</f>
        <v/>
      </c>
      <c r="N21" s="31" t="str">
        <f aca="false">IF($B21="","",$F21*INDEX(Assumptions!$D$29:$D$40,8)*IF(8&lt;IF(N($C21)&lt;1,1,$C21),0,IF(AND($D21="Yes",8&lt;IF(N($C21)&lt;1,1,$C21)+Assumptions!$C$16),Assumptions!$C$17,1)))</f>
        <v/>
      </c>
      <c r="O21" s="31" t="str">
        <f aca="false">IF($B21="","",$F21*INDEX(Assumptions!$D$29:$D$40,9)*IF(9&lt;IF(N($C21)&lt;1,1,$C21),0,IF(AND($D21="Yes",9&lt;IF(N($C21)&lt;1,1,$C21)+Assumptions!$C$16),Assumptions!$C$17,1)))</f>
        <v/>
      </c>
      <c r="P21" s="31" t="str">
        <f aca="false">IF($B21="","",$F21*INDEX(Assumptions!$D$29:$D$40,10)*IF(10&lt;IF(N($C21)&lt;1,1,$C21),0,IF(AND($D21="Yes",10&lt;IF(N($C21)&lt;1,1,$C21)+Assumptions!$C$16),Assumptions!$C$17,1)))</f>
        <v/>
      </c>
      <c r="Q21" s="31" t="str">
        <f aca="false">IF($B21="","",$F21*INDEX(Assumptions!$D$29:$D$40,11)*IF(11&lt;IF(N($C21)&lt;1,1,$C21),0,IF(AND($D21="Yes",11&lt;IF(N($C21)&lt;1,1,$C21)+Assumptions!$C$16),Assumptions!$C$17,1)))</f>
        <v/>
      </c>
      <c r="R21" s="31" t="str">
        <f aca="false">IF($B21="","",$F21*INDEX(Assumptions!$D$29:$D$40,12)*IF(12&lt;IF(N($C21)&lt;1,1,$C21),0,IF(AND($D21="Yes",12&lt;IF(N($C21)&lt;1,1,$C21)+Assumptions!$C$16),Assumptions!$C$17,1)))</f>
        <v/>
      </c>
      <c r="S21" s="42" t="str">
        <f aca="false">IF($B21="","",SUM(G21:R21))</f>
        <v/>
      </c>
    </row>
    <row r="22" customFormat="false" ht="15" hidden="false" customHeight="false" outlineLevel="0" collapsed="false">
      <c r="B22" s="10"/>
      <c r="C22" s="40"/>
      <c r="D22" s="41"/>
      <c r="E22" s="22"/>
      <c r="F22" s="31" t="str">
        <f aca="false">IF($B22="","",IF(N($E22)&gt;0,$E22,Assumptions!$C$14))</f>
        <v/>
      </c>
      <c r="G22" s="31" t="str">
        <f aca="false">IF($B22="","",$F22*INDEX(Assumptions!$D$29:$D$40,1)*IF(1&lt;IF(N($C22)&lt;1,1,$C22),0,IF(AND($D22="Yes",1&lt;IF(N($C22)&lt;1,1,$C22)+Assumptions!$C$16),Assumptions!$C$17,1)))</f>
        <v/>
      </c>
      <c r="H22" s="31" t="str">
        <f aca="false">IF($B22="","",$F22*INDEX(Assumptions!$D$29:$D$40,2)*IF(2&lt;IF(N($C22)&lt;1,1,$C22),0,IF(AND($D22="Yes",2&lt;IF(N($C22)&lt;1,1,$C22)+Assumptions!$C$16),Assumptions!$C$17,1)))</f>
        <v/>
      </c>
      <c r="I22" s="31" t="str">
        <f aca="false">IF($B22="","",$F22*INDEX(Assumptions!$D$29:$D$40,3)*IF(3&lt;IF(N($C22)&lt;1,1,$C22),0,IF(AND($D22="Yes",3&lt;IF(N($C22)&lt;1,1,$C22)+Assumptions!$C$16),Assumptions!$C$17,1)))</f>
        <v/>
      </c>
      <c r="J22" s="31" t="str">
        <f aca="false">IF($B22="","",$F22*INDEX(Assumptions!$D$29:$D$40,4)*IF(4&lt;IF(N($C22)&lt;1,1,$C22),0,IF(AND($D22="Yes",4&lt;IF(N($C22)&lt;1,1,$C22)+Assumptions!$C$16),Assumptions!$C$17,1)))</f>
        <v/>
      </c>
      <c r="K22" s="31" t="str">
        <f aca="false">IF($B22="","",$F22*INDEX(Assumptions!$D$29:$D$40,5)*IF(5&lt;IF(N($C22)&lt;1,1,$C22),0,IF(AND($D22="Yes",5&lt;IF(N($C22)&lt;1,1,$C22)+Assumptions!$C$16),Assumptions!$C$17,1)))</f>
        <v/>
      </c>
      <c r="L22" s="31" t="str">
        <f aca="false">IF($B22="","",$F22*INDEX(Assumptions!$D$29:$D$40,6)*IF(6&lt;IF(N($C22)&lt;1,1,$C22),0,IF(AND($D22="Yes",6&lt;IF(N($C22)&lt;1,1,$C22)+Assumptions!$C$16),Assumptions!$C$17,1)))</f>
        <v/>
      </c>
      <c r="M22" s="31" t="str">
        <f aca="false">IF($B22="","",$F22*INDEX(Assumptions!$D$29:$D$40,7)*IF(7&lt;IF(N($C22)&lt;1,1,$C22),0,IF(AND($D22="Yes",7&lt;IF(N($C22)&lt;1,1,$C22)+Assumptions!$C$16),Assumptions!$C$17,1)))</f>
        <v/>
      </c>
      <c r="N22" s="31" t="str">
        <f aca="false">IF($B22="","",$F22*INDEX(Assumptions!$D$29:$D$40,8)*IF(8&lt;IF(N($C22)&lt;1,1,$C22),0,IF(AND($D22="Yes",8&lt;IF(N($C22)&lt;1,1,$C22)+Assumptions!$C$16),Assumptions!$C$17,1)))</f>
        <v/>
      </c>
      <c r="O22" s="31" t="str">
        <f aca="false">IF($B22="","",$F22*INDEX(Assumptions!$D$29:$D$40,9)*IF(9&lt;IF(N($C22)&lt;1,1,$C22),0,IF(AND($D22="Yes",9&lt;IF(N($C22)&lt;1,1,$C22)+Assumptions!$C$16),Assumptions!$C$17,1)))</f>
        <v/>
      </c>
      <c r="P22" s="31" t="str">
        <f aca="false">IF($B22="","",$F22*INDEX(Assumptions!$D$29:$D$40,10)*IF(10&lt;IF(N($C22)&lt;1,1,$C22),0,IF(AND($D22="Yes",10&lt;IF(N($C22)&lt;1,1,$C22)+Assumptions!$C$16),Assumptions!$C$17,1)))</f>
        <v/>
      </c>
      <c r="Q22" s="31" t="str">
        <f aca="false">IF($B22="","",$F22*INDEX(Assumptions!$D$29:$D$40,11)*IF(11&lt;IF(N($C22)&lt;1,1,$C22),0,IF(AND($D22="Yes",11&lt;IF(N($C22)&lt;1,1,$C22)+Assumptions!$C$16),Assumptions!$C$17,1)))</f>
        <v/>
      </c>
      <c r="R22" s="31" t="str">
        <f aca="false">IF($B22="","",$F22*INDEX(Assumptions!$D$29:$D$40,12)*IF(12&lt;IF(N($C22)&lt;1,1,$C22),0,IF(AND($D22="Yes",12&lt;IF(N($C22)&lt;1,1,$C22)+Assumptions!$C$16),Assumptions!$C$17,1)))</f>
        <v/>
      </c>
      <c r="S22" s="42" t="str">
        <f aca="false">IF($B22="","",SUM(G22:R22))</f>
        <v/>
      </c>
    </row>
    <row r="23" customFormat="false" ht="15" hidden="false" customHeight="false" outlineLevel="0" collapsed="false">
      <c r="B23" s="10"/>
      <c r="C23" s="40"/>
      <c r="D23" s="41"/>
      <c r="E23" s="22"/>
      <c r="F23" s="31" t="str">
        <f aca="false">IF($B23="","",IF(N($E23)&gt;0,$E23,Assumptions!$C$14))</f>
        <v/>
      </c>
      <c r="G23" s="31" t="str">
        <f aca="false">IF($B23="","",$F23*INDEX(Assumptions!$D$29:$D$40,1)*IF(1&lt;IF(N($C23)&lt;1,1,$C23),0,IF(AND($D23="Yes",1&lt;IF(N($C23)&lt;1,1,$C23)+Assumptions!$C$16),Assumptions!$C$17,1)))</f>
        <v/>
      </c>
      <c r="H23" s="31" t="str">
        <f aca="false">IF($B23="","",$F23*INDEX(Assumptions!$D$29:$D$40,2)*IF(2&lt;IF(N($C23)&lt;1,1,$C23),0,IF(AND($D23="Yes",2&lt;IF(N($C23)&lt;1,1,$C23)+Assumptions!$C$16),Assumptions!$C$17,1)))</f>
        <v/>
      </c>
      <c r="I23" s="31" t="str">
        <f aca="false">IF($B23="","",$F23*INDEX(Assumptions!$D$29:$D$40,3)*IF(3&lt;IF(N($C23)&lt;1,1,$C23),0,IF(AND($D23="Yes",3&lt;IF(N($C23)&lt;1,1,$C23)+Assumptions!$C$16),Assumptions!$C$17,1)))</f>
        <v/>
      </c>
      <c r="J23" s="31" t="str">
        <f aca="false">IF($B23="","",$F23*INDEX(Assumptions!$D$29:$D$40,4)*IF(4&lt;IF(N($C23)&lt;1,1,$C23),0,IF(AND($D23="Yes",4&lt;IF(N($C23)&lt;1,1,$C23)+Assumptions!$C$16),Assumptions!$C$17,1)))</f>
        <v/>
      </c>
      <c r="K23" s="31" t="str">
        <f aca="false">IF($B23="","",$F23*INDEX(Assumptions!$D$29:$D$40,5)*IF(5&lt;IF(N($C23)&lt;1,1,$C23),0,IF(AND($D23="Yes",5&lt;IF(N($C23)&lt;1,1,$C23)+Assumptions!$C$16),Assumptions!$C$17,1)))</f>
        <v/>
      </c>
      <c r="L23" s="31" t="str">
        <f aca="false">IF($B23="","",$F23*INDEX(Assumptions!$D$29:$D$40,6)*IF(6&lt;IF(N($C23)&lt;1,1,$C23),0,IF(AND($D23="Yes",6&lt;IF(N($C23)&lt;1,1,$C23)+Assumptions!$C$16),Assumptions!$C$17,1)))</f>
        <v/>
      </c>
      <c r="M23" s="31" t="str">
        <f aca="false">IF($B23="","",$F23*INDEX(Assumptions!$D$29:$D$40,7)*IF(7&lt;IF(N($C23)&lt;1,1,$C23),0,IF(AND($D23="Yes",7&lt;IF(N($C23)&lt;1,1,$C23)+Assumptions!$C$16),Assumptions!$C$17,1)))</f>
        <v/>
      </c>
      <c r="N23" s="31" t="str">
        <f aca="false">IF($B23="","",$F23*INDEX(Assumptions!$D$29:$D$40,8)*IF(8&lt;IF(N($C23)&lt;1,1,$C23),0,IF(AND($D23="Yes",8&lt;IF(N($C23)&lt;1,1,$C23)+Assumptions!$C$16),Assumptions!$C$17,1)))</f>
        <v/>
      </c>
      <c r="O23" s="31" t="str">
        <f aca="false">IF($B23="","",$F23*INDEX(Assumptions!$D$29:$D$40,9)*IF(9&lt;IF(N($C23)&lt;1,1,$C23),0,IF(AND($D23="Yes",9&lt;IF(N($C23)&lt;1,1,$C23)+Assumptions!$C$16),Assumptions!$C$17,1)))</f>
        <v/>
      </c>
      <c r="P23" s="31" t="str">
        <f aca="false">IF($B23="","",$F23*INDEX(Assumptions!$D$29:$D$40,10)*IF(10&lt;IF(N($C23)&lt;1,1,$C23),0,IF(AND($D23="Yes",10&lt;IF(N($C23)&lt;1,1,$C23)+Assumptions!$C$16),Assumptions!$C$17,1)))</f>
        <v/>
      </c>
      <c r="Q23" s="31" t="str">
        <f aca="false">IF($B23="","",$F23*INDEX(Assumptions!$D$29:$D$40,11)*IF(11&lt;IF(N($C23)&lt;1,1,$C23),0,IF(AND($D23="Yes",11&lt;IF(N($C23)&lt;1,1,$C23)+Assumptions!$C$16),Assumptions!$C$17,1)))</f>
        <v/>
      </c>
      <c r="R23" s="31" t="str">
        <f aca="false">IF($B23="","",$F23*INDEX(Assumptions!$D$29:$D$40,12)*IF(12&lt;IF(N($C23)&lt;1,1,$C23),0,IF(AND($D23="Yes",12&lt;IF(N($C23)&lt;1,1,$C23)+Assumptions!$C$16),Assumptions!$C$17,1)))</f>
        <v/>
      </c>
      <c r="S23" s="42" t="str">
        <f aca="false">IF($B23="","",SUM(G23:R23))</f>
        <v/>
      </c>
    </row>
    <row r="24" customFormat="false" ht="15" hidden="false" customHeight="false" outlineLevel="0" collapsed="false">
      <c r="B24" s="10"/>
      <c r="C24" s="40"/>
      <c r="D24" s="41"/>
      <c r="E24" s="22"/>
      <c r="F24" s="31" t="str">
        <f aca="false">IF($B24="","",IF(N($E24)&gt;0,$E24,Assumptions!$C$14))</f>
        <v/>
      </c>
      <c r="G24" s="31" t="str">
        <f aca="false">IF($B24="","",$F24*INDEX(Assumptions!$D$29:$D$40,1)*IF(1&lt;IF(N($C24)&lt;1,1,$C24),0,IF(AND($D24="Yes",1&lt;IF(N($C24)&lt;1,1,$C24)+Assumptions!$C$16),Assumptions!$C$17,1)))</f>
        <v/>
      </c>
      <c r="H24" s="31" t="str">
        <f aca="false">IF($B24="","",$F24*INDEX(Assumptions!$D$29:$D$40,2)*IF(2&lt;IF(N($C24)&lt;1,1,$C24),0,IF(AND($D24="Yes",2&lt;IF(N($C24)&lt;1,1,$C24)+Assumptions!$C$16),Assumptions!$C$17,1)))</f>
        <v/>
      </c>
      <c r="I24" s="31" t="str">
        <f aca="false">IF($B24="","",$F24*INDEX(Assumptions!$D$29:$D$40,3)*IF(3&lt;IF(N($C24)&lt;1,1,$C24),0,IF(AND($D24="Yes",3&lt;IF(N($C24)&lt;1,1,$C24)+Assumptions!$C$16),Assumptions!$C$17,1)))</f>
        <v/>
      </c>
      <c r="J24" s="31" t="str">
        <f aca="false">IF($B24="","",$F24*INDEX(Assumptions!$D$29:$D$40,4)*IF(4&lt;IF(N($C24)&lt;1,1,$C24),0,IF(AND($D24="Yes",4&lt;IF(N($C24)&lt;1,1,$C24)+Assumptions!$C$16),Assumptions!$C$17,1)))</f>
        <v/>
      </c>
      <c r="K24" s="31" t="str">
        <f aca="false">IF($B24="","",$F24*INDEX(Assumptions!$D$29:$D$40,5)*IF(5&lt;IF(N($C24)&lt;1,1,$C24),0,IF(AND($D24="Yes",5&lt;IF(N($C24)&lt;1,1,$C24)+Assumptions!$C$16),Assumptions!$C$17,1)))</f>
        <v/>
      </c>
      <c r="L24" s="31" t="str">
        <f aca="false">IF($B24="","",$F24*INDEX(Assumptions!$D$29:$D$40,6)*IF(6&lt;IF(N($C24)&lt;1,1,$C24),0,IF(AND($D24="Yes",6&lt;IF(N($C24)&lt;1,1,$C24)+Assumptions!$C$16),Assumptions!$C$17,1)))</f>
        <v/>
      </c>
      <c r="M24" s="31" t="str">
        <f aca="false">IF($B24="","",$F24*INDEX(Assumptions!$D$29:$D$40,7)*IF(7&lt;IF(N($C24)&lt;1,1,$C24),0,IF(AND($D24="Yes",7&lt;IF(N($C24)&lt;1,1,$C24)+Assumptions!$C$16),Assumptions!$C$17,1)))</f>
        <v/>
      </c>
      <c r="N24" s="31" t="str">
        <f aca="false">IF($B24="","",$F24*INDEX(Assumptions!$D$29:$D$40,8)*IF(8&lt;IF(N($C24)&lt;1,1,$C24),0,IF(AND($D24="Yes",8&lt;IF(N($C24)&lt;1,1,$C24)+Assumptions!$C$16),Assumptions!$C$17,1)))</f>
        <v/>
      </c>
      <c r="O24" s="31" t="str">
        <f aca="false">IF($B24="","",$F24*INDEX(Assumptions!$D$29:$D$40,9)*IF(9&lt;IF(N($C24)&lt;1,1,$C24),0,IF(AND($D24="Yes",9&lt;IF(N($C24)&lt;1,1,$C24)+Assumptions!$C$16),Assumptions!$C$17,1)))</f>
        <v/>
      </c>
      <c r="P24" s="31" t="str">
        <f aca="false">IF($B24="","",$F24*INDEX(Assumptions!$D$29:$D$40,10)*IF(10&lt;IF(N($C24)&lt;1,1,$C24),0,IF(AND($D24="Yes",10&lt;IF(N($C24)&lt;1,1,$C24)+Assumptions!$C$16),Assumptions!$C$17,1)))</f>
        <v/>
      </c>
      <c r="Q24" s="31" t="str">
        <f aca="false">IF($B24="","",$F24*INDEX(Assumptions!$D$29:$D$40,11)*IF(11&lt;IF(N($C24)&lt;1,1,$C24),0,IF(AND($D24="Yes",11&lt;IF(N($C24)&lt;1,1,$C24)+Assumptions!$C$16),Assumptions!$C$17,1)))</f>
        <v/>
      </c>
      <c r="R24" s="31" t="str">
        <f aca="false">IF($B24="","",$F24*INDEX(Assumptions!$D$29:$D$40,12)*IF(12&lt;IF(N($C24)&lt;1,1,$C24),0,IF(AND($D24="Yes",12&lt;IF(N($C24)&lt;1,1,$C24)+Assumptions!$C$16),Assumptions!$C$17,1)))</f>
        <v/>
      </c>
      <c r="S24" s="42" t="str">
        <f aca="false">IF($B24="","",SUM(G24:R24))</f>
        <v/>
      </c>
    </row>
    <row r="25" customFormat="false" ht="15" hidden="false" customHeight="false" outlineLevel="0" collapsed="false">
      <c r="B25" s="10"/>
      <c r="C25" s="40"/>
      <c r="D25" s="41"/>
      <c r="E25" s="22"/>
      <c r="F25" s="31" t="str">
        <f aca="false">IF($B25="","",IF(N($E25)&gt;0,$E25,Assumptions!$C$14))</f>
        <v/>
      </c>
      <c r="G25" s="31" t="str">
        <f aca="false">IF($B25="","",$F25*INDEX(Assumptions!$D$29:$D$40,1)*IF(1&lt;IF(N($C25)&lt;1,1,$C25),0,IF(AND($D25="Yes",1&lt;IF(N($C25)&lt;1,1,$C25)+Assumptions!$C$16),Assumptions!$C$17,1)))</f>
        <v/>
      </c>
      <c r="H25" s="31" t="str">
        <f aca="false">IF($B25="","",$F25*INDEX(Assumptions!$D$29:$D$40,2)*IF(2&lt;IF(N($C25)&lt;1,1,$C25),0,IF(AND($D25="Yes",2&lt;IF(N($C25)&lt;1,1,$C25)+Assumptions!$C$16),Assumptions!$C$17,1)))</f>
        <v/>
      </c>
      <c r="I25" s="31" t="str">
        <f aca="false">IF($B25="","",$F25*INDEX(Assumptions!$D$29:$D$40,3)*IF(3&lt;IF(N($C25)&lt;1,1,$C25),0,IF(AND($D25="Yes",3&lt;IF(N($C25)&lt;1,1,$C25)+Assumptions!$C$16),Assumptions!$C$17,1)))</f>
        <v/>
      </c>
      <c r="J25" s="31" t="str">
        <f aca="false">IF($B25="","",$F25*INDEX(Assumptions!$D$29:$D$40,4)*IF(4&lt;IF(N($C25)&lt;1,1,$C25),0,IF(AND($D25="Yes",4&lt;IF(N($C25)&lt;1,1,$C25)+Assumptions!$C$16),Assumptions!$C$17,1)))</f>
        <v/>
      </c>
      <c r="K25" s="31" t="str">
        <f aca="false">IF($B25="","",$F25*INDEX(Assumptions!$D$29:$D$40,5)*IF(5&lt;IF(N($C25)&lt;1,1,$C25),0,IF(AND($D25="Yes",5&lt;IF(N($C25)&lt;1,1,$C25)+Assumptions!$C$16),Assumptions!$C$17,1)))</f>
        <v/>
      </c>
      <c r="L25" s="31" t="str">
        <f aca="false">IF($B25="","",$F25*INDEX(Assumptions!$D$29:$D$40,6)*IF(6&lt;IF(N($C25)&lt;1,1,$C25),0,IF(AND($D25="Yes",6&lt;IF(N($C25)&lt;1,1,$C25)+Assumptions!$C$16),Assumptions!$C$17,1)))</f>
        <v/>
      </c>
      <c r="M25" s="31" t="str">
        <f aca="false">IF($B25="","",$F25*INDEX(Assumptions!$D$29:$D$40,7)*IF(7&lt;IF(N($C25)&lt;1,1,$C25),0,IF(AND($D25="Yes",7&lt;IF(N($C25)&lt;1,1,$C25)+Assumptions!$C$16),Assumptions!$C$17,1)))</f>
        <v/>
      </c>
      <c r="N25" s="31" t="str">
        <f aca="false">IF($B25="","",$F25*INDEX(Assumptions!$D$29:$D$40,8)*IF(8&lt;IF(N($C25)&lt;1,1,$C25),0,IF(AND($D25="Yes",8&lt;IF(N($C25)&lt;1,1,$C25)+Assumptions!$C$16),Assumptions!$C$17,1)))</f>
        <v/>
      </c>
      <c r="O25" s="31" t="str">
        <f aca="false">IF($B25="","",$F25*INDEX(Assumptions!$D$29:$D$40,9)*IF(9&lt;IF(N($C25)&lt;1,1,$C25),0,IF(AND($D25="Yes",9&lt;IF(N($C25)&lt;1,1,$C25)+Assumptions!$C$16),Assumptions!$C$17,1)))</f>
        <v/>
      </c>
      <c r="P25" s="31" t="str">
        <f aca="false">IF($B25="","",$F25*INDEX(Assumptions!$D$29:$D$40,10)*IF(10&lt;IF(N($C25)&lt;1,1,$C25),0,IF(AND($D25="Yes",10&lt;IF(N($C25)&lt;1,1,$C25)+Assumptions!$C$16),Assumptions!$C$17,1)))</f>
        <v/>
      </c>
      <c r="Q25" s="31" t="str">
        <f aca="false">IF($B25="","",$F25*INDEX(Assumptions!$D$29:$D$40,11)*IF(11&lt;IF(N($C25)&lt;1,1,$C25),0,IF(AND($D25="Yes",11&lt;IF(N($C25)&lt;1,1,$C25)+Assumptions!$C$16),Assumptions!$C$17,1)))</f>
        <v/>
      </c>
      <c r="R25" s="31" t="str">
        <f aca="false">IF($B25="","",$F25*INDEX(Assumptions!$D$29:$D$40,12)*IF(12&lt;IF(N($C25)&lt;1,1,$C25),0,IF(AND($D25="Yes",12&lt;IF(N($C25)&lt;1,1,$C25)+Assumptions!$C$16),Assumptions!$C$17,1)))</f>
        <v/>
      </c>
      <c r="S25" s="42" t="str">
        <f aca="false">IF($B25="","",SUM(G25:R25))</f>
        <v/>
      </c>
    </row>
    <row r="26" customFormat="false" ht="15" hidden="false" customHeight="false" outlineLevel="0" collapsed="false">
      <c r="B26" s="10"/>
      <c r="C26" s="40"/>
      <c r="D26" s="41"/>
      <c r="E26" s="22"/>
      <c r="F26" s="31" t="str">
        <f aca="false">IF($B26="","",IF(N($E26)&gt;0,$E26,Assumptions!$C$14))</f>
        <v/>
      </c>
      <c r="G26" s="31" t="str">
        <f aca="false">IF($B26="","",$F26*INDEX(Assumptions!$D$29:$D$40,1)*IF(1&lt;IF(N($C26)&lt;1,1,$C26),0,IF(AND($D26="Yes",1&lt;IF(N($C26)&lt;1,1,$C26)+Assumptions!$C$16),Assumptions!$C$17,1)))</f>
        <v/>
      </c>
      <c r="H26" s="31" t="str">
        <f aca="false">IF($B26="","",$F26*INDEX(Assumptions!$D$29:$D$40,2)*IF(2&lt;IF(N($C26)&lt;1,1,$C26),0,IF(AND($D26="Yes",2&lt;IF(N($C26)&lt;1,1,$C26)+Assumptions!$C$16),Assumptions!$C$17,1)))</f>
        <v/>
      </c>
      <c r="I26" s="31" t="str">
        <f aca="false">IF($B26="","",$F26*INDEX(Assumptions!$D$29:$D$40,3)*IF(3&lt;IF(N($C26)&lt;1,1,$C26),0,IF(AND($D26="Yes",3&lt;IF(N($C26)&lt;1,1,$C26)+Assumptions!$C$16),Assumptions!$C$17,1)))</f>
        <v/>
      </c>
      <c r="J26" s="31" t="str">
        <f aca="false">IF($B26="","",$F26*INDEX(Assumptions!$D$29:$D$40,4)*IF(4&lt;IF(N($C26)&lt;1,1,$C26),0,IF(AND($D26="Yes",4&lt;IF(N($C26)&lt;1,1,$C26)+Assumptions!$C$16),Assumptions!$C$17,1)))</f>
        <v/>
      </c>
      <c r="K26" s="31" t="str">
        <f aca="false">IF($B26="","",$F26*INDEX(Assumptions!$D$29:$D$40,5)*IF(5&lt;IF(N($C26)&lt;1,1,$C26),0,IF(AND($D26="Yes",5&lt;IF(N($C26)&lt;1,1,$C26)+Assumptions!$C$16),Assumptions!$C$17,1)))</f>
        <v/>
      </c>
      <c r="L26" s="31" t="str">
        <f aca="false">IF($B26="","",$F26*INDEX(Assumptions!$D$29:$D$40,6)*IF(6&lt;IF(N($C26)&lt;1,1,$C26),0,IF(AND($D26="Yes",6&lt;IF(N($C26)&lt;1,1,$C26)+Assumptions!$C$16),Assumptions!$C$17,1)))</f>
        <v/>
      </c>
      <c r="M26" s="31" t="str">
        <f aca="false">IF($B26="","",$F26*INDEX(Assumptions!$D$29:$D$40,7)*IF(7&lt;IF(N($C26)&lt;1,1,$C26),0,IF(AND($D26="Yes",7&lt;IF(N($C26)&lt;1,1,$C26)+Assumptions!$C$16),Assumptions!$C$17,1)))</f>
        <v/>
      </c>
      <c r="N26" s="31" t="str">
        <f aca="false">IF($B26="","",$F26*INDEX(Assumptions!$D$29:$D$40,8)*IF(8&lt;IF(N($C26)&lt;1,1,$C26),0,IF(AND($D26="Yes",8&lt;IF(N($C26)&lt;1,1,$C26)+Assumptions!$C$16),Assumptions!$C$17,1)))</f>
        <v/>
      </c>
      <c r="O26" s="31" t="str">
        <f aca="false">IF($B26="","",$F26*INDEX(Assumptions!$D$29:$D$40,9)*IF(9&lt;IF(N($C26)&lt;1,1,$C26),0,IF(AND($D26="Yes",9&lt;IF(N($C26)&lt;1,1,$C26)+Assumptions!$C$16),Assumptions!$C$17,1)))</f>
        <v/>
      </c>
      <c r="P26" s="31" t="str">
        <f aca="false">IF($B26="","",$F26*INDEX(Assumptions!$D$29:$D$40,10)*IF(10&lt;IF(N($C26)&lt;1,1,$C26),0,IF(AND($D26="Yes",10&lt;IF(N($C26)&lt;1,1,$C26)+Assumptions!$C$16),Assumptions!$C$17,1)))</f>
        <v/>
      </c>
      <c r="Q26" s="31" t="str">
        <f aca="false">IF($B26="","",$F26*INDEX(Assumptions!$D$29:$D$40,11)*IF(11&lt;IF(N($C26)&lt;1,1,$C26),0,IF(AND($D26="Yes",11&lt;IF(N($C26)&lt;1,1,$C26)+Assumptions!$C$16),Assumptions!$C$17,1)))</f>
        <v/>
      </c>
      <c r="R26" s="31" t="str">
        <f aca="false">IF($B26="","",$F26*INDEX(Assumptions!$D$29:$D$40,12)*IF(12&lt;IF(N($C26)&lt;1,1,$C26),0,IF(AND($D26="Yes",12&lt;IF(N($C26)&lt;1,1,$C26)+Assumptions!$C$16),Assumptions!$C$17,1)))</f>
        <v/>
      </c>
      <c r="S26" s="42" t="str">
        <f aca="false">IF($B26="","",SUM(G26:R26))</f>
        <v/>
      </c>
    </row>
    <row r="27" customFormat="false" ht="15" hidden="false" customHeight="false" outlineLevel="0" collapsed="false">
      <c r="B27" s="43" t="s">
        <v>173</v>
      </c>
      <c r="C27" s="44"/>
      <c r="D27" s="44"/>
      <c r="E27" s="44"/>
      <c r="F27" s="44"/>
      <c r="G27" s="33" t="n">
        <f aca="false">SUM(G7:G26)</f>
        <v>1575000</v>
      </c>
      <c r="H27" s="33" t="n">
        <f aca="false">SUM(H7:H26)</f>
        <v>1920000</v>
      </c>
      <c r="I27" s="33" t="n">
        <f aca="false">SUM(I7:I26)</f>
        <v>2160000</v>
      </c>
      <c r="J27" s="33" t="n">
        <f aca="false">SUM(J7:J26)</f>
        <v>2040000</v>
      </c>
      <c r="K27" s="33" t="n">
        <f aca="false">SUM(K7:K26)</f>
        <v>2430000</v>
      </c>
      <c r="L27" s="33" t="n">
        <f aca="false">SUM(L7:L26)</f>
        <v>2565000</v>
      </c>
      <c r="M27" s="33" t="n">
        <f aca="false">SUM(M7:M26)</f>
        <v>1140000</v>
      </c>
      <c r="N27" s="33" t="n">
        <f aca="false">SUM(N7:N26)</f>
        <v>2100000</v>
      </c>
      <c r="O27" s="33" t="n">
        <f aca="false">SUM(O7:O26)</f>
        <v>2700000</v>
      </c>
      <c r="P27" s="33" t="n">
        <f aca="false">SUM(P7:P26)</f>
        <v>2700000</v>
      </c>
      <c r="Q27" s="33" t="n">
        <f aca="false">SUM(Q7:Q26)</f>
        <v>3000000</v>
      </c>
      <c r="R27" s="33" t="n">
        <f aca="false">SUM(R7:R26)</f>
        <v>3300000</v>
      </c>
      <c r="S27" s="33" t="n">
        <f aca="false">SUM(S7:S26)</f>
        <v>27630000</v>
      </c>
    </row>
    <row r="28" customFormat="false" ht="15" hidden="false" customHeight="false" outlineLevel="0" collapsed="false">
      <c r="B28" s="45" t="s">
        <v>174</v>
      </c>
      <c r="G28" s="31" t="n">
        <f aca="false">Assumptions!$C$7*INDEX(Assumptions!$D$29:$D$40,1)</f>
        <v>1680000</v>
      </c>
      <c r="H28" s="31" t="n">
        <f aca="false">Assumptions!$C$7*INDEX(Assumptions!$D$29:$D$40,2)</f>
        <v>1920000</v>
      </c>
      <c r="I28" s="31" t="n">
        <f aca="false">Assumptions!$C$7*INDEX(Assumptions!$D$29:$D$40,3)</f>
        <v>2160000</v>
      </c>
      <c r="J28" s="31" t="n">
        <f aca="false">Assumptions!$C$7*INDEX(Assumptions!$D$29:$D$40,4)</f>
        <v>1920000</v>
      </c>
      <c r="K28" s="31" t="n">
        <f aca="false">Assumptions!$C$7*INDEX(Assumptions!$D$29:$D$40,5)</f>
        <v>2160000</v>
      </c>
      <c r="L28" s="31" t="n">
        <f aca="false">Assumptions!$C$7*INDEX(Assumptions!$D$29:$D$40,6)</f>
        <v>2160000</v>
      </c>
      <c r="M28" s="31" t="n">
        <f aca="false">Assumptions!$C$7*INDEX(Assumptions!$D$29:$D$40,7)</f>
        <v>960000</v>
      </c>
      <c r="N28" s="31" t="n">
        <f aca="false">Assumptions!$C$7*INDEX(Assumptions!$D$29:$D$40,8)</f>
        <v>1680000</v>
      </c>
      <c r="O28" s="31" t="n">
        <f aca="false">Assumptions!$C$7*INDEX(Assumptions!$D$29:$D$40,9)</f>
        <v>2160000</v>
      </c>
      <c r="P28" s="31" t="n">
        <f aca="false">Assumptions!$C$7*INDEX(Assumptions!$D$29:$D$40,10)</f>
        <v>2160000</v>
      </c>
      <c r="Q28" s="31" t="n">
        <f aca="false">Assumptions!$C$7*INDEX(Assumptions!$D$29:$D$40,11)</f>
        <v>2400000</v>
      </c>
      <c r="R28" s="31" t="n">
        <f aca="false">Assumptions!$C$7*INDEX(Assumptions!$D$29:$D$40,12)</f>
        <v>2640000</v>
      </c>
      <c r="S28" s="31" t="n">
        <f aca="false">SUM(G28:R28)</f>
        <v>24000000</v>
      </c>
    </row>
    <row r="29" customFormat="false" ht="15" hidden="false" customHeight="false" outlineLevel="0" collapsed="false">
      <c r="B29" s="45" t="s">
        <v>175</v>
      </c>
      <c r="G29" s="27" t="n">
        <f aca="false">IFERROR(G27/G28,0)</f>
        <v>0.9375</v>
      </c>
      <c r="H29" s="27" t="n">
        <f aca="false">IFERROR(H27/H28,0)</f>
        <v>1</v>
      </c>
      <c r="I29" s="27" t="n">
        <f aca="false">IFERROR(I27/I28,0)</f>
        <v>1</v>
      </c>
      <c r="J29" s="27" t="n">
        <f aca="false">IFERROR(J27/J28,0)</f>
        <v>1.0625</v>
      </c>
      <c r="K29" s="27" t="n">
        <f aca="false">IFERROR(K27/K28,0)</f>
        <v>1.125</v>
      </c>
      <c r="L29" s="27" t="n">
        <f aca="false">IFERROR(L27/L28,0)</f>
        <v>1.1875</v>
      </c>
      <c r="M29" s="27" t="n">
        <f aca="false">IFERROR(M27/M28,0)</f>
        <v>1.1875</v>
      </c>
      <c r="N29" s="27" t="n">
        <f aca="false">IFERROR(N27/N28,0)</f>
        <v>1.25</v>
      </c>
      <c r="O29" s="27" t="n">
        <f aca="false">IFERROR(O27/O28,0)</f>
        <v>1.25</v>
      </c>
      <c r="P29" s="27" t="n">
        <f aca="false">IFERROR(P27/P28,0)</f>
        <v>1.25</v>
      </c>
      <c r="Q29" s="27" t="n">
        <f aca="false">IFERROR(Q27/Q28,0)</f>
        <v>1.25</v>
      </c>
      <c r="R29" s="27" t="n">
        <f aca="false">IFERROR(R27/R28,0)</f>
        <v>1.25</v>
      </c>
      <c r="S29" s="27" t="n">
        <f aca="false">IFERROR(S27/S28,0)</f>
        <v>1.15125</v>
      </c>
    </row>
    <row r="31" customFormat="false" ht="15" hidden="false" customHeight="false" outlineLevel="0" collapsed="false">
      <c r="B31" s="21" t="s">
        <v>176</v>
      </c>
    </row>
  </sheetData>
  <dataValidations count="3">
    <dataValidation allowBlank="true" error="Enter a month from 1 to 12." errorStyle="stop" errorTitle="Invalid month" operator="between" showDropDown="false" showErrorMessage="false" showInputMessage="false" sqref="C7:C26" type="whole">
      <formula1>1</formula1>
      <formula2>12</formula2>
    </dataValidation>
    <dataValidation allowBlank="true" errorStyle="stop" operator="between" showDropDown="false" showErrorMessage="false" showInputMessage="false" sqref="D7:D26" type="list">
      <formula1>"Yes,No"</formula1>
      <formula2>0</formula2>
    </dataValidation>
    <dataValidation allowBlank="true" errorStyle="stop" operator="greaterThan" showDropDown="false" showErrorMessage="false" showInputMessage="false" sqref="E7:E26" type="decimal">
      <formula1>0</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&amp;C&amp;"Arial,Regular"&amp;8 &amp;Ka1a0bdprowi.io · Free template from Prowi</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I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9" min="3" style="0" width="16"/>
  </cols>
  <sheetData>
    <row r="2" customFormat="false" ht="30" hidden="false" customHeight="true" outlineLevel="0" collapsed="false">
      <c r="B2" s="17" t="s">
        <v>177</v>
      </c>
    </row>
    <row r="3" customFormat="false" ht="15" hidden="false" customHeight="false" outlineLevel="0" collapsed="false">
      <c r="B3" s="18" t="s">
        <v>178</v>
      </c>
    </row>
    <row r="4" customFormat="false" ht="15" hidden="false" customHeight="false" outlineLevel="0" collapsed="false">
      <c r="B4" s="7" t="s">
        <v>179</v>
      </c>
    </row>
    <row r="5" customFormat="false" ht="15" hidden="false" customHeight="false" outlineLevel="0" collapsed="false">
      <c r="B5" s="19" t="s">
        <v>180</v>
      </c>
      <c r="C5" s="31" t="n">
        <f aca="false">Assumptions!$C$22*12</f>
        <v>504000</v>
      </c>
    </row>
    <row r="6" customFormat="false" ht="15" hidden="false" customHeight="false" outlineLevel="0" collapsed="false">
      <c r="B6" s="19" t="s">
        <v>181</v>
      </c>
      <c r="C6" s="31" t="n">
        <f aca="false">Assumptions!$C$23</f>
        <v>216000</v>
      </c>
    </row>
    <row r="7" customFormat="false" ht="15" hidden="false" customHeight="false" outlineLevel="0" collapsed="false">
      <c r="B7" s="19" t="s">
        <v>182</v>
      </c>
      <c r="C7" s="33" t="n">
        <f aca="false">C5+C6</f>
        <v>720000</v>
      </c>
      <c r="D7" s="21" t="s">
        <v>183</v>
      </c>
    </row>
    <row r="8" customFormat="false" ht="15" hidden="false" customHeight="false" outlineLevel="0" collapsed="false">
      <c r="B8" s="19" t="s">
        <v>184</v>
      </c>
      <c r="C8" s="27" t="n">
        <f aca="false">IFERROR(C5/C7,0)</f>
        <v>0.7</v>
      </c>
    </row>
    <row r="9" customFormat="false" ht="15" hidden="false" customHeight="false" outlineLevel="0" collapsed="false">
      <c r="B9" s="19" t="s">
        <v>185</v>
      </c>
      <c r="C9" s="27" t="n">
        <f aca="false">IFERROR(C6/C7,0)</f>
        <v>0.3</v>
      </c>
    </row>
    <row r="10" customFormat="false" ht="23.85" hidden="false" customHeight="false" outlineLevel="0" collapsed="false">
      <c r="B10" s="19" t="s">
        <v>186</v>
      </c>
      <c r="C10" s="46" t="n">
        <f aca="false">IFERROR(C6/Assumptions!$C$14,0)</f>
        <v>0.072</v>
      </c>
      <c r="D10" s="21" t="s">
        <v>187</v>
      </c>
    </row>
    <row r="11" customFormat="false" ht="23.85" hidden="false" customHeight="false" outlineLevel="0" collapsed="false">
      <c r="B11" s="19" t="s">
        <v>188</v>
      </c>
      <c r="C11" s="47" t="n">
        <f aca="false">C10*Assumptions!$C$24</f>
        <v>0.108</v>
      </c>
    </row>
    <row r="13" customFormat="false" ht="15" hidden="false" customHeight="false" outlineLevel="0" collapsed="false">
      <c r="B13" s="7" t="s">
        <v>189</v>
      </c>
    </row>
    <row r="14" customFormat="false" ht="21.75" hidden="false" customHeight="true" outlineLevel="0" collapsed="false">
      <c r="B14" s="25"/>
      <c r="C14" s="25" t="s">
        <v>190</v>
      </c>
      <c r="D14" s="25" t="s">
        <v>191</v>
      </c>
      <c r="E14" s="25" t="s">
        <v>192</v>
      </c>
    </row>
    <row r="15" customFormat="false" ht="15" hidden="false" customHeight="false" outlineLevel="0" collapsed="false">
      <c r="B15" s="19" t="s">
        <v>193</v>
      </c>
      <c r="C15" s="23" t="n">
        <v>0.8</v>
      </c>
      <c r="D15" s="23" t="n">
        <v>1</v>
      </c>
      <c r="E15" s="23" t="n">
        <v>1.2</v>
      </c>
    </row>
    <row r="16" customFormat="false" ht="15" hidden="false" customHeight="false" outlineLevel="0" collapsed="false">
      <c r="B16" s="19" t="s">
        <v>194</v>
      </c>
      <c r="C16" s="31" t="n">
        <f aca="false">Assumptions!$C$14*C15</f>
        <v>2400000</v>
      </c>
      <c r="D16" s="31" t="n">
        <f aca="false">Assumptions!$C$14*D15</f>
        <v>3000000</v>
      </c>
      <c r="E16" s="31" t="n">
        <f aca="false">Assumptions!$C$14*E15</f>
        <v>3600000</v>
      </c>
    </row>
    <row r="17" customFormat="false" ht="15" hidden="false" customHeight="false" outlineLevel="0" collapsed="false">
      <c r="B17" s="19" t="s">
        <v>195</v>
      </c>
      <c r="C17" s="33" t="n">
        <f aca="false">Assumptions!$C$14*MIN(C15,1)*$C$10+Assumptions!$C$14*MAX(0,C15-1)*$C$11</f>
        <v>172800</v>
      </c>
      <c r="D17" s="33" t="n">
        <f aca="false">Assumptions!$C$14*MIN(D15,1)*$C$10+Assumptions!$C$14*MAX(0,D15-1)*$C$11</f>
        <v>216000</v>
      </c>
      <c r="E17" s="33" t="n">
        <f aca="false">Assumptions!$C$14*MIN(E15,1)*$C$10+Assumptions!$C$14*MAX(0,E15-1)*$C$11</f>
        <v>280800</v>
      </c>
    </row>
    <row r="18" customFormat="false" ht="15" hidden="false" customHeight="false" outlineLevel="0" collapsed="false">
      <c r="B18" s="19" t="s">
        <v>196</v>
      </c>
      <c r="C18" s="31" t="n">
        <f aca="false">$C$5+C17</f>
        <v>676800</v>
      </c>
      <c r="D18" s="31" t="n">
        <f aca="false">$C$5+D17</f>
        <v>720000</v>
      </c>
      <c r="E18" s="31" t="n">
        <f aca="false">$C$5+E17</f>
        <v>784800</v>
      </c>
    </row>
    <row r="19" customFormat="false" ht="15" hidden="false" customHeight="false" outlineLevel="0" collapsed="false">
      <c r="B19" s="19" t="s">
        <v>197</v>
      </c>
      <c r="C19" s="47" t="n">
        <f aca="false">IFERROR(C17/C16,0)</f>
        <v>0.072</v>
      </c>
      <c r="D19" s="47" t="n">
        <f aca="false">IFERROR(D17/D16,0)</f>
        <v>0.072</v>
      </c>
      <c r="E19" s="47" t="n">
        <f aca="false">IFERROR(E17/E16,0)</f>
        <v>0.078</v>
      </c>
    </row>
    <row r="21" customFormat="false" ht="15" hidden="false" customHeight="false" outlineLevel="0" collapsed="false">
      <c r="B21" s="7" t="s">
        <v>198</v>
      </c>
    </row>
    <row r="22" customFormat="false" ht="15" hidden="false" customHeight="false" outlineLevel="0" collapsed="false">
      <c r="B22" s="21" t="s">
        <v>199</v>
      </c>
    </row>
    <row r="23" customFormat="false" ht="42" hidden="false" customHeight="true" outlineLevel="0" collapsed="false">
      <c r="B23" s="25" t="s">
        <v>144</v>
      </c>
      <c r="C23" s="25" t="s">
        <v>200</v>
      </c>
      <c r="D23" s="25" t="s">
        <v>160</v>
      </c>
      <c r="E23" s="25" t="s">
        <v>31</v>
      </c>
      <c r="F23" s="25" t="s">
        <v>201</v>
      </c>
      <c r="G23" s="25" t="s">
        <v>202</v>
      </c>
      <c r="H23" s="25" t="s">
        <v>203</v>
      </c>
      <c r="I23" s="25" t="s">
        <v>204</v>
      </c>
    </row>
    <row r="24" customFormat="false" ht="15" hidden="false" customHeight="false" outlineLevel="0" collapsed="false">
      <c r="B24" s="12" t="str">
        <f aca="false">IF('Quota allocation'!$B$7="","",'Quota allocation'!$B$7)</f>
        <v>Anna Holm</v>
      </c>
      <c r="C24" s="48" t="n">
        <f aca="false">IF($B24="","",13-IF(N('Quota allocation'!$C$7)&lt;1,1,'Quota allocation'!$C$7))</f>
        <v>12</v>
      </c>
      <c r="D24" s="31" t="n">
        <f aca="false">IF($B24="","",'Quota allocation'!$S$7)</f>
        <v>3000000</v>
      </c>
      <c r="E24" s="47" t="n">
        <f aca="false">IF($B24="","",IFERROR($C$6/'Quota allocation'!$F$7,0))</f>
        <v>0.072</v>
      </c>
      <c r="F24" s="31" t="n">
        <f aca="false">IF($B24="","",Assumptions!$C$22*$C24)</f>
        <v>504000</v>
      </c>
      <c r="G24" s="31" t="n">
        <f aca="false">IF($B24="","",$D24*MIN(C$15,1)*$E24+$D24*MAX(0,C$15-1)*$E24*Assumptions!$C$24)</f>
        <v>172800</v>
      </c>
      <c r="H24" s="31" t="n">
        <f aca="false">IF($B24="","",$D24*MIN(D$15,1)*$E24+$D24*MAX(0,D$15-1)*$E24*Assumptions!$C$24)</f>
        <v>216000</v>
      </c>
      <c r="I24" s="31" t="n">
        <f aca="false">IF($B24="","",$D24*MIN(E$15,1)*$E24+$D24*MAX(0,E$15-1)*$E24*Assumptions!$C$24)</f>
        <v>280800</v>
      </c>
    </row>
    <row r="25" customFormat="false" ht="15" hidden="false" customHeight="false" outlineLevel="0" collapsed="false">
      <c r="B25" s="12" t="str">
        <f aca="false">IF('Quota allocation'!$B$8="","",'Quota allocation'!$B$8)</f>
        <v>Bo Jensen</v>
      </c>
      <c r="C25" s="48" t="n">
        <f aca="false">IF($B25="","",13-IF(N('Quota allocation'!$C$8)&lt;1,1,'Quota allocation'!$C$8))</f>
        <v>12</v>
      </c>
      <c r="D25" s="31" t="n">
        <f aca="false">IF($B25="","",'Quota allocation'!$S$8)</f>
        <v>3000000</v>
      </c>
      <c r="E25" s="47" t="n">
        <f aca="false">IF($B25="","",IFERROR($C$6/'Quota allocation'!$F$8,0))</f>
        <v>0.072</v>
      </c>
      <c r="F25" s="31" t="n">
        <f aca="false">IF($B25="","",Assumptions!$C$22*$C25)</f>
        <v>504000</v>
      </c>
      <c r="G25" s="31" t="n">
        <f aca="false">IF($B25="","",$D25*MIN(C$15,1)*$E25+$D25*MAX(0,C$15-1)*$E25*Assumptions!$C$24)</f>
        <v>172800</v>
      </c>
      <c r="H25" s="31" t="n">
        <f aca="false">IF($B25="","",$D25*MIN(D$15,1)*$E25+$D25*MAX(0,D$15-1)*$E25*Assumptions!$C$24)</f>
        <v>216000</v>
      </c>
      <c r="I25" s="31" t="n">
        <f aca="false">IF($B25="","",$D25*MIN(E$15,1)*$E25+$D25*MAX(0,E$15-1)*$E25*Assumptions!$C$24)</f>
        <v>280800</v>
      </c>
    </row>
    <row r="26" customFormat="false" ht="15" hidden="false" customHeight="false" outlineLevel="0" collapsed="false">
      <c r="B26" s="12" t="str">
        <f aca="false">IF('Quota allocation'!$B$9="","",'Quota allocation'!$B$9)</f>
        <v>Camilla Nørgaard</v>
      </c>
      <c r="C26" s="48" t="n">
        <f aca="false">IF($B26="","",13-IF(N('Quota allocation'!$C$9)&lt;1,1,'Quota allocation'!$C$9))</f>
        <v>12</v>
      </c>
      <c r="D26" s="31" t="n">
        <f aca="false">IF($B26="","",'Quota allocation'!$S$9)</f>
        <v>3000000</v>
      </c>
      <c r="E26" s="47" t="n">
        <f aca="false">IF($B26="","",IFERROR($C$6/'Quota allocation'!$F$9,0))</f>
        <v>0.072</v>
      </c>
      <c r="F26" s="31" t="n">
        <f aca="false">IF($B26="","",Assumptions!$C$22*$C26)</f>
        <v>504000</v>
      </c>
      <c r="G26" s="31" t="n">
        <f aca="false">IF($B26="","",$D26*MIN(C$15,1)*$E26+$D26*MAX(0,C$15-1)*$E26*Assumptions!$C$24)</f>
        <v>172800</v>
      </c>
      <c r="H26" s="31" t="n">
        <f aca="false">IF($B26="","",$D26*MIN(D$15,1)*$E26+$D26*MAX(0,D$15-1)*$E26*Assumptions!$C$24)</f>
        <v>216000</v>
      </c>
      <c r="I26" s="31" t="n">
        <f aca="false">IF($B26="","",$D26*MIN(E$15,1)*$E26+$D26*MAX(0,E$15-1)*$E26*Assumptions!$C$24)</f>
        <v>280800</v>
      </c>
    </row>
    <row r="27" customFormat="false" ht="15" hidden="false" customHeight="false" outlineLevel="0" collapsed="false">
      <c r="B27" s="12" t="str">
        <f aca="false">IF('Quota allocation'!$B$10="","",'Quota allocation'!$B$10)</f>
        <v>Dennis Lund</v>
      </c>
      <c r="C27" s="48" t="n">
        <f aca="false">IF($B27="","",13-IF(N('Quota allocation'!$C$10)&lt;1,1,'Quota allocation'!$C$10))</f>
        <v>12</v>
      </c>
      <c r="D27" s="31" t="n">
        <f aca="false">IF($B27="","",'Quota allocation'!$S$10)</f>
        <v>3000000</v>
      </c>
      <c r="E27" s="47" t="n">
        <f aca="false">IF($B27="","",IFERROR($C$6/'Quota allocation'!$F$10,0))</f>
        <v>0.072</v>
      </c>
      <c r="F27" s="31" t="n">
        <f aca="false">IF($B27="","",Assumptions!$C$22*$C27)</f>
        <v>504000</v>
      </c>
      <c r="G27" s="31" t="n">
        <f aca="false">IF($B27="","",$D27*MIN(C$15,1)*$E27+$D27*MAX(0,C$15-1)*$E27*Assumptions!$C$24)</f>
        <v>172800</v>
      </c>
      <c r="H27" s="31" t="n">
        <f aca="false">IF($B27="","",$D27*MIN(D$15,1)*$E27+$D27*MAX(0,D$15-1)*$E27*Assumptions!$C$24)</f>
        <v>216000</v>
      </c>
      <c r="I27" s="31" t="n">
        <f aca="false">IF($B27="","",$D27*MIN(E$15,1)*$E27+$D27*MAX(0,E$15-1)*$E27*Assumptions!$C$24)</f>
        <v>280800</v>
      </c>
    </row>
    <row r="28" customFormat="false" ht="15" hidden="false" customHeight="false" outlineLevel="0" collapsed="false">
      <c r="B28" s="12" t="str">
        <f aca="false">IF('Quota allocation'!$B$11="","",'Quota allocation'!$B$11)</f>
        <v>Emma Krogh</v>
      </c>
      <c r="C28" s="48" t="n">
        <f aca="false">IF($B28="","",13-IF(N('Quota allocation'!$C$11)&lt;1,1,'Quota allocation'!$C$11))</f>
        <v>12</v>
      </c>
      <c r="D28" s="31" t="n">
        <f aca="false">IF($B28="","",'Quota allocation'!$S$11)</f>
        <v>3000000</v>
      </c>
      <c r="E28" s="47" t="n">
        <f aca="false">IF($B28="","",IFERROR($C$6/'Quota allocation'!$F$11,0))</f>
        <v>0.072</v>
      </c>
      <c r="F28" s="31" t="n">
        <f aca="false">IF($B28="","",Assumptions!$C$22*$C28)</f>
        <v>504000</v>
      </c>
      <c r="G28" s="31" t="n">
        <f aca="false">IF($B28="","",$D28*MIN(C$15,1)*$E28+$D28*MAX(0,C$15-1)*$E28*Assumptions!$C$24)</f>
        <v>172800</v>
      </c>
      <c r="H28" s="31" t="n">
        <f aca="false">IF($B28="","",$D28*MIN(D$15,1)*$E28+$D28*MAX(0,D$15-1)*$E28*Assumptions!$C$24)</f>
        <v>216000</v>
      </c>
      <c r="I28" s="31" t="n">
        <f aca="false">IF($B28="","",$D28*MIN(E$15,1)*$E28+$D28*MAX(0,E$15-1)*$E28*Assumptions!$C$24)</f>
        <v>280800</v>
      </c>
    </row>
    <row r="29" customFormat="false" ht="15" hidden="false" customHeight="false" outlineLevel="0" collapsed="false">
      <c r="B29" s="12" t="str">
        <f aca="false">IF('Quota allocation'!$B$12="","",'Quota allocation'!$B$12)</f>
        <v>Frederik Sand</v>
      </c>
      <c r="C29" s="48" t="n">
        <f aca="false">IF($B29="","",13-IF(N('Quota allocation'!$C$12)&lt;1,1,'Quota allocation'!$C$12))</f>
        <v>12</v>
      </c>
      <c r="D29" s="31" t="n">
        <f aca="false">IF($B29="","",'Quota allocation'!$S$12)</f>
        <v>3000000</v>
      </c>
      <c r="E29" s="47" t="n">
        <f aca="false">IF($B29="","",IFERROR($C$6/'Quota allocation'!$F$12,0))</f>
        <v>0.072</v>
      </c>
      <c r="F29" s="31" t="n">
        <f aca="false">IF($B29="","",Assumptions!$C$22*$C29)</f>
        <v>504000</v>
      </c>
      <c r="G29" s="31" t="n">
        <f aca="false">IF($B29="","",$D29*MIN(C$15,1)*$E29+$D29*MAX(0,C$15-1)*$E29*Assumptions!$C$24)</f>
        <v>172800</v>
      </c>
      <c r="H29" s="31" t="n">
        <f aca="false">IF($B29="","",$D29*MIN(D$15,1)*$E29+$D29*MAX(0,D$15-1)*$E29*Assumptions!$C$24)</f>
        <v>216000</v>
      </c>
      <c r="I29" s="31" t="n">
        <f aca="false">IF($B29="","",$D29*MIN(E$15,1)*$E29+$D29*MAX(0,E$15-1)*$E29*Assumptions!$C$24)</f>
        <v>280800</v>
      </c>
    </row>
    <row r="30" customFormat="false" ht="15" hidden="false" customHeight="false" outlineLevel="0" collapsed="false">
      <c r="B30" s="12" t="str">
        <f aca="false">IF('Quota allocation'!$B$13="","",'Quota allocation'!$B$13)</f>
        <v>Gitte Mølgaard</v>
      </c>
      <c r="C30" s="48" t="n">
        <f aca="false">IF($B30="","",13-IF(N('Quota allocation'!$C$13)&lt;1,1,'Quota allocation'!$C$13))</f>
        <v>12</v>
      </c>
      <c r="D30" s="31" t="n">
        <f aca="false">IF($B30="","",'Quota allocation'!$S$13)</f>
        <v>3000000</v>
      </c>
      <c r="E30" s="47" t="n">
        <f aca="false">IF($B30="","",IFERROR($C$6/'Quota allocation'!$F$13,0))</f>
        <v>0.072</v>
      </c>
      <c r="F30" s="31" t="n">
        <f aca="false">IF($B30="","",Assumptions!$C$22*$C30)</f>
        <v>504000</v>
      </c>
      <c r="G30" s="31" t="n">
        <f aca="false">IF($B30="","",$D30*MIN(C$15,1)*$E30+$D30*MAX(0,C$15-1)*$E30*Assumptions!$C$24)</f>
        <v>172800</v>
      </c>
      <c r="H30" s="31" t="n">
        <f aca="false">IF($B30="","",$D30*MIN(D$15,1)*$E30+$D30*MAX(0,D$15-1)*$E30*Assumptions!$C$24)</f>
        <v>216000</v>
      </c>
      <c r="I30" s="31" t="n">
        <f aca="false">IF($B30="","",$D30*MIN(E$15,1)*$E30+$D30*MAX(0,E$15-1)*$E30*Assumptions!$C$24)</f>
        <v>280800</v>
      </c>
    </row>
    <row r="31" customFormat="false" ht="15" hidden="false" customHeight="false" outlineLevel="0" collapsed="false">
      <c r="B31" s="12" t="str">
        <f aca="false">IF('Quota allocation'!$B$14="","",'Quota allocation'!$B$14)</f>
        <v>New rep 1</v>
      </c>
      <c r="C31" s="48" t="n">
        <f aca="false">IF($B31="","",13-IF(N('Quota allocation'!$C$14)&lt;1,1,'Quota allocation'!$C$14))</f>
        <v>12</v>
      </c>
      <c r="D31" s="31" t="n">
        <f aca="false">IF($B31="","",'Quota allocation'!$S$14)</f>
        <v>2520000</v>
      </c>
      <c r="E31" s="47" t="n">
        <f aca="false">IF($B31="","",IFERROR($C$6/'Quota allocation'!$F$14,0))</f>
        <v>0.072</v>
      </c>
      <c r="F31" s="31" t="n">
        <f aca="false">IF($B31="","",Assumptions!$C$22*$C31)</f>
        <v>504000</v>
      </c>
      <c r="G31" s="31" t="n">
        <f aca="false">IF($B31="","",$D31*MIN(C$15,1)*$E31+$D31*MAX(0,C$15-1)*$E31*Assumptions!$C$24)</f>
        <v>145152</v>
      </c>
      <c r="H31" s="31" t="n">
        <f aca="false">IF($B31="","",$D31*MIN(D$15,1)*$E31+$D31*MAX(0,D$15-1)*$E31*Assumptions!$C$24)</f>
        <v>181440</v>
      </c>
      <c r="I31" s="31" t="n">
        <f aca="false">IF($B31="","",$D31*MIN(E$15,1)*$E31+$D31*MAX(0,E$15-1)*$E31*Assumptions!$C$24)</f>
        <v>235872</v>
      </c>
    </row>
    <row r="32" customFormat="false" ht="15" hidden="false" customHeight="false" outlineLevel="0" collapsed="false">
      <c r="B32" s="12" t="str">
        <f aca="false">IF('Quota allocation'!$B$15="","",'Quota allocation'!$B$15)</f>
        <v>New rep 2</v>
      </c>
      <c r="C32" s="48" t="n">
        <f aca="false">IF($B32="","",13-IF(N('Quota allocation'!$C$15)&lt;1,1,'Quota allocation'!$C$15))</f>
        <v>11</v>
      </c>
      <c r="D32" s="31" t="n">
        <f aca="false">IF($B32="","",'Quota allocation'!$S$15)</f>
        <v>2280000</v>
      </c>
      <c r="E32" s="47" t="n">
        <f aca="false">IF($B32="","",IFERROR($C$6/'Quota allocation'!$F$15,0))</f>
        <v>0.072</v>
      </c>
      <c r="F32" s="31" t="n">
        <f aca="false">IF($B32="","",Assumptions!$C$22*$C32)</f>
        <v>462000</v>
      </c>
      <c r="G32" s="31" t="n">
        <f aca="false">IF($B32="","",$D32*MIN(C$15,1)*$E32+$D32*MAX(0,C$15-1)*$E32*Assumptions!$C$24)</f>
        <v>131328</v>
      </c>
      <c r="H32" s="31" t="n">
        <f aca="false">IF($B32="","",$D32*MIN(D$15,1)*$E32+$D32*MAX(0,D$15-1)*$E32*Assumptions!$C$24)</f>
        <v>164160</v>
      </c>
      <c r="I32" s="31" t="n">
        <f aca="false">IF($B32="","",$D32*MIN(E$15,1)*$E32+$D32*MAX(0,E$15-1)*$E32*Assumptions!$C$24)</f>
        <v>213408</v>
      </c>
    </row>
    <row r="33" customFormat="false" ht="15" hidden="false" customHeight="false" outlineLevel="0" collapsed="false">
      <c r="B33" s="12" t="str">
        <f aca="false">IF('Quota allocation'!$B$16="","",'Quota allocation'!$B$16)</f>
        <v>New rep 3</v>
      </c>
      <c r="C33" s="48" t="n">
        <f aca="false">IF($B33="","",13-IF(N('Quota allocation'!$C$16)&lt;1,1,'Quota allocation'!$C$16))</f>
        <v>9</v>
      </c>
      <c r="D33" s="31" t="n">
        <f aca="false">IF($B33="","",'Quota allocation'!$S$16)</f>
        <v>1830000</v>
      </c>
      <c r="E33" s="47" t="n">
        <f aca="false">IF($B33="","",IFERROR($C$6/'Quota allocation'!$F$16,0))</f>
        <v>0.072</v>
      </c>
      <c r="F33" s="31" t="n">
        <f aca="false">IF($B33="","",Assumptions!$C$22*$C33)</f>
        <v>378000</v>
      </c>
      <c r="G33" s="31" t="n">
        <f aca="false">IF($B33="","",$D33*MIN(C$15,1)*$E33+$D33*MAX(0,C$15-1)*$E33*Assumptions!$C$24)</f>
        <v>105408</v>
      </c>
      <c r="H33" s="31" t="n">
        <f aca="false">IF($B33="","",$D33*MIN(D$15,1)*$E33+$D33*MAX(0,D$15-1)*$E33*Assumptions!$C$24)</f>
        <v>131760</v>
      </c>
      <c r="I33" s="31" t="n">
        <f aca="false">IF($B33="","",$D33*MIN(E$15,1)*$E33+$D33*MAX(0,E$15-1)*$E33*Assumptions!$C$24)</f>
        <v>171288</v>
      </c>
    </row>
    <row r="34" customFormat="false" ht="15" hidden="false" customHeight="false" outlineLevel="0" collapsed="false">
      <c r="B34" s="12" t="str">
        <f aca="false">IF('Quota allocation'!$B$17="","",'Quota allocation'!$B$17)</f>
        <v/>
      </c>
      <c r="C34" s="48" t="str">
        <f aca="false">IF($B34="","",13-IF(N('Quota allocation'!$C$17)&lt;1,1,'Quota allocation'!$C$17))</f>
        <v/>
      </c>
      <c r="D34" s="31" t="str">
        <f aca="false">IF($B34="","",'Quota allocation'!$S$17)</f>
        <v/>
      </c>
      <c r="E34" s="47" t="str">
        <f aca="false">IF($B34="","",IFERROR($C$6/'Quota allocation'!$F$17,0))</f>
        <v/>
      </c>
      <c r="F34" s="31" t="str">
        <f aca="false">IF($B34="","",Assumptions!$C$22*$C34)</f>
        <v/>
      </c>
      <c r="G34" s="31" t="str">
        <f aca="false">IF($B34="","",$D34*MIN(C$15,1)*$E34+$D34*MAX(0,C$15-1)*$E34*Assumptions!$C$24)</f>
        <v/>
      </c>
      <c r="H34" s="31" t="str">
        <f aca="false">IF($B34="","",$D34*MIN(D$15,1)*$E34+$D34*MAX(0,D$15-1)*$E34*Assumptions!$C$24)</f>
        <v/>
      </c>
      <c r="I34" s="31" t="str">
        <f aca="false">IF($B34="","",$D34*MIN(E$15,1)*$E34+$D34*MAX(0,E$15-1)*$E34*Assumptions!$C$24)</f>
        <v/>
      </c>
    </row>
    <row r="35" customFormat="false" ht="15" hidden="false" customHeight="false" outlineLevel="0" collapsed="false">
      <c r="B35" s="12" t="str">
        <f aca="false">IF('Quota allocation'!$B$18="","",'Quota allocation'!$B$18)</f>
        <v/>
      </c>
      <c r="C35" s="48" t="str">
        <f aca="false">IF($B35="","",13-IF(N('Quota allocation'!$C$18)&lt;1,1,'Quota allocation'!$C$18))</f>
        <v/>
      </c>
      <c r="D35" s="31" t="str">
        <f aca="false">IF($B35="","",'Quota allocation'!$S$18)</f>
        <v/>
      </c>
      <c r="E35" s="47" t="str">
        <f aca="false">IF($B35="","",IFERROR($C$6/'Quota allocation'!$F$18,0))</f>
        <v/>
      </c>
      <c r="F35" s="31" t="str">
        <f aca="false">IF($B35="","",Assumptions!$C$22*$C35)</f>
        <v/>
      </c>
      <c r="G35" s="31" t="str">
        <f aca="false">IF($B35="","",$D35*MIN(C$15,1)*$E35+$D35*MAX(0,C$15-1)*$E35*Assumptions!$C$24)</f>
        <v/>
      </c>
      <c r="H35" s="31" t="str">
        <f aca="false">IF($B35="","",$D35*MIN(D$15,1)*$E35+$D35*MAX(0,D$15-1)*$E35*Assumptions!$C$24)</f>
        <v/>
      </c>
      <c r="I35" s="31" t="str">
        <f aca="false">IF($B35="","",$D35*MIN(E$15,1)*$E35+$D35*MAX(0,E$15-1)*$E35*Assumptions!$C$24)</f>
        <v/>
      </c>
    </row>
    <row r="36" customFormat="false" ht="15" hidden="false" customHeight="false" outlineLevel="0" collapsed="false">
      <c r="B36" s="12" t="str">
        <f aca="false">IF('Quota allocation'!$B$19="","",'Quota allocation'!$B$19)</f>
        <v/>
      </c>
      <c r="C36" s="48" t="str">
        <f aca="false">IF($B36="","",13-IF(N('Quota allocation'!$C$19)&lt;1,1,'Quota allocation'!$C$19))</f>
        <v/>
      </c>
      <c r="D36" s="31" t="str">
        <f aca="false">IF($B36="","",'Quota allocation'!$S$19)</f>
        <v/>
      </c>
      <c r="E36" s="47" t="str">
        <f aca="false">IF($B36="","",IFERROR($C$6/'Quota allocation'!$F$19,0))</f>
        <v/>
      </c>
      <c r="F36" s="31" t="str">
        <f aca="false">IF($B36="","",Assumptions!$C$22*$C36)</f>
        <v/>
      </c>
      <c r="G36" s="31" t="str">
        <f aca="false">IF($B36="","",$D36*MIN(C$15,1)*$E36+$D36*MAX(0,C$15-1)*$E36*Assumptions!$C$24)</f>
        <v/>
      </c>
      <c r="H36" s="31" t="str">
        <f aca="false">IF($B36="","",$D36*MIN(D$15,1)*$E36+$D36*MAX(0,D$15-1)*$E36*Assumptions!$C$24)</f>
        <v/>
      </c>
      <c r="I36" s="31" t="str">
        <f aca="false">IF($B36="","",$D36*MIN(E$15,1)*$E36+$D36*MAX(0,E$15-1)*$E36*Assumptions!$C$24)</f>
        <v/>
      </c>
    </row>
    <row r="37" customFormat="false" ht="15" hidden="false" customHeight="false" outlineLevel="0" collapsed="false">
      <c r="B37" s="12" t="str">
        <f aca="false">IF('Quota allocation'!$B$20="","",'Quota allocation'!$B$20)</f>
        <v/>
      </c>
      <c r="C37" s="48" t="str">
        <f aca="false">IF($B37="","",13-IF(N('Quota allocation'!$C$20)&lt;1,1,'Quota allocation'!$C$20))</f>
        <v/>
      </c>
      <c r="D37" s="31" t="str">
        <f aca="false">IF($B37="","",'Quota allocation'!$S$20)</f>
        <v/>
      </c>
      <c r="E37" s="47" t="str">
        <f aca="false">IF($B37="","",IFERROR($C$6/'Quota allocation'!$F$20,0))</f>
        <v/>
      </c>
      <c r="F37" s="31" t="str">
        <f aca="false">IF($B37="","",Assumptions!$C$22*$C37)</f>
        <v/>
      </c>
      <c r="G37" s="31" t="str">
        <f aca="false">IF($B37="","",$D37*MIN(C$15,1)*$E37+$D37*MAX(0,C$15-1)*$E37*Assumptions!$C$24)</f>
        <v/>
      </c>
      <c r="H37" s="31" t="str">
        <f aca="false">IF($B37="","",$D37*MIN(D$15,1)*$E37+$D37*MAX(0,D$15-1)*$E37*Assumptions!$C$24)</f>
        <v/>
      </c>
      <c r="I37" s="31" t="str">
        <f aca="false">IF($B37="","",$D37*MIN(E$15,1)*$E37+$D37*MAX(0,E$15-1)*$E37*Assumptions!$C$24)</f>
        <v/>
      </c>
    </row>
    <row r="38" customFormat="false" ht="15" hidden="false" customHeight="false" outlineLevel="0" collapsed="false">
      <c r="B38" s="12" t="str">
        <f aca="false">IF('Quota allocation'!$B$21="","",'Quota allocation'!$B$21)</f>
        <v/>
      </c>
      <c r="C38" s="48" t="str">
        <f aca="false">IF($B38="","",13-IF(N('Quota allocation'!$C$21)&lt;1,1,'Quota allocation'!$C$21))</f>
        <v/>
      </c>
      <c r="D38" s="31" t="str">
        <f aca="false">IF($B38="","",'Quota allocation'!$S$21)</f>
        <v/>
      </c>
      <c r="E38" s="47" t="str">
        <f aca="false">IF($B38="","",IFERROR($C$6/'Quota allocation'!$F$21,0))</f>
        <v/>
      </c>
      <c r="F38" s="31" t="str">
        <f aca="false">IF($B38="","",Assumptions!$C$22*$C38)</f>
        <v/>
      </c>
      <c r="G38" s="31" t="str">
        <f aca="false">IF($B38="","",$D38*MIN(C$15,1)*$E38+$D38*MAX(0,C$15-1)*$E38*Assumptions!$C$24)</f>
        <v/>
      </c>
      <c r="H38" s="31" t="str">
        <f aca="false">IF($B38="","",$D38*MIN(D$15,1)*$E38+$D38*MAX(0,D$15-1)*$E38*Assumptions!$C$24)</f>
        <v/>
      </c>
      <c r="I38" s="31" t="str">
        <f aca="false">IF($B38="","",$D38*MIN(E$15,1)*$E38+$D38*MAX(0,E$15-1)*$E38*Assumptions!$C$24)</f>
        <v/>
      </c>
    </row>
    <row r="39" customFormat="false" ht="15" hidden="false" customHeight="false" outlineLevel="0" collapsed="false">
      <c r="B39" s="12" t="str">
        <f aca="false">IF('Quota allocation'!$B$22="","",'Quota allocation'!$B$22)</f>
        <v/>
      </c>
      <c r="C39" s="48" t="str">
        <f aca="false">IF($B39="","",13-IF(N('Quota allocation'!$C$22)&lt;1,1,'Quota allocation'!$C$22))</f>
        <v/>
      </c>
      <c r="D39" s="31" t="str">
        <f aca="false">IF($B39="","",'Quota allocation'!$S$22)</f>
        <v/>
      </c>
      <c r="E39" s="47" t="str">
        <f aca="false">IF($B39="","",IFERROR($C$6/'Quota allocation'!$F$22,0))</f>
        <v/>
      </c>
      <c r="F39" s="31" t="str">
        <f aca="false">IF($B39="","",Assumptions!$C$22*$C39)</f>
        <v/>
      </c>
      <c r="G39" s="31" t="str">
        <f aca="false">IF($B39="","",$D39*MIN(C$15,1)*$E39+$D39*MAX(0,C$15-1)*$E39*Assumptions!$C$24)</f>
        <v/>
      </c>
      <c r="H39" s="31" t="str">
        <f aca="false">IF($B39="","",$D39*MIN(D$15,1)*$E39+$D39*MAX(0,D$15-1)*$E39*Assumptions!$C$24)</f>
        <v/>
      </c>
      <c r="I39" s="31" t="str">
        <f aca="false">IF($B39="","",$D39*MIN(E$15,1)*$E39+$D39*MAX(0,E$15-1)*$E39*Assumptions!$C$24)</f>
        <v/>
      </c>
    </row>
    <row r="40" customFormat="false" ht="15" hidden="false" customHeight="false" outlineLevel="0" collapsed="false">
      <c r="B40" s="12" t="str">
        <f aca="false">IF('Quota allocation'!$B$23="","",'Quota allocation'!$B$23)</f>
        <v/>
      </c>
      <c r="C40" s="48" t="str">
        <f aca="false">IF($B40="","",13-IF(N('Quota allocation'!$C$23)&lt;1,1,'Quota allocation'!$C$23))</f>
        <v/>
      </c>
      <c r="D40" s="31" t="str">
        <f aca="false">IF($B40="","",'Quota allocation'!$S$23)</f>
        <v/>
      </c>
      <c r="E40" s="47" t="str">
        <f aca="false">IF($B40="","",IFERROR($C$6/'Quota allocation'!$F$23,0))</f>
        <v/>
      </c>
      <c r="F40" s="31" t="str">
        <f aca="false">IF($B40="","",Assumptions!$C$22*$C40)</f>
        <v/>
      </c>
      <c r="G40" s="31" t="str">
        <f aca="false">IF($B40="","",$D40*MIN(C$15,1)*$E40+$D40*MAX(0,C$15-1)*$E40*Assumptions!$C$24)</f>
        <v/>
      </c>
      <c r="H40" s="31" t="str">
        <f aca="false">IF($B40="","",$D40*MIN(D$15,1)*$E40+$D40*MAX(0,D$15-1)*$E40*Assumptions!$C$24)</f>
        <v/>
      </c>
      <c r="I40" s="31" t="str">
        <f aca="false">IF($B40="","",$D40*MIN(E$15,1)*$E40+$D40*MAX(0,E$15-1)*$E40*Assumptions!$C$24)</f>
        <v/>
      </c>
    </row>
    <row r="41" customFormat="false" ht="15" hidden="false" customHeight="false" outlineLevel="0" collapsed="false">
      <c r="B41" s="12" t="str">
        <f aca="false">IF('Quota allocation'!$B$24="","",'Quota allocation'!$B$24)</f>
        <v/>
      </c>
      <c r="C41" s="48" t="str">
        <f aca="false">IF($B41="","",13-IF(N('Quota allocation'!$C$24)&lt;1,1,'Quota allocation'!$C$24))</f>
        <v/>
      </c>
      <c r="D41" s="31" t="str">
        <f aca="false">IF($B41="","",'Quota allocation'!$S$24)</f>
        <v/>
      </c>
      <c r="E41" s="47" t="str">
        <f aca="false">IF($B41="","",IFERROR($C$6/'Quota allocation'!$F$24,0))</f>
        <v/>
      </c>
      <c r="F41" s="31" t="str">
        <f aca="false">IF($B41="","",Assumptions!$C$22*$C41)</f>
        <v/>
      </c>
      <c r="G41" s="31" t="str">
        <f aca="false">IF($B41="","",$D41*MIN(C$15,1)*$E41+$D41*MAX(0,C$15-1)*$E41*Assumptions!$C$24)</f>
        <v/>
      </c>
      <c r="H41" s="31" t="str">
        <f aca="false">IF($B41="","",$D41*MIN(D$15,1)*$E41+$D41*MAX(0,D$15-1)*$E41*Assumptions!$C$24)</f>
        <v/>
      </c>
      <c r="I41" s="31" t="str">
        <f aca="false">IF($B41="","",$D41*MIN(E$15,1)*$E41+$D41*MAX(0,E$15-1)*$E41*Assumptions!$C$24)</f>
        <v/>
      </c>
    </row>
    <row r="42" customFormat="false" ht="15" hidden="false" customHeight="false" outlineLevel="0" collapsed="false">
      <c r="B42" s="12" t="str">
        <f aca="false">IF('Quota allocation'!$B$25="","",'Quota allocation'!$B$25)</f>
        <v/>
      </c>
      <c r="C42" s="48" t="str">
        <f aca="false">IF($B42="","",13-IF(N('Quota allocation'!$C$25)&lt;1,1,'Quota allocation'!$C$25))</f>
        <v/>
      </c>
      <c r="D42" s="31" t="str">
        <f aca="false">IF($B42="","",'Quota allocation'!$S$25)</f>
        <v/>
      </c>
      <c r="E42" s="47" t="str">
        <f aca="false">IF($B42="","",IFERROR($C$6/'Quota allocation'!$F$25,0))</f>
        <v/>
      </c>
      <c r="F42" s="31" t="str">
        <f aca="false">IF($B42="","",Assumptions!$C$22*$C42)</f>
        <v/>
      </c>
      <c r="G42" s="31" t="str">
        <f aca="false">IF($B42="","",$D42*MIN(C$15,1)*$E42+$D42*MAX(0,C$15-1)*$E42*Assumptions!$C$24)</f>
        <v/>
      </c>
      <c r="H42" s="31" t="str">
        <f aca="false">IF($B42="","",$D42*MIN(D$15,1)*$E42+$D42*MAX(0,D$15-1)*$E42*Assumptions!$C$24)</f>
        <v/>
      </c>
      <c r="I42" s="31" t="str">
        <f aca="false">IF($B42="","",$D42*MIN(E$15,1)*$E42+$D42*MAX(0,E$15-1)*$E42*Assumptions!$C$24)</f>
        <v/>
      </c>
    </row>
    <row r="43" customFormat="false" ht="15" hidden="false" customHeight="false" outlineLevel="0" collapsed="false">
      <c r="B43" s="12" t="str">
        <f aca="false">IF('Quota allocation'!$B$26="","",'Quota allocation'!$B$26)</f>
        <v/>
      </c>
      <c r="C43" s="48" t="str">
        <f aca="false">IF($B43="","",13-IF(N('Quota allocation'!$C$26)&lt;1,1,'Quota allocation'!$C$26))</f>
        <v/>
      </c>
      <c r="D43" s="31" t="str">
        <f aca="false">IF($B43="","",'Quota allocation'!$S$26)</f>
        <v/>
      </c>
      <c r="E43" s="47" t="str">
        <f aca="false">IF($B43="","",IFERROR($C$6/'Quota allocation'!$F$26,0))</f>
        <v/>
      </c>
      <c r="F43" s="31" t="str">
        <f aca="false">IF($B43="","",Assumptions!$C$22*$C43)</f>
        <v/>
      </c>
      <c r="G43" s="31" t="str">
        <f aca="false">IF($B43="","",$D43*MIN(C$15,1)*$E43+$D43*MAX(0,C$15-1)*$E43*Assumptions!$C$24)</f>
        <v/>
      </c>
      <c r="H43" s="31" t="str">
        <f aca="false">IF($B43="","",$D43*MIN(D$15,1)*$E43+$D43*MAX(0,D$15-1)*$E43*Assumptions!$C$24)</f>
        <v/>
      </c>
      <c r="I43" s="31" t="str">
        <f aca="false">IF($B43="","",$D43*MIN(E$15,1)*$E43+$D43*MAX(0,E$15-1)*$E43*Assumptions!$C$24)</f>
        <v/>
      </c>
    </row>
    <row r="44" customFormat="false" ht="15" hidden="false" customHeight="false" outlineLevel="0" collapsed="false">
      <c r="B44" s="43" t="s">
        <v>99</v>
      </c>
      <c r="C44" s="44"/>
      <c r="D44" s="33" t="n">
        <f aca="false">SUM(D24:D43)</f>
        <v>27630000</v>
      </c>
      <c r="E44" s="44"/>
      <c r="F44" s="33" t="n">
        <f aca="false">SUM(F24:F43)</f>
        <v>4872000</v>
      </c>
      <c r="G44" s="33" t="n">
        <f aca="false">SUM(G24:G43)</f>
        <v>1591488</v>
      </c>
      <c r="H44" s="33" t="n">
        <f aca="false">SUM(H24:H43)</f>
        <v>1989360</v>
      </c>
      <c r="I44" s="33" t="n">
        <f aca="false">SUM(I24:I43)</f>
        <v>2586168</v>
      </c>
    </row>
  </sheetData>
  <dataValidations count="1">
    <dataValidation allowBlank="false" errorStyle="stop" operator="between" showDropDown="false" showErrorMessage="false" showInputMessage="false" sqref="C15:E15" type="decimal">
      <formula1>0</formula1>
      <formula2>5</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&amp;C&amp;"Arial,Regular"&amp;8 &amp;Ka1a0bdprowi.io · Free template from Prowi</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5" min="3" style="0" width="17"/>
    <col collapsed="false" customWidth="true" hidden="false" outlineLevel="0" max="6" min="6" style="0" width="3"/>
  </cols>
  <sheetData>
    <row r="1" customFormat="false" ht="39.75" hidden="false" customHeight="true" outlineLevel="0" collapsed="false">
      <c r="E1" s="1" t="s">
        <v>205</v>
      </c>
    </row>
    <row r="2" customFormat="false" ht="36" hidden="false" customHeight="true" outlineLevel="0" collapsed="false">
      <c r="B2" s="49" t="s">
        <v>1</v>
      </c>
    </row>
    <row r="3" customFormat="false" ht="24" hidden="false" customHeight="true" outlineLevel="0" collapsed="false">
      <c r="B3" s="50" t="str">
        <f aca="false">"Budget year "&amp;Assumptions!$C$6</f>
        <v>Budget year 2026</v>
      </c>
      <c r="C3" s="51"/>
      <c r="D3" s="51"/>
      <c r="E3" s="51"/>
    </row>
    <row r="5" customFormat="false" ht="15" hidden="false" customHeight="false" outlineLevel="0" collapsed="false">
      <c r="B5" s="7" t="s">
        <v>206</v>
      </c>
    </row>
    <row r="6" customFormat="false" ht="15" hidden="false" customHeight="false" outlineLevel="0" collapsed="false">
      <c r="B6" s="52" t="s">
        <v>103</v>
      </c>
      <c r="C6" s="31" t="n">
        <f aca="false">Assumptions!$C$7</f>
        <v>24000000</v>
      </c>
    </row>
    <row r="7" customFormat="false" ht="15" hidden="false" customHeight="false" outlineLevel="0" collapsed="false">
      <c r="B7" s="52" t="s">
        <v>105</v>
      </c>
      <c r="C7" s="32" t="n">
        <f aca="false">Capacity!$C$6</f>
        <v>160</v>
      </c>
    </row>
    <row r="8" customFormat="false" ht="15" hidden="false" customHeight="false" outlineLevel="0" collapsed="false">
      <c r="B8" s="52" t="s">
        <v>207</v>
      </c>
      <c r="C8" s="32" t="n">
        <f aca="false">Capacity!$C$7</f>
        <v>640</v>
      </c>
    </row>
    <row r="9" customFormat="false" ht="15" hidden="false" customHeight="false" outlineLevel="0" collapsed="false">
      <c r="B9" s="52" t="s">
        <v>109</v>
      </c>
      <c r="C9" s="31" t="n">
        <f aca="false">Capacity!$C$8</f>
        <v>96000000</v>
      </c>
    </row>
    <row r="10" customFormat="false" ht="15" hidden="false" customHeight="false" outlineLevel="0" collapsed="false">
      <c r="B10" s="52" t="s">
        <v>111</v>
      </c>
      <c r="C10" s="34" t="n">
        <f aca="false">Capacity!$C$9</f>
        <v>4</v>
      </c>
    </row>
    <row r="11" customFormat="false" ht="15" hidden="false" customHeight="false" outlineLevel="0" collapsed="false">
      <c r="B11" s="43" t="s">
        <v>208</v>
      </c>
      <c r="C11" s="28" t="n">
        <f aca="false">Capacity!$C$19</f>
        <v>10</v>
      </c>
    </row>
    <row r="12" customFormat="false" ht="15" hidden="false" customHeight="false" outlineLevel="0" collapsed="false">
      <c r="B12" s="52" t="s">
        <v>209</v>
      </c>
      <c r="C12" s="35" t="n">
        <f aca="false">Capacity!$C$26</f>
        <v>10</v>
      </c>
    </row>
    <row r="13" customFormat="false" ht="15" hidden="false" customHeight="false" outlineLevel="0" collapsed="false">
      <c r="B13" s="52" t="s">
        <v>210</v>
      </c>
      <c r="C13" s="32" t="n">
        <f aca="false">Capacity!$C$23</f>
        <v>4.5</v>
      </c>
    </row>
    <row r="14" customFormat="false" ht="15" hidden="false" customHeight="false" outlineLevel="0" collapsed="false">
      <c r="B14" s="52" t="s">
        <v>173</v>
      </c>
      <c r="C14" s="31" t="n">
        <f aca="false">'Quota allocation'!$S$27</f>
        <v>27630000</v>
      </c>
    </row>
    <row r="15" customFormat="false" ht="15" hidden="false" customHeight="false" outlineLevel="0" collapsed="false">
      <c r="B15" s="52" t="s">
        <v>175</v>
      </c>
      <c r="C15" s="27" t="n">
        <f aca="false">IFERROR(C14/C6,0)</f>
        <v>1.15125</v>
      </c>
    </row>
    <row r="16" customFormat="false" ht="15" hidden="false" customHeight="false" outlineLevel="0" collapsed="false">
      <c r="B16" s="43" t="s">
        <v>211</v>
      </c>
      <c r="C16" s="33" t="n">
        <f aca="false">C14*Assumptions!$C$15</f>
        <v>24867000</v>
      </c>
    </row>
    <row r="17" customFormat="false" ht="15" hidden="false" customHeight="false" outlineLevel="0" collapsed="false">
      <c r="B17" s="52" t="s">
        <v>212</v>
      </c>
      <c r="C17" s="53" t="n">
        <f aca="false">C16-C6</f>
        <v>867000</v>
      </c>
    </row>
    <row r="19" customFormat="false" ht="15" hidden="false" customHeight="false" outlineLevel="0" collapsed="false">
      <c r="B19" s="7" t="s">
        <v>213</v>
      </c>
    </row>
    <row r="20" customFormat="false" ht="21.75" hidden="false" customHeight="true" outlineLevel="0" collapsed="false">
      <c r="B20" s="25"/>
      <c r="C20" s="25" t="s">
        <v>190</v>
      </c>
      <c r="D20" s="25" t="s">
        <v>191</v>
      </c>
      <c r="E20" s="25" t="s">
        <v>192</v>
      </c>
    </row>
    <row r="21" customFormat="false" ht="15" hidden="false" customHeight="false" outlineLevel="0" collapsed="false">
      <c r="B21" s="52" t="s">
        <v>193</v>
      </c>
      <c r="C21" s="27" t="n">
        <f aca="false">'OTE and commission'!C$15</f>
        <v>0.8</v>
      </c>
      <c r="D21" s="27" t="n">
        <f aca="false">'OTE and commission'!D$15</f>
        <v>1</v>
      </c>
      <c r="E21" s="27" t="n">
        <f aca="false">'OTE and commission'!E$15</f>
        <v>1.2</v>
      </c>
    </row>
    <row r="22" customFormat="false" ht="15" hidden="false" customHeight="false" outlineLevel="0" collapsed="false">
      <c r="B22" s="52" t="s">
        <v>214</v>
      </c>
      <c r="C22" s="31" t="n">
        <f aca="false">$C$14*C21</f>
        <v>22104000</v>
      </c>
      <c r="D22" s="31" t="n">
        <f aca="false">$C$14*D21</f>
        <v>27630000</v>
      </c>
      <c r="E22" s="31" t="n">
        <f aca="false">$C$14*E21</f>
        <v>33156000</v>
      </c>
    </row>
    <row r="23" customFormat="false" ht="15" hidden="false" customHeight="false" outlineLevel="0" collapsed="false">
      <c r="B23" s="52" t="s">
        <v>215</v>
      </c>
      <c r="C23" s="31" t="n">
        <f aca="false">'OTE and commission'!$F$44</f>
        <v>4872000</v>
      </c>
      <c r="D23" s="31" t="n">
        <f aca="false">'OTE and commission'!$F$44</f>
        <v>4872000</v>
      </c>
      <c r="E23" s="31" t="n">
        <f aca="false">'OTE and commission'!$F$44</f>
        <v>4872000</v>
      </c>
    </row>
    <row r="24" customFormat="false" ht="15" hidden="false" customHeight="false" outlineLevel="0" collapsed="false">
      <c r="B24" s="52" t="s">
        <v>216</v>
      </c>
      <c r="C24" s="31" t="n">
        <f aca="false">'OTE and commission'!G$44</f>
        <v>1591488</v>
      </c>
      <c r="D24" s="31" t="n">
        <f aca="false">'OTE and commission'!H$44</f>
        <v>1989360</v>
      </c>
      <c r="E24" s="31" t="n">
        <f aca="false">'OTE and commission'!I$44</f>
        <v>2586168</v>
      </c>
    </row>
    <row r="25" customFormat="false" ht="15" hidden="false" customHeight="false" outlineLevel="0" collapsed="false">
      <c r="B25" s="52" t="s">
        <v>217</v>
      </c>
      <c r="C25" s="31" t="n">
        <f aca="false">(C23+C24)*Assumptions!$C$25</f>
        <v>646348.8</v>
      </c>
      <c r="D25" s="31" t="n">
        <f aca="false">(D23+D24)*Assumptions!$C$25</f>
        <v>686136</v>
      </c>
      <c r="E25" s="31" t="n">
        <f aca="false">(E23+E24)*Assumptions!$C$25</f>
        <v>745816.8</v>
      </c>
    </row>
    <row r="26" customFormat="false" ht="15" hidden="false" customHeight="false" outlineLevel="0" collapsed="false">
      <c r="B26" s="43" t="s">
        <v>218</v>
      </c>
      <c r="C26" s="33" t="n">
        <f aca="false">C23+C24+C25</f>
        <v>7109836.8</v>
      </c>
      <c r="D26" s="33" t="n">
        <f aca="false">D23+D24+D25</f>
        <v>7547496</v>
      </c>
      <c r="E26" s="33" t="n">
        <f aca="false">E23+E24+E25</f>
        <v>8203984.8</v>
      </c>
    </row>
    <row r="27" customFormat="false" ht="15" hidden="false" customHeight="false" outlineLevel="0" collapsed="false">
      <c r="B27" s="43" t="s">
        <v>219</v>
      </c>
      <c r="C27" s="29" t="n">
        <f aca="false">IFERROR(C26/C22,0)</f>
        <v>0.321653854505972</v>
      </c>
      <c r="D27" s="29" t="n">
        <f aca="false">IFERROR(D26/D22,0)</f>
        <v>0.273163083604777</v>
      </c>
      <c r="E27" s="29" t="n">
        <f aca="false">IFERROR(E26/E22,0)</f>
        <v>0.247435903003981</v>
      </c>
    </row>
    <row r="28" customFormat="false" ht="15" hidden="false" customHeight="false" outlineLevel="0" collapsed="false">
      <c r="B28" s="52" t="s">
        <v>220</v>
      </c>
      <c r="C28" s="27" t="n">
        <f aca="false">IFERROR(C24/C22,0)</f>
        <v>0.072</v>
      </c>
      <c r="D28" s="27" t="n">
        <f aca="false">IFERROR(D24/D22,0)</f>
        <v>0.072</v>
      </c>
      <c r="E28" s="27" t="n">
        <f aca="false">IFERROR(E24/E22,0)</f>
        <v>0.078</v>
      </c>
    </row>
    <row r="29" customFormat="false" ht="15" hidden="false" customHeight="false" outlineLevel="0" collapsed="false">
      <c r="B29" s="21" t="s">
        <v>221</v>
      </c>
    </row>
    <row r="31" customFormat="false" ht="15" hidden="false" customHeight="false" outlineLevel="0" collapsed="false">
      <c r="B31" s="7" t="s">
        <v>222</v>
      </c>
    </row>
    <row r="32" customFormat="false" ht="31.5" hidden="false" customHeight="true" outlineLevel="0" collapsed="false">
      <c r="B32" s="25" t="s">
        <v>83</v>
      </c>
      <c r="C32" s="25" t="s">
        <v>173</v>
      </c>
      <c r="D32" s="25" t="s">
        <v>223</v>
      </c>
      <c r="E32" s="25" t="s">
        <v>224</v>
      </c>
    </row>
    <row r="33" customFormat="false" ht="15" hidden="false" customHeight="false" outlineLevel="0" collapsed="false">
      <c r="B33" s="26" t="s">
        <v>86</v>
      </c>
      <c r="C33" s="31" t="n">
        <f aca="false">INDEX('Quota allocation'!$G$27:$R$27,1)</f>
        <v>1575000</v>
      </c>
      <c r="D33" s="31" t="n">
        <f aca="false">IFERROR(INDEX('Quota allocation'!$G$27:$R$27,MOD(1-1+Assumptions!$C$10,12)+1)/Assumptions!$C$9,0)</f>
        <v>8160000</v>
      </c>
      <c r="E33" s="32" t="n">
        <f aca="false">IFERROR(D33/Assumptions!$C$8,0)</f>
        <v>54.4</v>
      </c>
    </row>
    <row r="34" customFormat="false" ht="15" hidden="false" customHeight="false" outlineLevel="0" collapsed="false">
      <c r="B34" s="26" t="s">
        <v>87</v>
      </c>
      <c r="C34" s="31" t="n">
        <f aca="false">INDEX('Quota allocation'!$G$27:$R$27,2)</f>
        <v>1920000</v>
      </c>
      <c r="D34" s="31" t="n">
        <f aca="false">IFERROR(INDEX('Quota allocation'!$G$27:$R$27,MOD(2-1+Assumptions!$C$10,12)+1)/Assumptions!$C$9,0)</f>
        <v>9720000</v>
      </c>
      <c r="E34" s="32" t="n">
        <f aca="false">IFERROR(D34/Assumptions!$C$8,0)</f>
        <v>64.8</v>
      </c>
    </row>
    <row r="35" customFormat="false" ht="15" hidden="false" customHeight="false" outlineLevel="0" collapsed="false">
      <c r="B35" s="26" t="s">
        <v>88</v>
      </c>
      <c r="C35" s="31" t="n">
        <f aca="false">INDEX('Quota allocation'!$G$27:$R$27,3)</f>
        <v>2160000</v>
      </c>
      <c r="D35" s="31" t="n">
        <f aca="false">IFERROR(INDEX('Quota allocation'!$G$27:$R$27,MOD(3-1+Assumptions!$C$10,12)+1)/Assumptions!$C$9,0)</f>
        <v>10260000</v>
      </c>
      <c r="E35" s="32" t="n">
        <f aca="false">IFERROR(D35/Assumptions!$C$8,0)</f>
        <v>68.4</v>
      </c>
    </row>
    <row r="36" customFormat="false" ht="15" hidden="false" customHeight="false" outlineLevel="0" collapsed="false">
      <c r="B36" s="26" t="s">
        <v>89</v>
      </c>
      <c r="C36" s="31" t="n">
        <f aca="false">INDEX('Quota allocation'!$G$27:$R$27,4)</f>
        <v>2040000</v>
      </c>
      <c r="D36" s="31" t="n">
        <f aca="false">IFERROR(INDEX('Quota allocation'!$G$27:$R$27,MOD(4-1+Assumptions!$C$10,12)+1)/Assumptions!$C$9,0)</f>
        <v>4560000</v>
      </c>
      <c r="E36" s="32" t="n">
        <f aca="false">IFERROR(D36/Assumptions!$C$8,0)</f>
        <v>30.4</v>
      </c>
    </row>
    <row r="37" customFormat="false" ht="15" hidden="false" customHeight="false" outlineLevel="0" collapsed="false">
      <c r="B37" s="26" t="s">
        <v>90</v>
      </c>
      <c r="C37" s="31" t="n">
        <f aca="false">INDEX('Quota allocation'!$G$27:$R$27,5)</f>
        <v>2430000</v>
      </c>
      <c r="D37" s="31" t="n">
        <f aca="false">IFERROR(INDEX('Quota allocation'!$G$27:$R$27,MOD(5-1+Assumptions!$C$10,12)+1)/Assumptions!$C$9,0)</f>
        <v>8400000</v>
      </c>
      <c r="E37" s="32" t="n">
        <f aca="false">IFERROR(D37/Assumptions!$C$8,0)</f>
        <v>56</v>
      </c>
    </row>
    <row r="38" customFormat="false" ht="15" hidden="false" customHeight="false" outlineLevel="0" collapsed="false">
      <c r="B38" s="26" t="s">
        <v>92</v>
      </c>
      <c r="C38" s="31" t="n">
        <f aca="false">INDEX('Quota allocation'!$G$27:$R$27,6)</f>
        <v>2565000</v>
      </c>
      <c r="D38" s="31" t="n">
        <f aca="false">IFERROR(INDEX('Quota allocation'!$G$27:$R$27,MOD(6-1+Assumptions!$C$10,12)+1)/Assumptions!$C$9,0)</f>
        <v>10800000</v>
      </c>
      <c r="E38" s="32" t="n">
        <f aca="false">IFERROR(D38/Assumptions!$C$8,0)</f>
        <v>72</v>
      </c>
    </row>
    <row r="39" customFormat="false" ht="15" hidden="false" customHeight="false" outlineLevel="0" collapsed="false">
      <c r="B39" s="26" t="s">
        <v>93</v>
      </c>
      <c r="C39" s="31" t="n">
        <f aca="false">INDEX('Quota allocation'!$G$27:$R$27,7)</f>
        <v>1140000</v>
      </c>
      <c r="D39" s="31" t="n">
        <f aca="false">IFERROR(INDEX('Quota allocation'!$G$27:$R$27,MOD(7-1+Assumptions!$C$10,12)+1)/Assumptions!$C$9,0)</f>
        <v>10800000</v>
      </c>
      <c r="E39" s="32" t="n">
        <f aca="false">IFERROR(D39/Assumptions!$C$8,0)</f>
        <v>72</v>
      </c>
    </row>
    <row r="40" customFormat="false" ht="15" hidden="false" customHeight="false" outlineLevel="0" collapsed="false">
      <c r="B40" s="26" t="s">
        <v>94</v>
      </c>
      <c r="C40" s="31" t="n">
        <f aca="false">INDEX('Quota allocation'!$G$27:$R$27,8)</f>
        <v>2100000</v>
      </c>
      <c r="D40" s="31" t="n">
        <f aca="false">IFERROR(INDEX('Quota allocation'!$G$27:$R$27,MOD(8-1+Assumptions!$C$10,12)+1)/Assumptions!$C$9,0)</f>
        <v>12000000</v>
      </c>
      <c r="E40" s="32" t="n">
        <f aca="false">IFERROR(D40/Assumptions!$C$8,0)</f>
        <v>80</v>
      </c>
    </row>
    <row r="41" customFormat="false" ht="15" hidden="false" customHeight="false" outlineLevel="0" collapsed="false">
      <c r="B41" s="26" t="s">
        <v>95</v>
      </c>
      <c r="C41" s="31" t="n">
        <f aca="false">INDEX('Quota allocation'!$G$27:$R$27,9)</f>
        <v>2700000</v>
      </c>
      <c r="D41" s="31" t="n">
        <f aca="false">IFERROR(INDEX('Quota allocation'!$G$27:$R$27,MOD(9-1+Assumptions!$C$10,12)+1)/Assumptions!$C$9,0)</f>
        <v>13200000</v>
      </c>
      <c r="E41" s="32" t="n">
        <f aca="false">IFERROR(D41/Assumptions!$C$8,0)</f>
        <v>88</v>
      </c>
    </row>
    <row r="42" customFormat="false" ht="15" hidden="false" customHeight="false" outlineLevel="0" collapsed="false">
      <c r="B42" s="26" t="s">
        <v>96</v>
      </c>
      <c r="C42" s="31" t="n">
        <f aca="false">INDEX('Quota allocation'!$G$27:$R$27,10)</f>
        <v>2700000</v>
      </c>
      <c r="D42" s="31" t="n">
        <f aca="false">IFERROR(INDEX('Quota allocation'!$G$27:$R$27,MOD(10-1+Assumptions!$C$10,12)+1)/Assumptions!$C$9,0)</f>
        <v>6300000</v>
      </c>
      <c r="E42" s="32" t="n">
        <f aca="false">IFERROR(D42/Assumptions!$C$8,0)</f>
        <v>42</v>
      </c>
    </row>
    <row r="43" customFormat="false" ht="15" hidden="false" customHeight="false" outlineLevel="0" collapsed="false">
      <c r="B43" s="26" t="s">
        <v>97</v>
      </c>
      <c r="C43" s="31" t="n">
        <f aca="false">INDEX('Quota allocation'!$G$27:$R$27,11)</f>
        <v>3000000</v>
      </c>
      <c r="D43" s="31" t="n">
        <f aca="false">IFERROR(INDEX('Quota allocation'!$G$27:$R$27,MOD(11-1+Assumptions!$C$10,12)+1)/Assumptions!$C$9,0)</f>
        <v>7680000</v>
      </c>
      <c r="E43" s="32" t="n">
        <f aca="false">IFERROR(D43/Assumptions!$C$8,0)</f>
        <v>51.2</v>
      </c>
    </row>
    <row r="44" customFormat="false" ht="15" hidden="false" customHeight="false" outlineLevel="0" collapsed="false">
      <c r="B44" s="26" t="s">
        <v>98</v>
      </c>
      <c r="C44" s="31" t="n">
        <f aca="false">INDEX('Quota allocation'!$G$27:$R$27,12)</f>
        <v>3300000</v>
      </c>
      <c r="D44" s="31" t="n">
        <f aca="false">IFERROR(INDEX('Quota allocation'!$G$27:$R$27,MOD(12-1+Assumptions!$C$10,12)+1)/Assumptions!$C$9,0)</f>
        <v>8640000</v>
      </c>
      <c r="E44" s="32" t="n">
        <f aca="false">IFERROR(D44/Assumptions!$C$8,0)</f>
        <v>57.6</v>
      </c>
    </row>
    <row r="45" customFormat="false" ht="15" hidden="false" customHeight="false" outlineLevel="0" collapsed="false">
      <c r="B45" s="43" t="s">
        <v>99</v>
      </c>
      <c r="C45" s="33" t="n">
        <f aca="false">SUM(C33:C44)</f>
        <v>27630000</v>
      </c>
      <c r="D45" s="33" t="n">
        <f aca="false">SUM(D33:D44)</f>
        <v>110520000</v>
      </c>
      <c r="E45" s="54" t="n">
        <f aca="false">SUM(E33:E44)</f>
        <v>736.8</v>
      </c>
    </row>
    <row r="46" customFormat="false" ht="25.5" hidden="false" customHeight="true" outlineLevel="0" collapsed="false">
      <c r="B46" s="55" t="s">
        <v>225</v>
      </c>
      <c r="C46" s="55"/>
      <c r="D46" s="55"/>
      <c r="E46" s="55"/>
    </row>
    <row r="48" customFormat="false" ht="15" hidden="false" customHeight="false" outlineLevel="0" collapsed="false">
      <c r="B48" s="16" t="s">
        <v>43</v>
      </c>
    </row>
  </sheetData>
  <mergeCells count="1">
    <mergeCell ref="B46:E46"/>
  </mergeCells>
  <conditionalFormatting sqref="C17">
    <cfRule type="cellIs" priority="2" operator="lessThan" aboveAverage="0" equalAverage="0" bottom="0" percent="0" rank="0" text="" dxfId="0">
      <formula>0</formula>
    </cfRule>
  </conditionalFormatting>
  <hyperlinks>
    <hyperlink ref="B48" r:id="rId1" display="prowi.io · Free template from Prowi"/>
  </hyperlinks>
  <printOptions headings="false" gridLines="false" gridLinesSet="true" horizontalCentered="false" verticalCentered="false"/>
  <pageMargins left="0.5" right="0.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&amp;C&amp;"Arial,Regular"&amp;8 &amp;Ka1a0bdprowi.io · Free template from Prowi</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2026-10-28T16:15:12Z</dcterms:created>
  <dc:creator>Prowi</dc:creator>
  <dc:description/>
  <dc:language>en-GB</dc:language>
  <cp:lastModifiedBy/>
  <dcterms:modified xsi:type="dcterms:W3CDTF">2026-10-28T16:15:12Z</dcterms:modified>
  <cp:revision>0</cp:revision>
  <dc:subject/>
  <dc:title>Sales budget (template)</dc:title>
</cp:coreProperties>
</file>

<file path=docProps/custom.xml><?xml version="1.0" encoding="utf-8"?>
<Properties xmlns="http://schemas.openxmlformats.org/officeDocument/2006/custom-properties" xmlns:vt="http://schemas.openxmlformats.org/officeDocument/2006/docPropsVTypes"/>
</file>