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Settings" sheetId="2" state="visible" r:id="rId4"/>
    <sheet name="Deals" sheetId="3" state="visible" r:id="rId5"/>
    <sheet name="Adjustments" sheetId="4" state="visible" r:id="rId6"/>
    <sheet name="Statement" sheetId="5" state="visible" r:id="rId7"/>
    <sheet name="Approvals" sheetId="6" state="visible" r:id="rId8"/>
    <sheet name="Payroll" sheetId="7" state="visible" r:id="rId9"/>
    <sheet name="Calculation" sheetId="8" state="visible" r:id="rId10"/>
  </sheets>
  <definedNames>
    <definedName function="false" hidden="false" localSheetId="3" name="_xlnm.Print_Area" vbProcedure="false">Adjustments!$A$1:$K$105</definedName>
    <definedName function="false" hidden="false" localSheetId="5" name="_xlnm.Print_Area" vbProcedure="false">Approvals!$A$1:$J$205</definedName>
    <definedName function="false" hidden="false" localSheetId="7" name="_xlnm.Print_Area" vbProcedure="false">Calculation!$A$1:$O$140</definedName>
    <definedName function="false" hidden="false" localSheetId="2" name="_xlnm.Print_Area" vbProcedure="false">Deals!$A$1:$I$305</definedName>
    <definedName function="false" hidden="true" localSheetId="2" name="_xlnm._FilterDatabase" vbProcedure="false">Deals!$A$5:$K$305</definedName>
    <definedName function="false" hidden="false" localSheetId="0" name="_xlnm.Print_Area" vbProcedure="false">Instructions!$A$1:$D$38</definedName>
    <definedName function="false" hidden="false" localSheetId="6" name="_xlnm.Print_Area" vbProcedure="false">Payroll!$A$1:$G$29</definedName>
    <definedName function="false" hidden="false" localSheetId="1" name="_xlnm.Print_Area" vbProcedure="false">Settings!$A$1:$L$30</definedName>
    <definedName function="false" hidden="false" localSheetId="4" name="_xlnm.Print_Area" vbProcedure="false">Statement!$A$1:$H$74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<sst xmlns="http://schemas.openxmlformats.org/spreadsheetml/2006/main" count="423" uniqueCount="222">
  <si>
    <t xml:space="preserve">Free template from Prowi</t>
  </si>
  <si>
    <t xml:space="preserve">Commission statement</t>
  </si>
  <si>
    <t xml:space="preserve">One statement per rep per month, ready for approval and payroll</t>
  </si>
  <si>
    <t xml:space="preserve">The template brings together everything that goes into a rep's commission for a month: the deals with amount, rate and commission, corrections and clawbacks from earlier months, draws and the balance carried forward. The rep confirms, the manager and finance approve, and the payroll sheet lists the amounts with employee number and pay code. It contains example data for three reps for January to March 2026.</t>
  </si>
  <si>
    <t xml:space="preserve">Step by step</t>
  </si>
  <si>
    <t xml:space="preserve">1. Settings</t>
  </si>
  <si>
    <t xml:space="preserve">Enter company, year and pay code. Add the reps with employee number, manager, default rate and any draw.</t>
  </si>
  <si>
    <t xml:space="preserve">2. Deals</t>
  </si>
  <si>
    <t xml:space="preserve">One row per deal with rep, date, customer, deal ID and amount. Leave the rate empty to use the rep's default rate, or enter the rate for the tier the deal falls in.</t>
  </si>
  <si>
    <t xml:space="preserve">3. Adjustments</t>
  </si>
  <si>
    <t xml:space="preserve">Clawbacks and adjustments to deals from earlier months. Pick the month the adjustment is settled in.</t>
  </si>
  <si>
    <t xml:space="preserve">4. Statement</t>
  </si>
  <si>
    <t xml:space="preserve">Pick a rep and a month. The statement shows deals, adjustments, draw, balance and the amount payable. Save or print as PDF.</t>
  </si>
  <si>
    <t xml:space="preserve">5. Approvals</t>
  </si>
  <si>
    <t xml:space="preserve">One row per rep per month: the rep confirms, the manager approves, finance approves. The dates appear on the statement.</t>
  </si>
  <si>
    <t xml:space="preserve">6. Payroll</t>
  </si>
  <si>
    <t xml:space="preserve">Pick the payroll month. The sheet shows employee number, pay code, description and amount per rep, and whether finance has approved.</t>
  </si>
  <si>
    <t xml:space="preserve">Colours</t>
  </si>
  <si>
    <t xml:space="preserve">Lavender cell, purple text</t>
  </si>
  <si>
    <t xml:space="preserve">This is where you type. Everything else is formulas.</t>
  </si>
  <si>
    <t xml:space="preserve">Grey cell</t>
  </si>
  <si>
    <t xml:space="preserve">Calculated automatically. Leave the formulas alone unless you know what you are changing.</t>
  </si>
  <si>
    <t xml:space="preserve">Light blue cell</t>
  </si>
  <si>
    <t xml:space="preserve">Results and totals.</t>
  </si>
  <si>
    <t xml:space="preserve">How the workbook calculates</t>
  </si>
  <si>
    <t xml:space="preserve">Commission per deal</t>
  </si>
  <si>
    <t xml:space="preserve">Amount × rate. Empty rate = the rep's default rate from Settings.</t>
  </si>
  <si>
    <t xml:space="preserve">Adjustments</t>
  </si>
  <si>
    <t xml:space="preserve">Basis × rate. A clawback is deducted (enter the basis as a positive number). An adjustment is added or deducted according to the sign of the basis.</t>
  </si>
  <si>
    <t xml:space="preserve">Statement lines A-H</t>
  </si>
  <si>
    <t xml:space="preserve">A deals + B adjustments = C commission for the period. C − D draw + E balance from last month = F result. G payable = F, but never below 0. H is the balance carried to next month.</t>
  </si>
  <si>
    <t xml:space="preserve">Recoverable draw</t>
  </si>
  <si>
    <t xml:space="preserve">The rep receives the draw every month. If commission is lower than the draw, the difference carries forward as a negative balance and is recovered from later commission.</t>
  </si>
  <si>
    <t xml:space="preserve">Non-recoverable draw</t>
  </si>
  <si>
    <t xml:space="preserve">The rep keeps the draw even if commission is lower. Only negative commission (for example after a large clawback) carries forward.</t>
  </si>
  <si>
    <t xml:space="preserve">Payroll</t>
  </si>
  <si>
    <t xml:space="preserve">The amount is G payable for the selected month. The draw is not included because it is paid separately. A line is approved when finance has a date in Approvals.</t>
  </si>
  <si>
    <t xml:space="preserve">Good to know</t>
  </si>
  <si>
    <t xml:space="preserve">•</t>
  </si>
  <si>
    <t xml:space="preserve">All names and numbers are examples. Delete the example data in Deals, Adjustments and Approvals before you use the workbook.</t>
  </si>
  <si>
    <t xml:space="preserve">Use one file per year. Enter any negative balance from last year in Settings, column K.</t>
  </si>
  <si>
    <t xml:space="preserve">The pay code is the code your payroll system uses for commission. It comes from your payroll system or provider.</t>
  </si>
  <si>
    <t xml:space="preserve">The statement has room for 25 deals and 10 adjustments per rep per month. If there are more, a warning appears.</t>
  </si>
  <si>
    <t xml:space="preserve">No macros. Every calculation is an ordinary formula that works in Excel, Google Sheets, Numbers and LibreOffice.</t>
  </si>
  <si>
    <t xml:space="preserve">prowi.io · Free template from Prowi</t>
  </si>
  <si>
    <t xml:space="preserve">Settings</t>
  </si>
  <si>
    <t xml:space="preserve">Only type in the lavender cells.</t>
  </si>
  <si>
    <t xml:space="preserve">General</t>
  </si>
  <si>
    <t xml:space="preserve">Company</t>
  </si>
  <si>
    <t xml:space="preserve">Example ApS</t>
  </si>
  <si>
    <t xml:space="preserve">Shown at the top of the statement.</t>
  </si>
  <si>
    <t xml:space="preserve">Year</t>
  </si>
  <si>
    <t xml:space="preserve">The year this file covers. Deals dated in another year are ignored.</t>
  </si>
  <si>
    <t xml:space="preserve">Pay code for commission</t>
  </si>
  <si>
    <t xml:space="preserve">The code from your payroll system. Empty = 'Enter pay code' on the payroll sheet.</t>
  </si>
  <si>
    <t xml:space="preserve">Currency</t>
  </si>
  <si>
    <t xml:space="preserve">DKK</t>
  </si>
  <si>
    <t xml:space="preserve">Shown on the statement and payroll sheet. Amounts are plain numbers.</t>
  </si>
  <si>
    <t xml:space="preserve">Reps</t>
  </si>
  <si>
    <t xml:space="preserve">Employee no.</t>
  </si>
  <si>
    <t xml:space="preserve">Name</t>
  </si>
  <si>
    <t xml:space="preserve">Team</t>
  </si>
  <si>
    <t xml:space="preserve">Manager</t>
  </si>
  <si>
    <t xml:space="preserve">Default rate</t>
  </si>
  <si>
    <t xml:space="preserve">Draw per month</t>
  </si>
  <si>
    <t xml:space="preserve">Draw from month</t>
  </si>
  <si>
    <t xml:space="preserve">Draw to month</t>
  </si>
  <si>
    <t xml:space="preserve">Draw recoverable</t>
  </si>
  <si>
    <t xml:space="preserve">Opening balance (negative)</t>
  </si>
  <si>
    <t xml:space="preserve">Note</t>
  </si>
  <si>
    <t xml:space="preserve">Months (helper list)</t>
  </si>
  <si>
    <t xml:space="preserve">101</t>
  </si>
  <si>
    <t xml:space="preserve">Anna Holm</t>
  </si>
  <si>
    <t xml:space="preserve">North</t>
  </si>
  <si>
    <t xml:space="preserve">Mette Lund</t>
  </si>
  <si>
    <t xml:space="preserve">January</t>
  </si>
  <si>
    <t xml:space="preserve">March</t>
  </si>
  <si>
    <t xml:space="preserve">Yes</t>
  </si>
  <si>
    <t xml:space="preserve">Started in January, draw while ramping</t>
  </si>
  <si>
    <t xml:space="preserve">102</t>
  </si>
  <si>
    <t xml:space="preserve">Bo Jensen</t>
  </si>
  <si>
    <t xml:space="preserve">February</t>
  </si>
  <si>
    <t xml:space="preserve">103</t>
  </si>
  <si>
    <t xml:space="preserve">Camilla Nørgaard</t>
  </si>
  <si>
    <t xml:space="preserve">South</t>
  </si>
  <si>
    <t xml:space="preserve">Kasper Dahl</t>
  </si>
  <si>
    <t xml:space="preserve">No</t>
  </si>
  <si>
    <t xml:space="preserve">Guarantee for the first three months</t>
  </si>
  <si>
    <t xml:space="preserve">April</t>
  </si>
  <si>
    <t xml:space="preserve">May</t>
  </si>
  <si>
    <t xml:space="preserve">June</t>
  </si>
  <si>
    <t xml:space="preserve">July</t>
  </si>
  <si>
    <t xml:space="preserve">August</t>
  </si>
  <si>
    <t xml:space="preserve">September</t>
  </si>
  <si>
    <t xml:space="preserve">October</t>
  </si>
  <si>
    <t xml:space="preserve">November</t>
  </si>
  <si>
    <t xml:space="preserve">December</t>
  </si>
  <si>
    <t xml:space="preserve">Draw recoverable: Yes = the draw is recovered from later commission. No = a guarantee the rep keeps. Empty = Yes.</t>
  </si>
  <si>
    <t xml:space="preserve">Draw from/to: empty from-month = January, empty to-month = December. The default rate is used when a deal has no rate.</t>
  </si>
  <si>
    <t xml:space="preserve">Deals</t>
  </si>
  <si>
    <t xml:space="preserve">One row per deal. Empty rate = the rep's default rate. Columns J and K are helper columns.</t>
  </si>
  <si>
    <t xml:space="preserve">Rep</t>
  </si>
  <si>
    <t xml:space="preserve">Date</t>
  </si>
  <si>
    <t xml:space="preserve">Customer</t>
  </si>
  <si>
    <t xml:space="preserve">Deal ID</t>
  </si>
  <si>
    <t xml:space="preserve">Amount (basis)</t>
  </si>
  <si>
    <t xml:space="preserve">Tier (optional)</t>
  </si>
  <si>
    <t xml:space="preserve">Rate (empty = default)</t>
  </si>
  <si>
    <t xml:space="preserve">Rate used</t>
  </si>
  <si>
    <t xml:space="preserve">Commission</t>
  </si>
  <si>
    <t xml:space="preserve">Month no.</t>
  </si>
  <si>
    <t xml:space="preserve">Line on statement</t>
  </si>
  <si>
    <t xml:space="preserve">Fjordtech ApS</t>
  </si>
  <si>
    <t xml:space="preserve">D-1001</t>
  </si>
  <si>
    <t xml:space="preserve">Østerby Maskiner</t>
  </si>
  <si>
    <t xml:space="preserve">D-1002</t>
  </si>
  <si>
    <t xml:space="preserve">Nordlys A/S</t>
  </si>
  <si>
    <t xml:space="preserve">D-1003</t>
  </si>
  <si>
    <t xml:space="preserve">Havnens Bageri</t>
  </si>
  <si>
    <t xml:space="preserve">D-1004</t>
  </si>
  <si>
    <t xml:space="preserve">Mølleparken</t>
  </si>
  <si>
    <t xml:space="preserve">D-1005</t>
  </si>
  <si>
    <t xml:space="preserve">Tårnby Tandklinik</t>
  </si>
  <si>
    <t xml:space="preserve">D-1006</t>
  </si>
  <si>
    <t xml:space="preserve">Kystvej Logistik</t>
  </si>
  <si>
    <t xml:space="preserve">D-1007</t>
  </si>
  <si>
    <t xml:space="preserve">Tier 1</t>
  </si>
  <si>
    <t xml:space="preserve">Lindholm El</t>
  </si>
  <si>
    <t xml:space="preserve">D-1008</t>
  </si>
  <si>
    <t xml:space="preserve">Vestkyst Hotel</t>
  </si>
  <si>
    <t xml:space="preserve">D-1009</t>
  </si>
  <si>
    <t xml:space="preserve">Bølge Media</t>
  </si>
  <si>
    <t xml:space="preserve">D-1010</t>
  </si>
  <si>
    <t xml:space="preserve">Tier 2</t>
  </si>
  <si>
    <t xml:space="preserve">Ravn Revision</t>
  </si>
  <si>
    <t xml:space="preserve">D-1011</t>
  </si>
  <si>
    <t xml:space="preserve">Ådalen Vand</t>
  </si>
  <si>
    <t xml:space="preserve">D-1012</t>
  </si>
  <si>
    <t xml:space="preserve">Skovgaard &amp; Co</t>
  </si>
  <si>
    <t xml:space="preserve">D-1013</t>
  </si>
  <si>
    <t xml:space="preserve">Adjustments and clawbacks</t>
  </si>
  <si>
    <t xml:space="preserve">Clawback: enter the basis as a positive number and the commission is deducted. Adjustment: enter + or − on the basis.</t>
  </si>
  <si>
    <t xml:space="preserve">Settle in month</t>
  </si>
  <si>
    <t xml:space="preserve">Original date</t>
  </si>
  <si>
    <t xml:space="preserve">Type</t>
  </si>
  <si>
    <t xml:space="preserve">Basis</t>
  </si>
  <si>
    <t xml:space="preserve">Reason</t>
  </si>
  <si>
    <t xml:space="preserve">Clawback</t>
  </si>
  <si>
    <t xml:space="preserve">Customer cancelled within 90 days</t>
  </si>
  <si>
    <t xml:space="preserve">Adjustment</t>
  </si>
  <si>
    <t xml:space="preserve">Order was increased before delivery</t>
  </si>
  <si>
    <t xml:space="preserve">Helper cells (not printed)</t>
  </si>
  <si>
    <t xml:space="preserve">Rep no.</t>
  </si>
  <si>
    <t xml:space="preserve">Month</t>
  </si>
  <si>
    <t xml:space="preserve">Paid on</t>
  </si>
  <si>
    <t xml:space="preserve">First row in Calculation</t>
  </si>
  <si>
    <t xml:space="preserve">Draw</t>
  </si>
  <si>
    <t xml:space="preserve">Key</t>
  </si>
  <si>
    <t xml:space="preserve">Row in Approvals</t>
  </si>
  <si>
    <t xml:space="preserve">1. Deals in the period</t>
  </si>
  <si>
    <t xml:space="preserve">Amount</t>
  </si>
  <si>
    <t xml:space="preserve">Tier</t>
  </si>
  <si>
    <t xml:space="preserve">Rate</t>
  </si>
  <si>
    <t xml:space="preserve">A. Commission earned on deals</t>
  </si>
  <si>
    <t xml:space="preserve">2. Adjustments and clawbacks</t>
  </si>
  <si>
    <t xml:space="preserve">B. Total adjustments</t>
  </si>
  <si>
    <t xml:space="preserve">3. Summary</t>
  </si>
  <si>
    <t xml:space="preserve">B. Adjustments and clawbacks</t>
  </si>
  <si>
    <t xml:space="preserve">C. Commission for the period (A + B)</t>
  </si>
  <si>
    <t xml:space="preserve">D. Draw paid for the period</t>
  </si>
  <si>
    <t xml:space="preserve">E. Balance carried from last month</t>
  </si>
  <si>
    <t xml:space="preserve">F. Result (C − D + E)</t>
  </si>
  <si>
    <t xml:space="preserve">G. Payable</t>
  </si>
  <si>
    <t xml:space="preserve">H. Balance carried to next month</t>
  </si>
  <si>
    <t xml:space="preserve">D is deducted because the draw has already been paid. If F is negative, 0 is paid and the balance carries forward under the draw rule (see Instructions).</t>
  </si>
  <si>
    <t xml:space="preserve">4. Approval</t>
  </si>
  <si>
    <t xml:space="preserve">Role</t>
  </si>
  <si>
    <t xml:space="preserve">Signature</t>
  </si>
  <si>
    <t xml:space="preserve">Rep confirms</t>
  </si>
  <si>
    <t xml:space="preserve">Manager approves</t>
  </si>
  <si>
    <t xml:space="preserve">Finance approves</t>
  </si>
  <si>
    <t xml:space="preserve">Approvals</t>
  </si>
  <si>
    <t xml:space="preserve">One row per rep per month. Enter the date when each step is done. The payroll sheet counts a line as approved once finance has a date.</t>
  </si>
  <si>
    <t xml:space="preserve">Rep confirmed</t>
  </si>
  <si>
    <t xml:space="preserve">Manager approved</t>
  </si>
  <si>
    <t xml:space="preserve">Finance</t>
  </si>
  <si>
    <t xml:space="preserve">Finance approved</t>
  </si>
  <si>
    <t xml:space="preserve">Status</t>
  </si>
  <si>
    <t xml:space="preserve">Payable</t>
  </si>
  <si>
    <t xml:space="preserve">Louise Winther</t>
  </si>
  <si>
    <t xml:space="preserve">Finance is checking the Lindholm El invoice</t>
  </si>
  <si>
    <t xml:space="preserve">Payroll file</t>
  </si>
  <si>
    <t xml:space="preserve">One line per rep for the selected month. Enter or import into payroll once every line is approved.</t>
  </si>
  <si>
    <t xml:space="preserve">Payroll month</t>
  </si>
  <si>
    <t xml:space="preserve">Pay code</t>
  </si>
  <si>
    <t xml:space="preserve">Description</t>
  </si>
  <si>
    <t xml:space="preserve">Approved by finance</t>
  </si>
  <si>
    <t xml:space="preserve">Total</t>
  </si>
  <si>
    <t xml:space="preserve">Of which approved by finance</t>
  </si>
  <si>
    <t xml:space="preserve">Awaiting approval</t>
  </si>
  <si>
    <t xml:space="preserve">The draw is not included because it is paid separately each month.</t>
  </si>
  <si>
    <t xml:space="preserve">Calculation by rep and month</t>
  </si>
  <si>
    <t xml:space="preserve">Everything on this sheet is a formula. E in January is the opening balance from Settings; after that E equals H for the month before.</t>
  </si>
  <si>
    <t xml:space="preserve">Line</t>
  </si>
  <si>
    <t xml:space="preserve">Jan</t>
  </si>
  <si>
    <t xml:space="preserve">Feb</t>
  </si>
  <si>
    <t xml:space="preserve">Mar</t>
  </si>
  <si>
    <t xml:space="preserve">Apr</t>
  </si>
  <si>
    <t xml:space="preserve">Jun</t>
  </si>
  <si>
    <t xml:space="preserve">Jul</t>
  </si>
  <si>
    <t xml:space="preserve">Aug</t>
  </si>
  <si>
    <t xml:space="preserve">Sep</t>
  </si>
  <si>
    <t xml:space="preserve">Oct</t>
  </si>
  <si>
    <t xml:space="preserve">Nov</t>
  </si>
  <si>
    <t xml:space="preserve">Dec</t>
  </si>
  <si>
    <t xml:space="preserve">A. Commission on deals</t>
  </si>
  <si>
    <t xml:space="preserve">B. Adjustments</t>
  </si>
  <si>
    <t xml:space="preserve">C. Commission for the period</t>
  </si>
  <si>
    <t xml:space="preserve">D. Draw paid</t>
  </si>
  <si>
    <t xml:space="preserve">E. Balance from last month</t>
  </si>
  <si>
    <t xml:space="preserve">F. Result</t>
  </si>
  <si>
    <t xml:space="preserve">H. Balance to next month</t>
  </si>
</sst>
</file>

<file path=xl/styles.xml><?xml version="1.0" encoding="utf-8"?>
<styleSheet xmlns="http://schemas.openxmlformats.org/spreadsheetml/2006/main">
  <numFmts count="7">
    <numFmt numFmtId="164" formatCode="General"/>
    <numFmt numFmtId="165" formatCode="0"/>
    <numFmt numFmtId="166" formatCode="@"/>
    <numFmt numFmtId="167" formatCode="0.0%"/>
    <numFmt numFmtId="168" formatCode="#,##0;\-#,##0"/>
    <numFmt numFmtId="169" formatCode="yyyy\-mm\-dd"/>
    <numFmt numFmtId="170" formatCode="#,##0.00;\-#,##0.00"/>
  </numFmts>
  <fonts count="18">
    <font>
      <sz val="11"/>
      <color theme="1"/>
      <name val="Calibri"/>
      <family val="2"/>
      <charset val="1"/>
    </font>
    <font>
      <sz val="10"/>
      <name val="Arial"/>
      <family val="0"/>
    </font>
    <font>
      <sz val="10"/>
      <name val="Arial"/>
      <family val="0"/>
    </font>
    <font>
      <sz val="10"/>
      <name val="Arial"/>
      <family val="0"/>
    </font>
    <font>
      <sz val="9"/>
      <color rgb="FFA1A0BD"/>
      <name val="Arial"/>
      <family val="0"/>
      <charset val="1"/>
    </font>
    <font>
      <sz val="24"/>
      <color rgb="FF110663"/>
      <name val="Arial"/>
      <family val="0"/>
      <charset val="1"/>
    </font>
    <font>
      <sz val="12"/>
      <color rgb="FF4C39CA"/>
      <name val="Arial"/>
      <family val="0"/>
      <charset val="1"/>
    </font>
    <font>
      <sz val="10"/>
      <color rgb="FF110663"/>
      <name val="Arial"/>
      <family val="0"/>
      <charset val="1"/>
    </font>
    <font>
      <b val="true"/>
      <sz val="12"/>
      <color rgb="FF110663"/>
      <name val="Arial"/>
      <family val="0"/>
      <charset val="1"/>
    </font>
    <font>
      <b val="true"/>
      <sz val="10"/>
      <color rgb="FF110663"/>
      <name val="Arial"/>
      <family val="0"/>
      <charset val="1"/>
    </font>
    <font>
      <sz val="10"/>
      <color rgb="FF4C39CA"/>
      <name val="Arial"/>
      <family val="0"/>
      <charset val="1"/>
    </font>
    <font>
      <sz val="20"/>
      <color rgb="FF110663"/>
      <name val="Arial"/>
      <family val="0"/>
      <charset val="1"/>
    </font>
    <font>
      <i val="true"/>
      <sz val="9"/>
      <color rgb="FF6B6893"/>
      <name val="Arial"/>
      <family val="0"/>
      <charset val="1"/>
    </font>
    <font>
      <b val="true"/>
      <sz val="10"/>
      <color rgb="FFFFFFFF"/>
      <name val="Arial"/>
      <family val="0"/>
      <charset val="1"/>
    </font>
    <font>
      <sz val="8"/>
      <color rgb="FFA1A0BD"/>
      <name val="Arial"/>
      <family val="0"/>
      <charset val="1"/>
    </font>
    <font>
      <b val="true"/>
      <sz val="11"/>
      <color rgb="FF4C39CA"/>
      <name val="Arial"/>
      <family val="0"/>
      <charset val="1"/>
    </font>
    <font>
      <b val="true"/>
      <sz val="10"/>
      <color rgb="FFC00000"/>
      <name val="Arial"/>
      <family val="0"/>
      <charset val="1"/>
    </font>
    <font>
      <b val="true"/>
      <sz val="11"/>
      <color rgb="FF110663"/>
      <name val="Arial"/>
      <family val="0"/>
      <charset val="1"/>
    </font>
  </fonts>
  <fills count="6">
    <fill>
      <patternFill patternType="none"/>
    </fill>
    <fill>
      <patternFill patternType="gray125"/>
    </fill>
    <fill>
      <patternFill patternType="solid">
        <fgColor rgb="FFF4F1FE"/>
        <bgColor rgb="FFF6F4F3"/>
      </patternFill>
    </fill>
    <fill>
      <patternFill patternType="solid">
        <fgColor rgb="FFF6F4F3"/>
        <bgColor rgb="FFF4F1FE"/>
      </patternFill>
    </fill>
    <fill>
      <patternFill patternType="solid">
        <fgColor rgb="FFE8F8FD"/>
        <bgColor rgb="FFF4F1FE"/>
      </patternFill>
    </fill>
    <fill>
      <patternFill patternType="solid">
        <fgColor rgb="FF110663"/>
        <bgColor rgb="FF000080"/>
      </patternFill>
    </fill>
  </fills>
  <borders count="7">
    <border diagonalUp="false" diagonalDown="false">
      <left/>
      <right/>
      <top/>
      <bottom/>
      <diagonal/>
    </border>
    <border diagonalUp="false" diagonalDown="false">
      <left/>
      <right/>
      <top/>
      <bottom style="medium">
        <color rgb="FF46D3F7"/>
      </bottom>
      <diagonal/>
    </border>
    <border diagonalUp="false" diagonalDown="false">
      <left style="thin">
        <color rgb="FF4C39CA"/>
      </left>
      <right style="thin">
        <color rgb="FF4C39CA"/>
      </right>
      <top style="thin">
        <color rgb="FF4C39CA"/>
      </top>
      <bottom style="thin">
        <color rgb="FF4C39CA"/>
      </bottom>
      <diagonal/>
    </border>
    <border diagonalUp="false" diagonalDown="false">
      <left style="thin">
        <color rgb="FFDCD8EC"/>
      </left>
      <right style="thin">
        <color rgb="FFDCD8EC"/>
      </right>
      <top style="thin">
        <color rgb="FFDCD8EC"/>
      </top>
      <bottom style="thin">
        <color rgb="FFDCD8EC"/>
      </bottom>
      <diagonal/>
    </border>
    <border diagonalUp="false" diagonalDown="false">
      <left/>
      <right/>
      <top/>
      <bottom style="thin">
        <color rgb="FFDCD8EC"/>
      </bottom>
      <diagonal/>
    </border>
    <border diagonalUp="false" diagonalDown="false">
      <left style="thin">
        <color rgb="FFDCD8EC"/>
      </left>
      <right style="thin">
        <color rgb="FFDCD8EC"/>
      </right>
      <top style="thin">
        <color rgb="FF110663"/>
      </top>
      <bottom style="thin">
        <color rgb="FF110663"/>
      </bottom>
      <diagonal/>
    </border>
    <border diagonalUp="false" diagonalDown="false">
      <left/>
      <right/>
      <top/>
      <bottom style="thin">
        <color rgb="FF11066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false" indent="1"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2"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7" fillId="3" borderId="3" xfId="0" applyFont="true" applyBorder="true" applyAlignment="false" applyProtection="false">
      <alignment horizontal="general" vertical="bottom" textRotation="0" wrapText="false" indent="0" shrinkToFit="false"/>
      <protection locked="true" hidden="false"/>
    </xf>
    <xf numFmtId="164" fontId="9" fillId="4" borderId="3"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5" fontId="10" fillId="2" borderId="2" xfId="0" applyFont="true" applyBorder="true" applyAlignment="false" applyProtection="false">
      <alignment horizontal="general" vertical="bottom" textRotation="0" wrapText="false" indent="0" shrinkToFit="false"/>
      <protection locked="true" hidden="false"/>
    </xf>
    <xf numFmtId="166" fontId="10" fillId="2" borderId="2" xfId="0" applyFont="true" applyBorder="true" applyAlignment="false" applyProtection="false">
      <alignment horizontal="general" vertical="bottom" textRotation="0" wrapText="false" indent="0" shrinkToFit="false"/>
      <protection locked="true" hidden="false"/>
    </xf>
    <xf numFmtId="164" fontId="13" fillId="5" borderId="3"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true" applyProtection="false">
      <alignment horizontal="center" vertical="center" textRotation="0" wrapText="true" indent="0" shrinkToFit="false"/>
      <protection locked="true" hidden="false"/>
    </xf>
    <xf numFmtId="167" fontId="10" fillId="2" borderId="2" xfId="0" applyFont="true" applyBorder="true" applyAlignment="false" applyProtection="false">
      <alignment horizontal="general" vertical="bottom" textRotation="0" wrapText="false" indent="0" shrinkToFit="false"/>
      <protection locked="true" hidden="false"/>
    </xf>
    <xf numFmtId="168" fontId="10" fillId="2" borderId="2"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9" fontId="10" fillId="2" borderId="2" xfId="0" applyFont="true" applyBorder="true" applyAlignment="false" applyProtection="false">
      <alignment horizontal="general" vertical="bottom" textRotation="0" wrapText="false" indent="0" shrinkToFit="false"/>
      <protection locked="true" hidden="false"/>
    </xf>
    <xf numFmtId="167" fontId="7" fillId="3" borderId="3" xfId="0" applyFont="true" applyBorder="true" applyAlignment="false" applyProtection="false">
      <alignment horizontal="general" vertical="bottom" textRotation="0" wrapText="false" indent="0" shrinkToFit="false"/>
      <protection locked="true" hidden="false"/>
    </xf>
    <xf numFmtId="170" fontId="7" fillId="3" borderId="3" xfId="0" applyFont="true" applyBorder="true" applyAlignment="false" applyProtection="false">
      <alignment horizontal="general" vertical="bottom" textRotation="0" wrapText="false" indent="0" shrinkToFit="false"/>
      <protection locked="true" hidden="false"/>
    </xf>
    <xf numFmtId="165" fontId="14" fillId="3" borderId="3"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6" fontId="7" fillId="3" borderId="3" xfId="0" applyFont="true" applyBorder="true" applyAlignment="false" applyProtection="false">
      <alignment horizontal="general" vertical="bottom" textRotation="0" wrapText="false" indent="0" shrinkToFit="false"/>
      <protection locked="true" hidden="false"/>
    </xf>
    <xf numFmtId="165" fontId="7" fillId="3" borderId="3" xfId="0" applyFont="true" applyBorder="true" applyAlignment="true" applyProtection="false">
      <alignment horizontal="left" vertical="bottom" textRotation="0" wrapText="false" indent="0" shrinkToFit="false"/>
      <protection locked="true" hidden="false"/>
    </xf>
    <xf numFmtId="169" fontId="10" fillId="2" borderId="2" xfId="0" applyFont="true" applyBorder="true" applyAlignment="true" applyProtection="false">
      <alignment horizontal="left" vertical="bottom" textRotation="0" wrapText="false" indent="0" shrinkToFit="false"/>
      <protection locked="true" hidden="false"/>
    </xf>
    <xf numFmtId="167" fontId="7" fillId="3" borderId="3" xfId="0" applyFont="true" applyBorder="true" applyAlignment="true" applyProtection="false">
      <alignment horizontal="left" vertical="bottom" textRotation="0" wrapText="false" indent="0" shrinkToFit="false"/>
      <protection locked="true" hidden="false"/>
    </xf>
    <xf numFmtId="168" fontId="7" fillId="3" borderId="3" xfId="0" applyFont="true" applyBorder="true" applyAlignment="false" applyProtection="false">
      <alignment horizontal="general" vertical="bottom" textRotation="0" wrapText="false" indent="0" shrinkToFit="false"/>
      <protection locked="true" hidden="false"/>
    </xf>
    <xf numFmtId="169" fontId="7" fillId="0"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8" fontId="7" fillId="0" borderId="3" xfId="0" applyFont="true" applyBorder="true" applyAlignment="false" applyProtection="false">
      <alignment horizontal="general" vertical="bottom" textRotation="0" wrapText="false" indent="0" shrinkToFit="false"/>
      <protection locked="true" hidden="false"/>
    </xf>
    <xf numFmtId="167" fontId="7" fillId="0" borderId="3" xfId="0" applyFont="true" applyBorder="true" applyAlignment="false" applyProtection="false">
      <alignment horizontal="general" vertical="bottom" textRotation="0" wrapText="false" indent="0" shrinkToFit="false"/>
      <protection locked="true" hidden="false"/>
    </xf>
    <xf numFmtId="170" fontId="7" fillId="0" borderId="3" xfId="0" applyFont="true" applyBorder="true" applyAlignment="false" applyProtection="false">
      <alignment horizontal="general" vertical="bottom" textRotation="0" wrapText="false" indent="0" shrinkToFit="false"/>
      <protection locked="true" hidden="false"/>
    </xf>
    <xf numFmtId="164" fontId="9" fillId="4" borderId="5" xfId="0" applyFont="true" applyBorder="true" applyAlignment="true" applyProtection="false">
      <alignment horizontal="general" vertical="center" textRotation="0" wrapText="true" indent="0" shrinkToFit="false"/>
      <protection locked="true" hidden="false"/>
    </xf>
    <xf numFmtId="170" fontId="9" fillId="4" borderId="3"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9" fillId="0" borderId="3" xfId="0" applyFont="true" applyBorder="true" applyAlignment="false" applyProtection="false">
      <alignment horizontal="general" vertical="bottom" textRotation="0" wrapText="false" indent="0" shrinkToFit="false"/>
      <protection locked="true" hidden="false"/>
    </xf>
    <xf numFmtId="170" fontId="9" fillId="3" borderId="3" xfId="0" applyFont="true" applyBorder="true" applyAlignment="false" applyProtection="false">
      <alignment horizontal="general" vertical="bottom" textRotation="0" wrapText="false" indent="0" shrinkToFit="false"/>
      <protection locked="true" hidden="false"/>
    </xf>
    <xf numFmtId="164" fontId="17" fillId="4" borderId="5" xfId="0" applyFont="true" applyBorder="true" applyAlignment="false" applyProtection="false">
      <alignment horizontal="general" vertical="bottom" textRotation="0" wrapText="false" indent="0" shrinkToFit="false"/>
      <protection locked="true" hidden="false"/>
    </xf>
    <xf numFmtId="170" fontId="17" fillId="4" borderId="3"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9" fillId="0" borderId="3" xfId="0" applyFont="true" applyBorder="true" applyAlignment="true" applyProtection="false">
      <alignment horizontal="general" vertical="center" textRotation="0" wrapText="true" indent="0" shrinkToFit="false"/>
      <protection locked="true" hidden="false"/>
    </xf>
    <xf numFmtId="169" fontId="7" fillId="3" borderId="3" xfId="0" applyFont="true" applyBorder="true" applyAlignment="true" applyProtection="false">
      <alignment horizontal="left" vertical="bottom" textRotation="0" wrapText="false" indent="0" shrinkToFit="false"/>
      <protection locked="true" hidden="false"/>
    </xf>
    <xf numFmtId="164" fontId="0" fillId="0" borderId="6"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4" fillId="3" borderId="3"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center" textRotation="0" wrapText="true" indent="0" shrinkToFit="false"/>
      <protection locked="true" hidden="false"/>
    </xf>
    <xf numFmtId="164" fontId="14" fillId="0" borderId="3"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10663"/>
          <bgColor rgb="FF000000"/>
        </patternFill>
      </fill>
    </dxf>
    <dxf>
      <fill>
        <patternFill patternType="solid">
          <fgColor rgb="FFF4F1FE"/>
          <bgColor rgb="FF000000"/>
        </patternFill>
      </fill>
    </dxf>
    <dxf>
      <fill>
        <patternFill patternType="solid">
          <fgColor rgb="FF4C39CA"/>
          <bgColor rgb="FF000000"/>
        </patternFill>
      </fill>
    </dxf>
    <dxf>
      <fill>
        <patternFill patternType="solid">
          <fgColor rgb="FFFFFFFF"/>
          <bgColor rgb="FF000000"/>
        </patternFill>
      </fill>
    </dxf>
    <dxf>
      <fill>
        <patternFill patternType="solid">
          <fgColor rgb="FFF6F4F3"/>
          <bgColor rgb="FF000000"/>
        </patternFill>
      </fill>
    </dxf>
    <dxf>
      <fill>
        <patternFill patternType="solid">
          <fgColor rgb="FFA1A0BD"/>
          <bgColor rgb="FF000000"/>
        </patternFill>
      </fill>
    </dxf>
    <dxf>
      <font>
        <name val="Arial"/>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110663"/>
      <rgbColor rgb="FF808000"/>
      <rgbColor rgb="FF800080"/>
      <rgbColor rgb="FF008080"/>
      <rgbColor rgb="FFC0C0C0"/>
      <rgbColor rgb="FF808080"/>
      <rgbColor rgb="FF9999FF"/>
      <rgbColor rgb="FF993366"/>
      <rgbColor rgb="FFF6F4F3"/>
      <rgbColor rgb="FFE8F8FD"/>
      <rgbColor rgb="FF660066"/>
      <rgbColor rgb="FFFF8080"/>
      <rgbColor rgb="FF0066CC"/>
      <rgbColor rgb="FFDCD8EC"/>
      <rgbColor rgb="FF000080"/>
      <rgbColor rgb="FFFF00FF"/>
      <rgbColor rgb="FFFFFF00"/>
      <rgbColor rgb="FF00FFFF"/>
      <rgbColor rgb="FF800080"/>
      <rgbColor rgb="FF800000"/>
      <rgbColor rgb="FF008080"/>
      <rgbColor rgb="FF0000FF"/>
      <rgbColor rgb="FF00CCFF"/>
      <rgbColor rgb="FFF4F1FE"/>
      <rgbColor rgb="FFCCFFCC"/>
      <rgbColor rgb="FFFFFF99"/>
      <rgbColor rgb="FF99CCFF"/>
      <rgbColor rgb="FFFF99CC"/>
      <rgbColor rgb="FFCC99FF"/>
      <rgbColor rgb="FFFFCC99"/>
      <rgbColor rgb="FF3366FF"/>
      <rgbColor rgb="FF46D3F7"/>
      <rgbColor rgb="FF99CC00"/>
      <rgbColor rgb="FFFFCC00"/>
      <rgbColor rgb="FFFF9900"/>
      <rgbColor rgb="FFFF6600"/>
      <rgbColor rgb="FF6B6893"/>
      <rgbColor rgb="FFA1A0BD"/>
      <rgbColor rgb="FF003366"/>
      <rgbColor rgb="FF339966"/>
      <rgbColor rgb="FF003300"/>
      <rgbColor rgb="FF333300"/>
      <rgbColor rgb="FF993300"/>
      <rgbColor rgb="FF993366"/>
      <rgbColor rgb="FF4C39CA"/>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1238040</xdr:colOff>
      <xdr:row>1</xdr:row>
      <xdr:rowOff>380520</xdr:rowOff>
    </xdr:to>
    <xdr:pic>
      <xdr:nvPicPr>
        <xdr:cNvPr id="0" name="Image 1" descr="Picture"/>
        <xdr:cNvPicPr/>
      </xdr:nvPicPr>
      <xdr:blipFill>
        <a:blip r:embed="rId1"/>
        <a:stretch/>
      </xdr:blipFill>
      <xdr:spPr>
        <a:xfrm>
          <a:off x="211320" y="152280"/>
          <a:ext cx="1238040" cy="380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1</xdr:row>
      <xdr:rowOff>0</xdr:rowOff>
    </xdr:from>
    <xdr:to>
      <xdr:col>7</xdr:col>
      <xdr:colOff>165600</xdr:colOff>
      <xdr:row>1</xdr:row>
      <xdr:rowOff>247320</xdr:rowOff>
    </xdr:to>
    <xdr:pic>
      <xdr:nvPicPr>
        <xdr:cNvPr id="1" name="Image 1" descr="Picture"/>
        <xdr:cNvPicPr/>
      </xdr:nvPicPr>
      <xdr:blipFill>
        <a:blip r:embed="rId1"/>
        <a:stretch/>
      </xdr:blipFill>
      <xdr:spPr>
        <a:xfrm>
          <a:off x="5568480" y="190440"/>
          <a:ext cx="799920" cy="2473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prowi.io/" TargetMode="External"/><Relationship Id="rId2"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hyperlink" Target="https://www.prowi.io/" TargetMode="External"/><Relationship Id="rId2" Type="http://schemas.openxmlformats.org/officeDocument/2006/relationships/drawing" Target="../drawings/drawing3.xml"/>
</Relationships>
</file>

<file path=xl/worksheets/_rels/sheet7.xml.rels><?xml version="1.0" encoding="UTF-8"?>
<Relationships xmlns="http://schemas.openxmlformats.org/package/2006/relationships"><Relationship Id="rId1" Type="http://schemas.openxmlformats.org/officeDocument/2006/relationships/hyperlink" Target="https://www.prowi.io/"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80"/>
    <col collapsed="false" customWidth="true" hidden="false" outlineLevel="0" max="4" min="4" style="0" width="3"/>
  </cols>
  <sheetData>
    <row r="1" customFormat="false" ht="12" hidden="false" customHeight="true" outlineLevel="0" collapsed="false"/>
    <row r="2" customFormat="false" ht="39.75" hidden="false" customHeight="true" outlineLevel="0" collapsed="false">
      <c r="C2" s="1" t="s">
        <v>0</v>
      </c>
    </row>
    <row r="3" customFormat="false" ht="12" hidden="false" customHeight="true" outlineLevel="0" collapsed="false"/>
    <row r="4" customFormat="false" ht="43.5" hidden="false" customHeight="true" outlineLevel="0" collapsed="false">
      <c r="B4" s="2" t="s">
        <v>1</v>
      </c>
      <c r="C4" s="3"/>
    </row>
    <row r="5" customFormat="false" ht="25.5" hidden="false" customHeight="true" outlineLevel="0" collapsed="false">
      <c r="B5" s="4" t="s">
        <v>2</v>
      </c>
      <c r="C5" s="5"/>
    </row>
    <row r="7" customFormat="false" ht="75" hidden="false" customHeight="true" outlineLevel="0" collapsed="false">
      <c r="B7" s="6" t="s">
        <v>3</v>
      </c>
      <c r="C7" s="6"/>
    </row>
    <row r="9" customFormat="false" ht="15" hidden="false" customHeight="false" outlineLevel="0" collapsed="false">
      <c r="B9" s="7" t="s">
        <v>4</v>
      </c>
    </row>
    <row r="10" customFormat="false" ht="31.5" hidden="false" customHeight="true" outlineLevel="0" collapsed="false">
      <c r="B10" s="8" t="s">
        <v>5</v>
      </c>
      <c r="C10" s="9" t="s">
        <v>6</v>
      </c>
    </row>
    <row r="11" customFormat="false" ht="31.5" hidden="false" customHeight="true" outlineLevel="0" collapsed="false">
      <c r="B11" s="8" t="s">
        <v>7</v>
      </c>
      <c r="C11" s="9" t="s">
        <v>8</v>
      </c>
    </row>
    <row r="12" customFormat="false" ht="31.5" hidden="false" customHeight="true" outlineLevel="0" collapsed="false">
      <c r="B12" s="8" t="s">
        <v>9</v>
      </c>
      <c r="C12" s="9" t="s">
        <v>10</v>
      </c>
    </row>
    <row r="13" customFormat="false" ht="31.5" hidden="false" customHeight="true" outlineLevel="0" collapsed="false">
      <c r="B13" s="8" t="s">
        <v>11</v>
      </c>
      <c r="C13" s="9" t="s">
        <v>12</v>
      </c>
    </row>
    <row r="14" customFormat="false" ht="31.5" hidden="false" customHeight="true" outlineLevel="0" collapsed="false">
      <c r="B14" s="8" t="s">
        <v>13</v>
      </c>
      <c r="C14" s="9" t="s">
        <v>14</v>
      </c>
    </row>
    <row r="15" customFormat="false" ht="31.5" hidden="false" customHeight="true" outlineLevel="0" collapsed="false">
      <c r="B15" s="8" t="s">
        <v>15</v>
      </c>
      <c r="C15" s="9" t="s">
        <v>16</v>
      </c>
    </row>
    <row r="17" customFormat="false" ht="15" hidden="false" customHeight="false" outlineLevel="0" collapsed="false">
      <c r="B17" s="7" t="s">
        <v>17</v>
      </c>
    </row>
    <row r="18" customFormat="false" ht="15" hidden="false" customHeight="false" outlineLevel="0" collapsed="false">
      <c r="B18" s="10" t="s">
        <v>18</v>
      </c>
      <c r="C18" s="11" t="s">
        <v>19</v>
      </c>
    </row>
    <row r="19" customFormat="false" ht="15" hidden="false" customHeight="false" outlineLevel="0" collapsed="false">
      <c r="B19" s="12" t="s">
        <v>20</v>
      </c>
      <c r="C19" s="11" t="s">
        <v>21</v>
      </c>
    </row>
    <row r="20" customFormat="false" ht="15" hidden="false" customHeight="false" outlineLevel="0" collapsed="false">
      <c r="B20" s="13" t="s">
        <v>22</v>
      </c>
      <c r="C20" s="11" t="s">
        <v>23</v>
      </c>
    </row>
    <row r="22" customFormat="false" ht="15" hidden="false" customHeight="false" outlineLevel="0" collapsed="false">
      <c r="B22" s="7" t="s">
        <v>24</v>
      </c>
    </row>
    <row r="23" customFormat="false" ht="16.5" hidden="false" customHeight="true" outlineLevel="0" collapsed="false">
      <c r="B23" s="8" t="s">
        <v>25</v>
      </c>
      <c r="C23" s="9" t="s">
        <v>26</v>
      </c>
    </row>
    <row r="24" customFormat="false" ht="31.5" hidden="false" customHeight="true" outlineLevel="0" collapsed="false">
      <c r="B24" s="8" t="s">
        <v>27</v>
      </c>
      <c r="C24" s="9" t="s">
        <v>28</v>
      </c>
    </row>
    <row r="25" customFormat="false" ht="31.5" hidden="false" customHeight="true" outlineLevel="0" collapsed="false">
      <c r="B25" s="8" t="s">
        <v>29</v>
      </c>
      <c r="C25" s="9" t="s">
        <v>30</v>
      </c>
    </row>
    <row r="26" customFormat="false" ht="31.5" hidden="false" customHeight="true" outlineLevel="0" collapsed="false">
      <c r="B26" s="8" t="s">
        <v>31</v>
      </c>
      <c r="C26" s="9" t="s">
        <v>32</v>
      </c>
    </row>
    <row r="27" customFormat="false" ht="31.5" hidden="false" customHeight="true" outlineLevel="0" collapsed="false">
      <c r="B27" s="8" t="s">
        <v>33</v>
      </c>
      <c r="C27" s="9" t="s">
        <v>34</v>
      </c>
    </row>
    <row r="28" customFormat="false" ht="31.5" hidden="false" customHeight="true" outlineLevel="0" collapsed="false">
      <c r="B28" s="8" t="s">
        <v>35</v>
      </c>
      <c r="C28" s="9" t="s">
        <v>36</v>
      </c>
    </row>
    <row r="30" customFormat="false" ht="15" hidden="false" customHeight="false" outlineLevel="0" collapsed="false">
      <c r="B30" s="7" t="s">
        <v>37</v>
      </c>
    </row>
    <row r="31" customFormat="false" ht="31.5" hidden="false" customHeight="true" outlineLevel="0" collapsed="false">
      <c r="B31" s="14" t="s">
        <v>38</v>
      </c>
      <c r="C31" s="9" t="s">
        <v>39</v>
      </c>
    </row>
    <row r="32" customFormat="false" ht="16.5" hidden="false" customHeight="true" outlineLevel="0" collapsed="false">
      <c r="B32" s="14" t="s">
        <v>38</v>
      </c>
      <c r="C32" s="9" t="s">
        <v>40</v>
      </c>
    </row>
    <row r="33" customFormat="false" ht="31.5" hidden="false" customHeight="true" outlineLevel="0" collapsed="false">
      <c r="B33" s="14" t="s">
        <v>38</v>
      </c>
      <c r="C33" s="9" t="s">
        <v>41</v>
      </c>
    </row>
    <row r="34" customFormat="false" ht="31.5" hidden="false" customHeight="true" outlineLevel="0" collapsed="false">
      <c r="B34" s="14" t="s">
        <v>38</v>
      </c>
      <c r="C34" s="9" t="s">
        <v>42</v>
      </c>
    </row>
    <row r="35" customFormat="false" ht="31.5" hidden="false" customHeight="true" outlineLevel="0" collapsed="false">
      <c r="B35" s="14" t="s">
        <v>38</v>
      </c>
      <c r="C35" s="9" t="s">
        <v>43</v>
      </c>
    </row>
    <row r="37" customFormat="false" ht="15" hidden="false" customHeight="false" outlineLevel="0" collapsed="false">
      <c r="B37" s="15"/>
      <c r="C37" s="15"/>
    </row>
    <row r="38" customFormat="false" ht="15" hidden="false" customHeight="false" outlineLevel="0" collapsed="false">
      <c r="B38" s="16" t="s">
        <v>44</v>
      </c>
    </row>
  </sheetData>
  <mergeCells count="1">
    <mergeCell ref="B7:C7"/>
  </mergeCells>
  <hyperlinks>
    <hyperlink ref="B38" r:id="rId1" display="prowi.io · Free template from Prowi"/>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N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2" topLeftCell="A1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3"/>
    <col collapsed="false" customWidth="true" hidden="false" outlineLevel="0" max="3" min="3" style="0" width="20"/>
    <col collapsed="false" customWidth="true" hidden="false" outlineLevel="0" max="4" min="4" style="0" width="12"/>
    <col collapsed="false" customWidth="true" hidden="false" outlineLevel="0" max="5" min="5" style="0" width="15"/>
    <col collapsed="false" customWidth="true" hidden="false" outlineLevel="0" max="6" min="6" style="0" width="11"/>
    <col collapsed="false" customWidth="true" hidden="false" outlineLevel="0" max="7" min="7" style="0" width="13"/>
    <col collapsed="false" customWidth="true" hidden="false" outlineLevel="0" max="10" min="8" style="0" width="12"/>
    <col collapsed="false" customWidth="true" hidden="false" outlineLevel="0" max="11" min="11" style="0" width="14"/>
    <col collapsed="false" customWidth="true" hidden="false" outlineLevel="0" max="12" min="12" style="0" width="26"/>
    <col collapsed="false" customWidth="true" hidden="false" outlineLevel="0" max="13" min="13" style="0" width="3"/>
    <col collapsed="false" customWidth="true" hidden="false" outlineLevel="0" max="14" min="14" style="0" width="13"/>
  </cols>
  <sheetData>
    <row r="2" customFormat="false" ht="30" hidden="false" customHeight="true" outlineLevel="0" collapsed="false">
      <c r="B2" s="17" t="s">
        <v>45</v>
      </c>
    </row>
    <row r="3" customFormat="false" ht="15" hidden="false" customHeight="false" outlineLevel="0" collapsed="false">
      <c r="B3" s="18" t="s">
        <v>46</v>
      </c>
    </row>
    <row r="5" customFormat="false" ht="15" hidden="false" customHeight="false" outlineLevel="0" collapsed="false">
      <c r="B5" s="7" t="s">
        <v>47</v>
      </c>
    </row>
    <row r="6" customFormat="false" ht="18" hidden="false" customHeight="true" outlineLevel="0" collapsed="false">
      <c r="B6" s="19" t="s">
        <v>48</v>
      </c>
      <c r="C6" s="10" t="s">
        <v>49</v>
      </c>
      <c r="D6" s="20" t="s">
        <v>50</v>
      </c>
    </row>
    <row r="7" customFormat="false" ht="18" hidden="false" customHeight="true" outlineLevel="0" collapsed="false">
      <c r="B7" s="19" t="s">
        <v>51</v>
      </c>
      <c r="C7" s="21" t="n">
        <v>2026</v>
      </c>
      <c r="D7" s="20" t="s">
        <v>52</v>
      </c>
    </row>
    <row r="8" customFormat="false" ht="18" hidden="false" customHeight="true" outlineLevel="0" collapsed="false">
      <c r="B8" s="19" t="s">
        <v>53</v>
      </c>
      <c r="C8" s="22"/>
      <c r="D8" s="20" t="s">
        <v>54</v>
      </c>
    </row>
    <row r="9" customFormat="false" ht="18" hidden="false" customHeight="true" outlineLevel="0" collapsed="false">
      <c r="B9" s="19" t="s">
        <v>55</v>
      </c>
      <c r="C9" s="10" t="s">
        <v>56</v>
      </c>
      <c r="D9" s="20" t="s">
        <v>57</v>
      </c>
    </row>
    <row r="11" customFormat="false" ht="15" hidden="false" customHeight="false" outlineLevel="0" collapsed="false">
      <c r="B11" s="7" t="s">
        <v>58</v>
      </c>
    </row>
    <row r="12" customFormat="false" ht="42" hidden="false" customHeight="true" outlineLevel="0" collapsed="false">
      <c r="B12" s="23" t="s">
        <v>59</v>
      </c>
      <c r="C12" s="23" t="s">
        <v>60</v>
      </c>
      <c r="D12" s="23" t="s">
        <v>61</v>
      </c>
      <c r="E12" s="23" t="s">
        <v>62</v>
      </c>
      <c r="F12" s="23" t="s">
        <v>63</v>
      </c>
      <c r="G12" s="23" t="s">
        <v>64</v>
      </c>
      <c r="H12" s="23" t="s">
        <v>65</v>
      </c>
      <c r="I12" s="23" t="s">
        <v>66</v>
      </c>
      <c r="J12" s="23" t="s">
        <v>67</v>
      </c>
      <c r="K12" s="23" t="s">
        <v>68</v>
      </c>
      <c r="L12" s="23" t="s">
        <v>69</v>
      </c>
      <c r="N12" s="24" t="s">
        <v>70</v>
      </c>
    </row>
    <row r="13" customFormat="false" ht="16.5" hidden="false" customHeight="true" outlineLevel="0" collapsed="false">
      <c r="B13" s="22" t="s">
        <v>71</v>
      </c>
      <c r="C13" s="10" t="s">
        <v>72</v>
      </c>
      <c r="D13" s="10" t="s">
        <v>73</v>
      </c>
      <c r="E13" s="10" t="s">
        <v>74</v>
      </c>
      <c r="F13" s="25" t="n">
        <v>0.08</v>
      </c>
      <c r="G13" s="26" t="n">
        <v>10000</v>
      </c>
      <c r="H13" s="10" t="s">
        <v>75</v>
      </c>
      <c r="I13" s="10" t="s">
        <v>76</v>
      </c>
      <c r="J13" s="10" t="s">
        <v>77</v>
      </c>
      <c r="K13" s="26"/>
      <c r="L13" s="10" t="s">
        <v>78</v>
      </c>
      <c r="N13" s="27" t="s">
        <v>75</v>
      </c>
    </row>
    <row r="14" customFormat="false" ht="16.5" hidden="false" customHeight="true" outlineLevel="0" collapsed="false">
      <c r="B14" s="22" t="s">
        <v>79</v>
      </c>
      <c r="C14" s="10" t="s">
        <v>80</v>
      </c>
      <c r="D14" s="10" t="s">
        <v>73</v>
      </c>
      <c r="E14" s="10" t="s">
        <v>74</v>
      </c>
      <c r="F14" s="25" t="n">
        <v>0.06</v>
      </c>
      <c r="G14" s="26"/>
      <c r="H14" s="10"/>
      <c r="I14" s="10"/>
      <c r="J14" s="10"/>
      <c r="K14" s="26"/>
      <c r="L14" s="10"/>
      <c r="N14" s="27" t="s">
        <v>81</v>
      </c>
    </row>
    <row r="15" customFormat="false" ht="16.5" hidden="false" customHeight="true" outlineLevel="0" collapsed="false">
      <c r="B15" s="22" t="s">
        <v>82</v>
      </c>
      <c r="C15" s="10" t="s">
        <v>83</v>
      </c>
      <c r="D15" s="10" t="s">
        <v>84</v>
      </c>
      <c r="E15" s="10" t="s">
        <v>85</v>
      </c>
      <c r="F15" s="25" t="n">
        <v>0.1</v>
      </c>
      <c r="G15" s="26" t="n">
        <v>15000</v>
      </c>
      <c r="H15" s="10" t="s">
        <v>75</v>
      </c>
      <c r="I15" s="10" t="s">
        <v>76</v>
      </c>
      <c r="J15" s="10" t="s">
        <v>86</v>
      </c>
      <c r="K15" s="26"/>
      <c r="L15" s="10" t="s">
        <v>87</v>
      </c>
      <c r="N15" s="27" t="s">
        <v>76</v>
      </c>
    </row>
    <row r="16" customFormat="false" ht="16.5" hidden="false" customHeight="true" outlineLevel="0" collapsed="false">
      <c r="B16" s="22"/>
      <c r="C16" s="10"/>
      <c r="D16" s="10"/>
      <c r="E16" s="10"/>
      <c r="F16" s="25"/>
      <c r="G16" s="26"/>
      <c r="H16" s="10"/>
      <c r="I16" s="10"/>
      <c r="J16" s="10"/>
      <c r="K16" s="26"/>
      <c r="L16" s="10"/>
      <c r="N16" s="27" t="s">
        <v>88</v>
      </c>
    </row>
    <row r="17" customFormat="false" ht="16.5" hidden="false" customHeight="true" outlineLevel="0" collapsed="false">
      <c r="B17" s="22"/>
      <c r="C17" s="10"/>
      <c r="D17" s="10"/>
      <c r="E17" s="10"/>
      <c r="F17" s="25"/>
      <c r="G17" s="26"/>
      <c r="H17" s="10"/>
      <c r="I17" s="10"/>
      <c r="J17" s="10"/>
      <c r="K17" s="26"/>
      <c r="L17" s="10"/>
      <c r="N17" s="27" t="s">
        <v>89</v>
      </c>
    </row>
    <row r="18" customFormat="false" ht="16.5" hidden="false" customHeight="true" outlineLevel="0" collapsed="false">
      <c r="B18" s="22"/>
      <c r="C18" s="10"/>
      <c r="D18" s="10"/>
      <c r="E18" s="10"/>
      <c r="F18" s="25"/>
      <c r="G18" s="26"/>
      <c r="H18" s="10"/>
      <c r="I18" s="10"/>
      <c r="J18" s="10"/>
      <c r="K18" s="26"/>
      <c r="L18" s="10"/>
      <c r="N18" s="27" t="s">
        <v>90</v>
      </c>
    </row>
    <row r="19" customFormat="false" ht="16.5" hidden="false" customHeight="true" outlineLevel="0" collapsed="false">
      <c r="B19" s="22"/>
      <c r="C19" s="10"/>
      <c r="D19" s="10"/>
      <c r="E19" s="10"/>
      <c r="F19" s="25"/>
      <c r="G19" s="26"/>
      <c r="H19" s="10"/>
      <c r="I19" s="10"/>
      <c r="J19" s="10"/>
      <c r="K19" s="26"/>
      <c r="L19" s="10"/>
      <c r="N19" s="27" t="s">
        <v>91</v>
      </c>
    </row>
    <row r="20" customFormat="false" ht="16.5" hidden="false" customHeight="true" outlineLevel="0" collapsed="false">
      <c r="B20" s="22"/>
      <c r="C20" s="10"/>
      <c r="D20" s="10"/>
      <c r="E20" s="10"/>
      <c r="F20" s="25"/>
      <c r="G20" s="26"/>
      <c r="H20" s="10"/>
      <c r="I20" s="10"/>
      <c r="J20" s="10"/>
      <c r="K20" s="26"/>
      <c r="L20" s="10"/>
      <c r="N20" s="27" t="s">
        <v>92</v>
      </c>
    </row>
    <row r="21" customFormat="false" ht="16.5" hidden="false" customHeight="true" outlineLevel="0" collapsed="false">
      <c r="B21" s="22"/>
      <c r="C21" s="10"/>
      <c r="D21" s="10"/>
      <c r="E21" s="10"/>
      <c r="F21" s="25"/>
      <c r="G21" s="26"/>
      <c r="H21" s="10"/>
      <c r="I21" s="10"/>
      <c r="J21" s="10"/>
      <c r="K21" s="26"/>
      <c r="L21" s="10"/>
      <c r="N21" s="27" t="s">
        <v>93</v>
      </c>
    </row>
    <row r="22" customFormat="false" ht="16.5" hidden="false" customHeight="true" outlineLevel="0" collapsed="false">
      <c r="B22" s="22"/>
      <c r="C22" s="10"/>
      <c r="D22" s="10"/>
      <c r="E22" s="10"/>
      <c r="F22" s="25"/>
      <c r="G22" s="26"/>
      <c r="H22" s="10"/>
      <c r="I22" s="10"/>
      <c r="J22" s="10"/>
      <c r="K22" s="26"/>
      <c r="L22" s="10"/>
      <c r="N22" s="27" t="s">
        <v>94</v>
      </c>
    </row>
    <row r="23" customFormat="false" ht="16.5" hidden="false" customHeight="true" outlineLevel="0" collapsed="false">
      <c r="B23" s="22"/>
      <c r="C23" s="10"/>
      <c r="D23" s="10"/>
      <c r="E23" s="10"/>
      <c r="F23" s="25"/>
      <c r="G23" s="26"/>
      <c r="H23" s="10"/>
      <c r="I23" s="10"/>
      <c r="J23" s="10"/>
      <c r="K23" s="26"/>
      <c r="L23" s="10"/>
      <c r="N23" s="27" t="s">
        <v>95</v>
      </c>
    </row>
    <row r="24" customFormat="false" ht="16.5" hidden="false" customHeight="true" outlineLevel="0" collapsed="false">
      <c r="B24" s="22"/>
      <c r="C24" s="10"/>
      <c r="D24" s="10"/>
      <c r="E24" s="10"/>
      <c r="F24" s="25"/>
      <c r="G24" s="26"/>
      <c r="H24" s="10"/>
      <c r="I24" s="10"/>
      <c r="J24" s="10"/>
      <c r="K24" s="26"/>
      <c r="L24" s="10"/>
      <c r="N24" s="27" t="s">
        <v>96</v>
      </c>
    </row>
    <row r="25" customFormat="false" ht="16.5" hidden="false" customHeight="true" outlineLevel="0" collapsed="false">
      <c r="B25" s="22"/>
      <c r="C25" s="10"/>
      <c r="D25" s="10"/>
      <c r="E25" s="10"/>
      <c r="F25" s="25"/>
      <c r="G25" s="26"/>
      <c r="H25" s="10"/>
      <c r="I25" s="10"/>
      <c r="J25" s="10"/>
      <c r="K25" s="26"/>
      <c r="L25" s="10"/>
    </row>
    <row r="26" customFormat="false" ht="16.5" hidden="false" customHeight="true" outlineLevel="0" collapsed="false">
      <c r="B26" s="22"/>
      <c r="C26" s="10"/>
      <c r="D26" s="10"/>
      <c r="E26" s="10"/>
      <c r="F26" s="25"/>
      <c r="G26" s="26"/>
      <c r="H26" s="10"/>
      <c r="I26" s="10"/>
      <c r="J26" s="10"/>
      <c r="K26" s="26"/>
      <c r="L26" s="10"/>
    </row>
    <row r="27" customFormat="false" ht="16.5" hidden="false" customHeight="true" outlineLevel="0" collapsed="false">
      <c r="B27" s="22"/>
      <c r="C27" s="10"/>
      <c r="D27" s="10"/>
      <c r="E27" s="10"/>
      <c r="F27" s="25"/>
      <c r="G27" s="26"/>
      <c r="H27" s="10"/>
      <c r="I27" s="10"/>
      <c r="J27" s="10"/>
      <c r="K27" s="26"/>
      <c r="L27" s="10"/>
    </row>
    <row r="29" customFormat="false" ht="15" hidden="false" customHeight="false" outlineLevel="0" collapsed="false">
      <c r="B29" s="20" t="s">
        <v>97</v>
      </c>
    </row>
    <row r="30" customFormat="false" ht="15" hidden="false" customHeight="false" outlineLevel="0" collapsed="false">
      <c r="B30" s="20" t="s">
        <v>98</v>
      </c>
    </row>
  </sheetData>
  <dataValidations count="3">
    <dataValidation allowBlank="true" errorStyle="stop" operator="between" showDropDown="false" showErrorMessage="false" showInputMessage="false" sqref="J13:J27" type="list">
      <formula1>"Yes,No"</formula1>
      <formula2>0</formula2>
    </dataValidation>
    <dataValidation allowBlank="true" errorStyle="stop" operator="between" showDropDown="false" showErrorMessage="false" showInputMessage="false" sqref="H13:I27" type="list">
      <formula1>Settings!$N$13:$N$24</formula1>
      <formula2>0</formula2>
    </dataValidation>
    <dataValidation allowBlank="true" error="Enter a rate between 0 and 100%." errorStyle="stop" errorTitle="Invalid value" operator="between" showDropDown="false" showErrorMessage="false" showInputMessage="false" sqref="F13:F27"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K3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2"/>
    <col collapsed="false" customWidth="true" hidden="false" outlineLevel="0" max="3" min="3" style="0" width="24"/>
    <col collapsed="false" customWidth="true" hidden="false" outlineLevel="0" max="4" min="4" style="0" width="11"/>
    <col collapsed="false" customWidth="true" hidden="false" outlineLevel="0" max="5" min="5" style="0" width="14"/>
    <col collapsed="false" customWidth="true" hidden="false" outlineLevel="0" max="8" min="6" style="0" width="10"/>
    <col collapsed="false" customWidth="true" hidden="false" outlineLevel="0" max="9" min="9" style="0" width="14"/>
    <col collapsed="false" customWidth="true" hidden="false" outlineLevel="0" max="10" min="10" style="0" width="8"/>
    <col collapsed="false" customWidth="true" hidden="false" outlineLevel="0" max="11" min="11" style="0" width="9"/>
  </cols>
  <sheetData>
    <row r="2" customFormat="false" ht="30" hidden="false" customHeight="true" outlineLevel="0" collapsed="false">
      <c r="A2" s="17" t="s">
        <v>99</v>
      </c>
    </row>
    <row r="3" customFormat="false" ht="15" hidden="false" customHeight="false" outlineLevel="0" collapsed="false">
      <c r="A3" s="18" t="s">
        <v>100</v>
      </c>
    </row>
    <row r="5" customFormat="false" ht="42" hidden="false" customHeight="true" outlineLevel="0" collapsed="false">
      <c r="A5" s="23" t="s">
        <v>101</v>
      </c>
      <c r="B5" s="23" t="s">
        <v>102</v>
      </c>
      <c r="C5" s="23" t="s">
        <v>103</v>
      </c>
      <c r="D5" s="23" t="s">
        <v>104</v>
      </c>
      <c r="E5" s="23" t="s">
        <v>105</v>
      </c>
      <c r="F5" s="23" t="s">
        <v>106</v>
      </c>
      <c r="G5" s="23" t="s">
        <v>107</v>
      </c>
      <c r="H5" s="23" t="s">
        <v>108</v>
      </c>
      <c r="I5" s="23" t="s">
        <v>109</v>
      </c>
      <c r="J5" s="23" t="s">
        <v>110</v>
      </c>
      <c r="K5" s="23" t="s">
        <v>111</v>
      </c>
    </row>
    <row r="6" customFormat="false" ht="15" hidden="false" customHeight="false" outlineLevel="0" collapsed="false">
      <c r="A6" s="10" t="s">
        <v>72</v>
      </c>
      <c r="B6" s="28" t="n">
        <v>46037</v>
      </c>
      <c r="C6" s="10" t="s">
        <v>112</v>
      </c>
      <c r="D6" s="10" t="s">
        <v>113</v>
      </c>
      <c r="E6" s="26" t="n">
        <v>50000</v>
      </c>
      <c r="F6" s="10"/>
      <c r="G6" s="25"/>
      <c r="H6" s="29" t="n">
        <f aca="false">IF(OR(A6="",E6=""),"",IF(G6="",IFERROR(INDEX(Settings!$F$13:$F$27,MATCH(A6,Settings!$C$13:$C$27,0)),0),G6))</f>
        <v>0.08</v>
      </c>
      <c r="I6" s="30" t="n">
        <f aca="false">IF(H6="","",ROUND(E6*H6,2))</f>
        <v>4000</v>
      </c>
      <c r="J6" s="31" t="n">
        <f aca="false">IF(OR(A6="",B6=""),"",IF(YEAR(B6)=Settings!$C$7,MONTH(B6),""))</f>
        <v>1</v>
      </c>
      <c r="K6" s="31" t="str">
        <f aca="false">IF(AND(A6&lt;&gt;"",A6=Statement!$C$6,J6=Statement!$K$7),COUNTIFS(A$6:A6,Statement!$C$6,J$6:J6,Statement!$K$7),"")</f>
        <v/>
      </c>
    </row>
    <row r="7" customFormat="false" ht="15" hidden="false" customHeight="false" outlineLevel="0" collapsed="false">
      <c r="A7" s="10" t="s">
        <v>80</v>
      </c>
      <c r="B7" s="28" t="n">
        <v>46034</v>
      </c>
      <c r="C7" s="10" t="s">
        <v>114</v>
      </c>
      <c r="D7" s="10" t="s">
        <v>115</v>
      </c>
      <c r="E7" s="26" t="n">
        <v>180000</v>
      </c>
      <c r="F7" s="10"/>
      <c r="G7" s="25"/>
      <c r="H7" s="29" t="n">
        <f aca="false">IF(OR(A7="",E7=""),"",IF(G7="",IFERROR(INDEX(Settings!$F$13:$F$27,MATCH(A7,Settings!$C$13:$C$27,0)),0),G7))</f>
        <v>0.06</v>
      </c>
      <c r="I7" s="30" t="n">
        <f aca="false">IF(H7="","",ROUND(E7*H7,2))</f>
        <v>10800</v>
      </c>
      <c r="J7" s="31" t="n">
        <f aca="false">IF(OR(A7="",B7=""),"",IF(YEAR(B7)=Settings!$C$7,MONTH(B7),""))</f>
        <v>1</v>
      </c>
      <c r="K7" s="31" t="str">
        <f aca="false">IF(AND(A7&lt;&gt;"",A7=Statement!$C$6,J7=Statement!$K$7),COUNTIFS(A$6:A7,Statement!$C$6,J$6:J7,Statement!$K$7),"")</f>
        <v/>
      </c>
    </row>
    <row r="8" customFormat="false" ht="15" hidden="false" customHeight="false" outlineLevel="0" collapsed="false">
      <c r="A8" s="10" t="s">
        <v>72</v>
      </c>
      <c r="B8" s="28" t="n">
        <v>46063</v>
      </c>
      <c r="C8" s="10" t="s">
        <v>116</v>
      </c>
      <c r="D8" s="10" t="s">
        <v>117</v>
      </c>
      <c r="E8" s="26" t="n">
        <v>100000</v>
      </c>
      <c r="F8" s="10"/>
      <c r="G8" s="25"/>
      <c r="H8" s="29" t="n">
        <f aca="false">IF(OR(A8="",E8=""),"",IF(G8="",IFERROR(INDEX(Settings!$F$13:$F$27,MATCH(A8,Settings!$C$13:$C$27,0)),0),G8))</f>
        <v>0.08</v>
      </c>
      <c r="I8" s="30" t="n">
        <f aca="false">IF(H8="","",ROUND(E8*H8,2))</f>
        <v>8000</v>
      </c>
      <c r="J8" s="31" t="n">
        <f aca="false">IF(OR(A8="",B8=""),"",IF(YEAR(B8)=Settings!$C$7,MONTH(B8),""))</f>
        <v>2</v>
      </c>
      <c r="K8" s="31" t="str">
        <f aca="false">IF(AND(A8&lt;&gt;"",A8=Statement!$C$6,J8=Statement!$K$7),COUNTIFS(A$6:A8,Statement!$C$6,J$6:J8,Statement!$K$7),"")</f>
        <v/>
      </c>
    </row>
    <row r="9" customFormat="false" ht="15" hidden="false" customHeight="false" outlineLevel="0" collapsed="false">
      <c r="A9" s="10" t="s">
        <v>72</v>
      </c>
      <c r="B9" s="28" t="n">
        <v>46077</v>
      </c>
      <c r="C9" s="10" t="s">
        <v>118</v>
      </c>
      <c r="D9" s="10" t="s">
        <v>119</v>
      </c>
      <c r="E9" s="26" t="n">
        <v>50000</v>
      </c>
      <c r="F9" s="10"/>
      <c r="G9" s="25"/>
      <c r="H9" s="29" t="n">
        <f aca="false">IF(OR(A9="",E9=""),"",IF(G9="",IFERROR(INDEX(Settings!$F$13:$F$27,MATCH(A9,Settings!$C$13:$C$27,0)),0),G9))</f>
        <v>0.08</v>
      </c>
      <c r="I9" s="30" t="n">
        <f aca="false">IF(H9="","",ROUND(E9*H9,2))</f>
        <v>4000</v>
      </c>
      <c r="J9" s="31" t="n">
        <f aca="false">IF(OR(A9="",B9=""),"",IF(YEAR(B9)=Settings!$C$7,MONTH(B9),""))</f>
        <v>2</v>
      </c>
      <c r="K9" s="31" t="str">
        <f aca="false">IF(AND(A9&lt;&gt;"",A9=Statement!$C$6,J9=Statement!$K$7),COUNTIFS(A$6:A9,Statement!$C$6,J$6:J9,Statement!$K$7),"")</f>
        <v/>
      </c>
    </row>
    <row r="10" customFormat="false" ht="15" hidden="false" customHeight="false" outlineLevel="0" collapsed="false">
      <c r="A10" s="10" t="s">
        <v>80</v>
      </c>
      <c r="B10" s="28" t="n">
        <v>46069</v>
      </c>
      <c r="C10" s="10" t="s">
        <v>120</v>
      </c>
      <c r="D10" s="10" t="s">
        <v>121</v>
      </c>
      <c r="E10" s="26" t="n">
        <v>140000</v>
      </c>
      <c r="F10" s="10"/>
      <c r="G10" s="25"/>
      <c r="H10" s="29" t="n">
        <f aca="false">IF(OR(A10="",E10=""),"",IF(G10="",IFERROR(INDEX(Settings!$F$13:$F$27,MATCH(A10,Settings!$C$13:$C$27,0)),0),G10))</f>
        <v>0.06</v>
      </c>
      <c r="I10" s="30" t="n">
        <f aca="false">IF(H10="","",ROUND(E10*H10,2))</f>
        <v>8400</v>
      </c>
      <c r="J10" s="31" t="n">
        <f aca="false">IF(OR(A10="",B10=""),"",IF(YEAR(B10)=Settings!$C$7,MONTH(B10),""))</f>
        <v>2</v>
      </c>
      <c r="K10" s="31" t="str">
        <f aca="false">IF(AND(A10&lt;&gt;"",A10=Statement!$C$6,J10=Statement!$K$7),COUNTIFS(A$6:A10,Statement!$C$6,J$6:J10,Statement!$K$7),"")</f>
        <v/>
      </c>
    </row>
    <row r="11" customFormat="false" ht="15" hidden="false" customHeight="false" outlineLevel="0" collapsed="false">
      <c r="A11" s="10" t="s">
        <v>83</v>
      </c>
      <c r="B11" s="28" t="n">
        <v>46073</v>
      </c>
      <c r="C11" s="10" t="s">
        <v>122</v>
      </c>
      <c r="D11" s="10" t="s">
        <v>123</v>
      </c>
      <c r="E11" s="26" t="n">
        <v>80000</v>
      </c>
      <c r="F11" s="10"/>
      <c r="G11" s="25"/>
      <c r="H11" s="29" t="n">
        <f aca="false">IF(OR(A11="",E11=""),"",IF(G11="",IFERROR(INDEX(Settings!$F$13:$F$27,MATCH(A11,Settings!$C$13:$C$27,0)),0),G11))</f>
        <v>0.1</v>
      </c>
      <c r="I11" s="30" t="n">
        <f aca="false">IF(H11="","",ROUND(E11*H11,2))</f>
        <v>8000</v>
      </c>
      <c r="J11" s="31" t="n">
        <f aca="false">IF(OR(A11="",B11=""),"",IF(YEAR(B11)=Settings!$C$7,MONTH(B11),""))</f>
        <v>2</v>
      </c>
      <c r="K11" s="31" t="str">
        <f aca="false">IF(AND(A11&lt;&gt;"",A11=Statement!$C$6,J11=Statement!$K$7),COUNTIFS(A$6:A11,Statement!$C$6,J$6:J11,Statement!$K$7),"")</f>
        <v/>
      </c>
    </row>
    <row r="12" customFormat="false" ht="15" hidden="false" customHeight="false" outlineLevel="0" collapsed="false">
      <c r="A12" s="10" t="s">
        <v>72</v>
      </c>
      <c r="B12" s="28" t="n">
        <v>46085</v>
      </c>
      <c r="C12" s="10" t="s">
        <v>124</v>
      </c>
      <c r="D12" s="10" t="s">
        <v>125</v>
      </c>
      <c r="E12" s="26" t="n">
        <v>120000</v>
      </c>
      <c r="F12" s="10" t="s">
        <v>126</v>
      </c>
      <c r="G12" s="25"/>
      <c r="H12" s="29" t="n">
        <f aca="false">IF(OR(A12="",E12=""),"",IF(G12="",IFERROR(INDEX(Settings!$F$13:$F$27,MATCH(A12,Settings!$C$13:$C$27,0)),0),G12))</f>
        <v>0.08</v>
      </c>
      <c r="I12" s="30" t="n">
        <f aca="false">IF(H12="","",ROUND(E12*H12,2))</f>
        <v>9600</v>
      </c>
      <c r="J12" s="31" t="n">
        <f aca="false">IF(OR(A12="",B12=""),"",IF(YEAR(B12)=Settings!$C$7,MONTH(B12),""))</f>
        <v>3</v>
      </c>
      <c r="K12" s="31" t="n">
        <f aca="false">IF(AND(A12&lt;&gt;"",A12=Statement!$C$6,J12=Statement!$K$7),COUNTIFS(A$6:A12,Statement!$C$6,J$6:J12,Statement!$K$7),"")</f>
        <v>1</v>
      </c>
    </row>
    <row r="13" customFormat="false" ht="15" hidden="false" customHeight="false" outlineLevel="0" collapsed="false">
      <c r="A13" s="10" t="s">
        <v>80</v>
      </c>
      <c r="B13" s="28" t="n">
        <v>46090</v>
      </c>
      <c r="C13" s="10" t="s">
        <v>127</v>
      </c>
      <c r="D13" s="10" t="s">
        <v>128</v>
      </c>
      <c r="E13" s="26" t="n">
        <v>200000</v>
      </c>
      <c r="F13" s="10"/>
      <c r="G13" s="25"/>
      <c r="H13" s="29" t="n">
        <f aca="false">IF(OR(A13="",E13=""),"",IF(G13="",IFERROR(INDEX(Settings!$F$13:$F$27,MATCH(A13,Settings!$C$13:$C$27,0)),0),G13))</f>
        <v>0.06</v>
      </c>
      <c r="I13" s="30" t="n">
        <f aca="false">IF(H13="","",ROUND(E13*H13,2))</f>
        <v>12000</v>
      </c>
      <c r="J13" s="31" t="n">
        <f aca="false">IF(OR(A13="",B13=""),"",IF(YEAR(B13)=Settings!$C$7,MONTH(B13),""))</f>
        <v>3</v>
      </c>
      <c r="K13" s="31" t="str">
        <f aca="false">IF(AND(A13&lt;&gt;"",A13=Statement!$C$6,J13=Statement!$K$7),COUNTIFS(A$6:A13,Statement!$C$6,J$6:J13,Statement!$K$7),"")</f>
        <v/>
      </c>
    </row>
    <row r="14" customFormat="false" ht="15" hidden="false" customHeight="false" outlineLevel="0" collapsed="false">
      <c r="A14" s="10" t="s">
        <v>83</v>
      </c>
      <c r="B14" s="28" t="n">
        <v>46087</v>
      </c>
      <c r="C14" s="10" t="s">
        <v>129</v>
      </c>
      <c r="D14" s="10" t="s">
        <v>130</v>
      </c>
      <c r="E14" s="26" t="n">
        <v>140000</v>
      </c>
      <c r="F14" s="10"/>
      <c r="G14" s="25"/>
      <c r="H14" s="29" t="n">
        <f aca="false">IF(OR(A14="",E14=""),"",IF(G14="",IFERROR(INDEX(Settings!$F$13:$F$27,MATCH(A14,Settings!$C$13:$C$27,0)),0),G14))</f>
        <v>0.1</v>
      </c>
      <c r="I14" s="30" t="n">
        <f aca="false">IF(H14="","",ROUND(E14*H14,2))</f>
        <v>14000</v>
      </c>
      <c r="J14" s="31" t="n">
        <f aca="false">IF(OR(A14="",B14=""),"",IF(YEAR(B14)=Settings!$C$7,MONTH(B14),""))</f>
        <v>3</v>
      </c>
      <c r="K14" s="31" t="str">
        <f aca="false">IF(AND(A14&lt;&gt;"",A14=Statement!$C$6,J14=Statement!$K$7),COUNTIFS(A$6:A14,Statement!$C$6,J$6:J14,Statement!$K$7),"")</f>
        <v/>
      </c>
    </row>
    <row r="15" customFormat="false" ht="15" hidden="false" customHeight="false" outlineLevel="0" collapsed="false">
      <c r="A15" s="10" t="s">
        <v>72</v>
      </c>
      <c r="B15" s="28" t="n">
        <v>46099</v>
      </c>
      <c r="C15" s="10" t="s">
        <v>131</v>
      </c>
      <c r="D15" s="10" t="s">
        <v>132</v>
      </c>
      <c r="E15" s="26" t="n">
        <v>90000</v>
      </c>
      <c r="F15" s="10" t="s">
        <v>133</v>
      </c>
      <c r="G15" s="25" t="n">
        <v>0.1</v>
      </c>
      <c r="H15" s="29" t="n">
        <f aca="false">IF(OR(A15="",E15=""),"",IF(G15="",IFERROR(INDEX(Settings!$F$13:$F$27,MATCH(A15,Settings!$C$13:$C$27,0)),0),G15))</f>
        <v>0.1</v>
      </c>
      <c r="I15" s="30" t="n">
        <f aca="false">IF(H15="","",ROUND(E15*H15,2))</f>
        <v>9000</v>
      </c>
      <c r="J15" s="31" t="n">
        <f aca="false">IF(OR(A15="",B15=""),"",IF(YEAR(B15)=Settings!$C$7,MONTH(B15),""))</f>
        <v>3</v>
      </c>
      <c r="K15" s="31" t="n">
        <f aca="false">IF(AND(A15&lt;&gt;"",A15=Statement!$C$6,J15=Statement!$K$7),COUNTIFS(A$6:A15,Statement!$C$6,J$6:J15,Statement!$K$7),"")</f>
        <v>2</v>
      </c>
    </row>
    <row r="16" customFormat="false" ht="15" hidden="false" customHeight="false" outlineLevel="0" collapsed="false">
      <c r="A16" s="10" t="s">
        <v>80</v>
      </c>
      <c r="B16" s="28" t="n">
        <v>46104</v>
      </c>
      <c r="C16" s="10" t="s">
        <v>134</v>
      </c>
      <c r="D16" s="10" t="s">
        <v>135</v>
      </c>
      <c r="E16" s="26" t="n">
        <v>150000</v>
      </c>
      <c r="F16" s="10"/>
      <c r="G16" s="25"/>
      <c r="H16" s="29" t="n">
        <f aca="false">IF(OR(A16="",E16=""),"",IF(G16="",IFERROR(INDEX(Settings!$F$13:$F$27,MATCH(A16,Settings!$C$13:$C$27,0)),0),G16))</f>
        <v>0.06</v>
      </c>
      <c r="I16" s="30" t="n">
        <f aca="false">IF(H16="","",ROUND(E16*H16,2))</f>
        <v>9000</v>
      </c>
      <c r="J16" s="31" t="n">
        <f aca="false">IF(OR(A16="",B16=""),"",IF(YEAR(B16)=Settings!$C$7,MONTH(B16),""))</f>
        <v>3</v>
      </c>
      <c r="K16" s="31" t="str">
        <f aca="false">IF(AND(A16&lt;&gt;"",A16=Statement!$C$6,J16=Statement!$K$7),COUNTIFS(A$6:A16,Statement!$C$6,J$6:J16,Statement!$K$7),"")</f>
        <v/>
      </c>
    </row>
    <row r="17" customFormat="false" ht="15" hidden="false" customHeight="false" outlineLevel="0" collapsed="false">
      <c r="A17" s="10" t="s">
        <v>83</v>
      </c>
      <c r="B17" s="28" t="n">
        <v>46106</v>
      </c>
      <c r="C17" s="10" t="s">
        <v>136</v>
      </c>
      <c r="D17" s="10" t="s">
        <v>137</v>
      </c>
      <c r="E17" s="26" t="n">
        <v>60000</v>
      </c>
      <c r="F17" s="10"/>
      <c r="G17" s="25"/>
      <c r="H17" s="29" t="n">
        <f aca="false">IF(OR(A17="",E17=""),"",IF(G17="",IFERROR(INDEX(Settings!$F$13:$F$27,MATCH(A17,Settings!$C$13:$C$27,0)),0),G17))</f>
        <v>0.1</v>
      </c>
      <c r="I17" s="30" t="n">
        <f aca="false">IF(H17="","",ROUND(E17*H17,2))</f>
        <v>6000</v>
      </c>
      <c r="J17" s="31" t="n">
        <f aca="false">IF(OR(A17="",B17=""),"",IF(YEAR(B17)=Settings!$C$7,MONTH(B17),""))</f>
        <v>3</v>
      </c>
      <c r="K17" s="31" t="str">
        <f aca="false">IF(AND(A17&lt;&gt;"",A17=Statement!$C$6,J17=Statement!$K$7),COUNTIFS(A$6:A17,Statement!$C$6,J$6:J17,Statement!$K$7),"")</f>
        <v/>
      </c>
    </row>
    <row r="18" customFormat="false" ht="15" hidden="false" customHeight="false" outlineLevel="0" collapsed="false">
      <c r="A18" s="10" t="s">
        <v>72</v>
      </c>
      <c r="B18" s="28" t="n">
        <v>46108</v>
      </c>
      <c r="C18" s="10" t="s">
        <v>138</v>
      </c>
      <c r="D18" s="10" t="s">
        <v>139</v>
      </c>
      <c r="E18" s="26" t="n">
        <v>60000</v>
      </c>
      <c r="F18" s="10" t="s">
        <v>133</v>
      </c>
      <c r="G18" s="25" t="n">
        <v>0.1</v>
      </c>
      <c r="H18" s="29" t="n">
        <f aca="false">IF(OR(A18="",E18=""),"",IF(G18="",IFERROR(INDEX(Settings!$F$13:$F$27,MATCH(A18,Settings!$C$13:$C$27,0)),0),G18))</f>
        <v>0.1</v>
      </c>
      <c r="I18" s="30" t="n">
        <f aca="false">IF(H18="","",ROUND(E18*H18,2))</f>
        <v>6000</v>
      </c>
      <c r="J18" s="31" t="n">
        <f aca="false">IF(OR(A18="",B18=""),"",IF(YEAR(B18)=Settings!$C$7,MONTH(B18),""))</f>
        <v>3</v>
      </c>
      <c r="K18" s="31" t="n">
        <f aca="false">IF(AND(A18&lt;&gt;"",A18=Statement!$C$6,J18=Statement!$K$7),COUNTIFS(A$6:A18,Statement!$C$6,J$6:J18,Statement!$K$7),"")</f>
        <v>3</v>
      </c>
    </row>
    <row r="19" customFormat="false" ht="15" hidden="false" customHeight="false" outlineLevel="0" collapsed="false">
      <c r="A19" s="10"/>
      <c r="B19" s="28"/>
      <c r="C19" s="10"/>
      <c r="D19" s="10"/>
      <c r="E19" s="26"/>
      <c r="F19" s="10"/>
      <c r="G19" s="25"/>
      <c r="H19" s="29" t="str">
        <f aca="false">IF(OR(A19="",E19=""),"",IF(G19="",IFERROR(INDEX(Settings!$F$13:$F$27,MATCH(A19,Settings!$C$13:$C$27,0)),0),G19))</f>
        <v/>
      </c>
      <c r="I19" s="30" t="str">
        <f aca="false">IF(H19="","",ROUND(E19*H19,2))</f>
        <v/>
      </c>
      <c r="J19" s="31" t="str">
        <f aca="false">IF(OR(A19="",B19=""),"",IF(YEAR(B19)=Settings!$C$7,MONTH(B19),""))</f>
        <v/>
      </c>
      <c r="K19" s="31" t="str">
        <f aca="false">IF(AND(A19&lt;&gt;"",A19=Statement!$C$6,J19=Statement!$K$7),COUNTIFS(A$6:A19,Statement!$C$6,J$6:J19,Statement!$K$7),"")</f>
        <v/>
      </c>
    </row>
    <row r="20" customFormat="false" ht="15" hidden="false" customHeight="false" outlineLevel="0" collapsed="false">
      <c r="A20" s="10"/>
      <c r="B20" s="28"/>
      <c r="C20" s="10"/>
      <c r="D20" s="10"/>
      <c r="E20" s="26"/>
      <c r="F20" s="10"/>
      <c r="G20" s="25"/>
      <c r="H20" s="29" t="str">
        <f aca="false">IF(OR(A20="",E20=""),"",IF(G20="",IFERROR(INDEX(Settings!$F$13:$F$27,MATCH(A20,Settings!$C$13:$C$27,0)),0),G20))</f>
        <v/>
      </c>
      <c r="I20" s="30" t="str">
        <f aca="false">IF(H20="","",ROUND(E20*H20,2))</f>
        <v/>
      </c>
      <c r="J20" s="31" t="str">
        <f aca="false">IF(OR(A20="",B20=""),"",IF(YEAR(B20)=Settings!$C$7,MONTH(B20),""))</f>
        <v/>
      </c>
      <c r="K20" s="31" t="str">
        <f aca="false">IF(AND(A20&lt;&gt;"",A20=Statement!$C$6,J20=Statement!$K$7),COUNTIFS(A$6:A20,Statement!$C$6,J$6:J20,Statement!$K$7),"")</f>
        <v/>
      </c>
    </row>
    <row r="21" customFormat="false" ht="15" hidden="false" customHeight="false" outlineLevel="0" collapsed="false">
      <c r="A21" s="10"/>
      <c r="B21" s="28"/>
      <c r="C21" s="10"/>
      <c r="D21" s="10"/>
      <c r="E21" s="26"/>
      <c r="F21" s="10"/>
      <c r="G21" s="25"/>
      <c r="H21" s="29" t="str">
        <f aca="false">IF(OR(A21="",E21=""),"",IF(G21="",IFERROR(INDEX(Settings!$F$13:$F$27,MATCH(A21,Settings!$C$13:$C$27,0)),0),G21))</f>
        <v/>
      </c>
      <c r="I21" s="30" t="str">
        <f aca="false">IF(H21="","",ROUND(E21*H21,2))</f>
        <v/>
      </c>
      <c r="J21" s="31" t="str">
        <f aca="false">IF(OR(A21="",B21=""),"",IF(YEAR(B21)=Settings!$C$7,MONTH(B21),""))</f>
        <v/>
      </c>
      <c r="K21" s="31" t="str">
        <f aca="false">IF(AND(A21&lt;&gt;"",A21=Statement!$C$6,J21=Statement!$K$7),COUNTIFS(A$6:A21,Statement!$C$6,J$6:J21,Statement!$K$7),"")</f>
        <v/>
      </c>
    </row>
    <row r="22" customFormat="false" ht="15" hidden="false" customHeight="false" outlineLevel="0" collapsed="false">
      <c r="A22" s="10"/>
      <c r="B22" s="28"/>
      <c r="C22" s="10"/>
      <c r="D22" s="10"/>
      <c r="E22" s="26"/>
      <c r="F22" s="10"/>
      <c r="G22" s="25"/>
      <c r="H22" s="29" t="str">
        <f aca="false">IF(OR(A22="",E22=""),"",IF(G22="",IFERROR(INDEX(Settings!$F$13:$F$27,MATCH(A22,Settings!$C$13:$C$27,0)),0),G22))</f>
        <v/>
      </c>
      <c r="I22" s="30" t="str">
        <f aca="false">IF(H22="","",ROUND(E22*H22,2))</f>
        <v/>
      </c>
      <c r="J22" s="31" t="str">
        <f aca="false">IF(OR(A22="",B22=""),"",IF(YEAR(B22)=Settings!$C$7,MONTH(B22),""))</f>
        <v/>
      </c>
      <c r="K22" s="31" t="str">
        <f aca="false">IF(AND(A22&lt;&gt;"",A22=Statement!$C$6,J22=Statement!$K$7),COUNTIFS(A$6:A22,Statement!$C$6,J$6:J22,Statement!$K$7),"")</f>
        <v/>
      </c>
    </row>
    <row r="23" customFormat="false" ht="15" hidden="false" customHeight="false" outlineLevel="0" collapsed="false">
      <c r="A23" s="10"/>
      <c r="B23" s="28"/>
      <c r="C23" s="10"/>
      <c r="D23" s="10"/>
      <c r="E23" s="26"/>
      <c r="F23" s="10"/>
      <c r="G23" s="25"/>
      <c r="H23" s="29" t="str">
        <f aca="false">IF(OR(A23="",E23=""),"",IF(G23="",IFERROR(INDEX(Settings!$F$13:$F$27,MATCH(A23,Settings!$C$13:$C$27,0)),0),G23))</f>
        <v/>
      </c>
      <c r="I23" s="30" t="str">
        <f aca="false">IF(H23="","",ROUND(E23*H23,2))</f>
        <v/>
      </c>
      <c r="J23" s="31" t="str">
        <f aca="false">IF(OR(A23="",B23=""),"",IF(YEAR(B23)=Settings!$C$7,MONTH(B23),""))</f>
        <v/>
      </c>
      <c r="K23" s="31" t="str">
        <f aca="false">IF(AND(A23&lt;&gt;"",A23=Statement!$C$6,J23=Statement!$K$7),COUNTIFS(A$6:A23,Statement!$C$6,J$6:J23,Statement!$K$7),"")</f>
        <v/>
      </c>
    </row>
    <row r="24" customFormat="false" ht="15" hidden="false" customHeight="false" outlineLevel="0" collapsed="false">
      <c r="A24" s="10"/>
      <c r="B24" s="28"/>
      <c r="C24" s="10"/>
      <c r="D24" s="10"/>
      <c r="E24" s="26"/>
      <c r="F24" s="10"/>
      <c r="G24" s="25"/>
      <c r="H24" s="29" t="str">
        <f aca="false">IF(OR(A24="",E24=""),"",IF(G24="",IFERROR(INDEX(Settings!$F$13:$F$27,MATCH(A24,Settings!$C$13:$C$27,0)),0),G24))</f>
        <v/>
      </c>
      <c r="I24" s="30" t="str">
        <f aca="false">IF(H24="","",ROUND(E24*H24,2))</f>
        <v/>
      </c>
      <c r="J24" s="31" t="str">
        <f aca="false">IF(OR(A24="",B24=""),"",IF(YEAR(B24)=Settings!$C$7,MONTH(B24),""))</f>
        <v/>
      </c>
      <c r="K24" s="31" t="str">
        <f aca="false">IF(AND(A24&lt;&gt;"",A24=Statement!$C$6,J24=Statement!$K$7),COUNTIFS(A$6:A24,Statement!$C$6,J$6:J24,Statement!$K$7),"")</f>
        <v/>
      </c>
    </row>
    <row r="25" customFormat="false" ht="15" hidden="false" customHeight="false" outlineLevel="0" collapsed="false">
      <c r="A25" s="10"/>
      <c r="B25" s="28"/>
      <c r="C25" s="10"/>
      <c r="D25" s="10"/>
      <c r="E25" s="26"/>
      <c r="F25" s="10"/>
      <c r="G25" s="25"/>
      <c r="H25" s="29" t="str">
        <f aca="false">IF(OR(A25="",E25=""),"",IF(G25="",IFERROR(INDEX(Settings!$F$13:$F$27,MATCH(A25,Settings!$C$13:$C$27,0)),0),G25))</f>
        <v/>
      </c>
      <c r="I25" s="30" t="str">
        <f aca="false">IF(H25="","",ROUND(E25*H25,2))</f>
        <v/>
      </c>
      <c r="J25" s="31" t="str">
        <f aca="false">IF(OR(A25="",B25=""),"",IF(YEAR(B25)=Settings!$C$7,MONTH(B25),""))</f>
        <v/>
      </c>
      <c r="K25" s="31" t="str">
        <f aca="false">IF(AND(A25&lt;&gt;"",A25=Statement!$C$6,J25=Statement!$K$7),COUNTIFS(A$6:A25,Statement!$C$6,J$6:J25,Statement!$K$7),"")</f>
        <v/>
      </c>
    </row>
    <row r="26" customFormat="false" ht="15" hidden="false" customHeight="false" outlineLevel="0" collapsed="false">
      <c r="A26" s="10"/>
      <c r="B26" s="28"/>
      <c r="C26" s="10"/>
      <c r="D26" s="10"/>
      <c r="E26" s="26"/>
      <c r="F26" s="10"/>
      <c r="G26" s="25"/>
      <c r="H26" s="29" t="str">
        <f aca="false">IF(OR(A26="",E26=""),"",IF(G26="",IFERROR(INDEX(Settings!$F$13:$F$27,MATCH(A26,Settings!$C$13:$C$27,0)),0),G26))</f>
        <v/>
      </c>
      <c r="I26" s="30" t="str">
        <f aca="false">IF(H26="","",ROUND(E26*H26,2))</f>
        <v/>
      </c>
      <c r="J26" s="31" t="str">
        <f aca="false">IF(OR(A26="",B26=""),"",IF(YEAR(B26)=Settings!$C$7,MONTH(B26),""))</f>
        <v/>
      </c>
      <c r="K26" s="31" t="str">
        <f aca="false">IF(AND(A26&lt;&gt;"",A26=Statement!$C$6,J26=Statement!$K$7),COUNTIFS(A$6:A26,Statement!$C$6,J$6:J26,Statement!$K$7),"")</f>
        <v/>
      </c>
    </row>
    <row r="27" customFormat="false" ht="15" hidden="false" customHeight="false" outlineLevel="0" collapsed="false">
      <c r="A27" s="10"/>
      <c r="B27" s="28"/>
      <c r="C27" s="10"/>
      <c r="D27" s="10"/>
      <c r="E27" s="26"/>
      <c r="F27" s="10"/>
      <c r="G27" s="25"/>
      <c r="H27" s="29" t="str">
        <f aca="false">IF(OR(A27="",E27=""),"",IF(G27="",IFERROR(INDEX(Settings!$F$13:$F$27,MATCH(A27,Settings!$C$13:$C$27,0)),0),G27))</f>
        <v/>
      </c>
      <c r="I27" s="30" t="str">
        <f aca="false">IF(H27="","",ROUND(E27*H27,2))</f>
        <v/>
      </c>
      <c r="J27" s="31" t="str">
        <f aca="false">IF(OR(A27="",B27=""),"",IF(YEAR(B27)=Settings!$C$7,MONTH(B27),""))</f>
        <v/>
      </c>
      <c r="K27" s="31" t="str">
        <f aca="false">IF(AND(A27&lt;&gt;"",A27=Statement!$C$6,J27=Statement!$K$7),COUNTIFS(A$6:A27,Statement!$C$6,J$6:J27,Statement!$K$7),"")</f>
        <v/>
      </c>
    </row>
    <row r="28" customFormat="false" ht="15" hidden="false" customHeight="false" outlineLevel="0" collapsed="false">
      <c r="A28" s="10"/>
      <c r="B28" s="28"/>
      <c r="C28" s="10"/>
      <c r="D28" s="10"/>
      <c r="E28" s="26"/>
      <c r="F28" s="10"/>
      <c r="G28" s="25"/>
      <c r="H28" s="29" t="str">
        <f aca="false">IF(OR(A28="",E28=""),"",IF(G28="",IFERROR(INDEX(Settings!$F$13:$F$27,MATCH(A28,Settings!$C$13:$C$27,0)),0),G28))</f>
        <v/>
      </c>
      <c r="I28" s="30" t="str">
        <f aca="false">IF(H28="","",ROUND(E28*H28,2))</f>
        <v/>
      </c>
      <c r="J28" s="31" t="str">
        <f aca="false">IF(OR(A28="",B28=""),"",IF(YEAR(B28)=Settings!$C$7,MONTH(B28),""))</f>
        <v/>
      </c>
      <c r="K28" s="31" t="str">
        <f aca="false">IF(AND(A28&lt;&gt;"",A28=Statement!$C$6,J28=Statement!$K$7),COUNTIFS(A$6:A28,Statement!$C$6,J$6:J28,Statement!$K$7),"")</f>
        <v/>
      </c>
    </row>
    <row r="29" customFormat="false" ht="15" hidden="false" customHeight="false" outlineLevel="0" collapsed="false">
      <c r="A29" s="10"/>
      <c r="B29" s="28"/>
      <c r="C29" s="10"/>
      <c r="D29" s="10"/>
      <c r="E29" s="26"/>
      <c r="F29" s="10"/>
      <c r="G29" s="25"/>
      <c r="H29" s="29" t="str">
        <f aca="false">IF(OR(A29="",E29=""),"",IF(G29="",IFERROR(INDEX(Settings!$F$13:$F$27,MATCH(A29,Settings!$C$13:$C$27,0)),0),G29))</f>
        <v/>
      </c>
      <c r="I29" s="30" t="str">
        <f aca="false">IF(H29="","",ROUND(E29*H29,2))</f>
        <v/>
      </c>
      <c r="J29" s="31" t="str">
        <f aca="false">IF(OR(A29="",B29=""),"",IF(YEAR(B29)=Settings!$C$7,MONTH(B29),""))</f>
        <v/>
      </c>
      <c r="K29" s="31" t="str">
        <f aca="false">IF(AND(A29&lt;&gt;"",A29=Statement!$C$6,J29=Statement!$K$7),COUNTIFS(A$6:A29,Statement!$C$6,J$6:J29,Statement!$K$7),"")</f>
        <v/>
      </c>
    </row>
    <row r="30" customFormat="false" ht="15" hidden="false" customHeight="false" outlineLevel="0" collapsed="false">
      <c r="A30" s="10"/>
      <c r="B30" s="28"/>
      <c r="C30" s="10"/>
      <c r="D30" s="10"/>
      <c r="E30" s="26"/>
      <c r="F30" s="10"/>
      <c r="G30" s="25"/>
      <c r="H30" s="29" t="str">
        <f aca="false">IF(OR(A30="",E30=""),"",IF(G30="",IFERROR(INDEX(Settings!$F$13:$F$27,MATCH(A30,Settings!$C$13:$C$27,0)),0),G30))</f>
        <v/>
      </c>
      <c r="I30" s="30" t="str">
        <f aca="false">IF(H30="","",ROUND(E30*H30,2))</f>
        <v/>
      </c>
      <c r="J30" s="31" t="str">
        <f aca="false">IF(OR(A30="",B30=""),"",IF(YEAR(B30)=Settings!$C$7,MONTH(B30),""))</f>
        <v/>
      </c>
      <c r="K30" s="31" t="str">
        <f aca="false">IF(AND(A30&lt;&gt;"",A30=Statement!$C$6,J30=Statement!$K$7),COUNTIFS(A$6:A30,Statement!$C$6,J$6:J30,Statement!$K$7),"")</f>
        <v/>
      </c>
    </row>
    <row r="31" customFormat="false" ht="15" hidden="false" customHeight="false" outlineLevel="0" collapsed="false">
      <c r="A31" s="10"/>
      <c r="B31" s="28"/>
      <c r="C31" s="10"/>
      <c r="D31" s="10"/>
      <c r="E31" s="26"/>
      <c r="F31" s="10"/>
      <c r="G31" s="25"/>
      <c r="H31" s="29" t="str">
        <f aca="false">IF(OR(A31="",E31=""),"",IF(G31="",IFERROR(INDEX(Settings!$F$13:$F$27,MATCH(A31,Settings!$C$13:$C$27,0)),0),G31))</f>
        <v/>
      </c>
      <c r="I31" s="30" t="str">
        <f aca="false">IF(H31="","",ROUND(E31*H31,2))</f>
        <v/>
      </c>
      <c r="J31" s="31" t="str">
        <f aca="false">IF(OR(A31="",B31=""),"",IF(YEAR(B31)=Settings!$C$7,MONTH(B31),""))</f>
        <v/>
      </c>
      <c r="K31" s="31" t="str">
        <f aca="false">IF(AND(A31&lt;&gt;"",A31=Statement!$C$6,J31=Statement!$K$7),COUNTIFS(A$6:A31,Statement!$C$6,J$6:J31,Statement!$K$7),"")</f>
        <v/>
      </c>
    </row>
    <row r="32" customFormat="false" ht="15" hidden="false" customHeight="false" outlineLevel="0" collapsed="false">
      <c r="A32" s="10"/>
      <c r="B32" s="28"/>
      <c r="C32" s="10"/>
      <c r="D32" s="10"/>
      <c r="E32" s="26"/>
      <c r="F32" s="10"/>
      <c r="G32" s="25"/>
      <c r="H32" s="29" t="str">
        <f aca="false">IF(OR(A32="",E32=""),"",IF(G32="",IFERROR(INDEX(Settings!$F$13:$F$27,MATCH(A32,Settings!$C$13:$C$27,0)),0),G32))</f>
        <v/>
      </c>
      <c r="I32" s="30" t="str">
        <f aca="false">IF(H32="","",ROUND(E32*H32,2))</f>
        <v/>
      </c>
      <c r="J32" s="31" t="str">
        <f aca="false">IF(OR(A32="",B32=""),"",IF(YEAR(B32)=Settings!$C$7,MONTH(B32),""))</f>
        <v/>
      </c>
      <c r="K32" s="31" t="str">
        <f aca="false">IF(AND(A32&lt;&gt;"",A32=Statement!$C$6,J32=Statement!$K$7),COUNTIFS(A$6:A32,Statement!$C$6,J$6:J32,Statement!$K$7),"")</f>
        <v/>
      </c>
    </row>
    <row r="33" customFormat="false" ht="15" hidden="false" customHeight="false" outlineLevel="0" collapsed="false">
      <c r="A33" s="10"/>
      <c r="B33" s="28"/>
      <c r="C33" s="10"/>
      <c r="D33" s="10"/>
      <c r="E33" s="26"/>
      <c r="F33" s="10"/>
      <c r="G33" s="25"/>
      <c r="H33" s="29" t="str">
        <f aca="false">IF(OR(A33="",E33=""),"",IF(G33="",IFERROR(INDEX(Settings!$F$13:$F$27,MATCH(A33,Settings!$C$13:$C$27,0)),0),G33))</f>
        <v/>
      </c>
      <c r="I33" s="30" t="str">
        <f aca="false">IF(H33="","",ROUND(E33*H33,2))</f>
        <v/>
      </c>
      <c r="J33" s="31" t="str">
        <f aca="false">IF(OR(A33="",B33=""),"",IF(YEAR(B33)=Settings!$C$7,MONTH(B33),""))</f>
        <v/>
      </c>
      <c r="K33" s="31" t="str">
        <f aca="false">IF(AND(A33&lt;&gt;"",A33=Statement!$C$6,J33=Statement!$K$7),COUNTIFS(A$6:A33,Statement!$C$6,J$6:J33,Statement!$K$7),"")</f>
        <v/>
      </c>
    </row>
    <row r="34" customFormat="false" ht="15" hidden="false" customHeight="false" outlineLevel="0" collapsed="false">
      <c r="A34" s="10"/>
      <c r="B34" s="28"/>
      <c r="C34" s="10"/>
      <c r="D34" s="10"/>
      <c r="E34" s="26"/>
      <c r="F34" s="10"/>
      <c r="G34" s="25"/>
      <c r="H34" s="29" t="str">
        <f aca="false">IF(OR(A34="",E34=""),"",IF(G34="",IFERROR(INDEX(Settings!$F$13:$F$27,MATCH(A34,Settings!$C$13:$C$27,0)),0),G34))</f>
        <v/>
      </c>
      <c r="I34" s="30" t="str">
        <f aca="false">IF(H34="","",ROUND(E34*H34,2))</f>
        <v/>
      </c>
      <c r="J34" s="31" t="str">
        <f aca="false">IF(OR(A34="",B34=""),"",IF(YEAR(B34)=Settings!$C$7,MONTH(B34),""))</f>
        <v/>
      </c>
      <c r="K34" s="31" t="str">
        <f aca="false">IF(AND(A34&lt;&gt;"",A34=Statement!$C$6,J34=Statement!$K$7),COUNTIFS(A$6:A34,Statement!$C$6,J$6:J34,Statement!$K$7),"")</f>
        <v/>
      </c>
    </row>
    <row r="35" customFormat="false" ht="15" hidden="false" customHeight="false" outlineLevel="0" collapsed="false">
      <c r="A35" s="10"/>
      <c r="B35" s="28"/>
      <c r="C35" s="10"/>
      <c r="D35" s="10"/>
      <c r="E35" s="26"/>
      <c r="F35" s="10"/>
      <c r="G35" s="25"/>
      <c r="H35" s="29" t="str">
        <f aca="false">IF(OR(A35="",E35=""),"",IF(G35="",IFERROR(INDEX(Settings!$F$13:$F$27,MATCH(A35,Settings!$C$13:$C$27,0)),0),G35))</f>
        <v/>
      </c>
      <c r="I35" s="30" t="str">
        <f aca="false">IF(H35="","",ROUND(E35*H35,2))</f>
        <v/>
      </c>
      <c r="J35" s="31" t="str">
        <f aca="false">IF(OR(A35="",B35=""),"",IF(YEAR(B35)=Settings!$C$7,MONTH(B35),""))</f>
        <v/>
      </c>
      <c r="K35" s="31" t="str">
        <f aca="false">IF(AND(A35&lt;&gt;"",A35=Statement!$C$6,J35=Statement!$K$7),COUNTIFS(A$6:A35,Statement!$C$6,J$6:J35,Statement!$K$7),"")</f>
        <v/>
      </c>
    </row>
    <row r="36" customFormat="false" ht="15" hidden="false" customHeight="false" outlineLevel="0" collapsed="false">
      <c r="A36" s="10"/>
      <c r="B36" s="28"/>
      <c r="C36" s="10"/>
      <c r="D36" s="10"/>
      <c r="E36" s="26"/>
      <c r="F36" s="10"/>
      <c r="G36" s="25"/>
      <c r="H36" s="29" t="str">
        <f aca="false">IF(OR(A36="",E36=""),"",IF(G36="",IFERROR(INDEX(Settings!$F$13:$F$27,MATCH(A36,Settings!$C$13:$C$27,0)),0),G36))</f>
        <v/>
      </c>
      <c r="I36" s="30" t="str">
        <f aca="false">IF(H36="","",ROUND(E36*H36,2))</f>
        <v/>
      </c>
      <c r="J36" s="31" t="str">
        <f aca="false">IF(OR(A36="",B36=""),"",IF(YEAR(B36)=Settings!$C$7,MONTH(B36),""))</f>
        <v/>
      </c>
      <c r="K36" s="31" t="str">
        <f aca="false">IF(AND(A36&lt;&gt;"",A36=Statement!$C$6,J36=Statement!$K$7),COUNTIFS(A$6:A36,Statement!$C$6,J$6:J36,Statement!$K$7),"")</f>
        <v/>
      </c>
    </row>
    <row r="37" customFormat="false" ht="15" hidden="false" customHeight="false" outlineLevel="0" collapsed="false">
      <c r="A37" s="10"/>
      <c r="B37" s="28"/>
      <c r="C37" s="10"/>
      <c r="D37" s="10"/>
      <c r="E37" s="26"/>
      <c r="F37" s="10"/>
      <c r="G37" s="25"/>
      <c r="H37" s="29" t="str">
        <f aca="false">IF(OR(A37="",E37=""),"",IF(G37="",IFERROR(INDEX(Settings!$F$13:$F$27,MATCH(A37,Settings!$C$13:$C$27,0)),0),G37))</f>
        <v/>
      </c>
      <c r="I37" s="30" t="str">
        <f aca="false">IF(H37="","",ROUND(E37*H37,2))</f>
        <v/>
      </c>
      <c r="J37" s="31" t="str">
        <f aca="false">IF(OR(A37="",B37=""),"",IF(YEAR(B37)=Settings!$C$7,MONTH(B37),""))</f>
        <v/>
      </c>
      <c r="K37" s="31" t="str">
        <f aca="false">IF(AND(A37&lt;&gt;"",A37=Statement!$C$6,J37=Statement!$K$7),COUNTIFS(A$6:A37,Statement!$C$6,J$6:J37,Statement!$K$7),"")</f>
        <v/>
      </c>
    </row>
    <row r="38" customFormat="false" ht="15" hidden="false" customHeight="false" outlineLevel="0" collapsed="false">
      <c r="A38" s="10"/>
      <c r="B38" s="28"/>
      <c r="C38" s="10"/>
      <c r="D38" s="10"/>
      <c r="E38" s="26"/>
      <c r="F38" s="10"/>
      <c r="G38" s="25"/>
      <c r="H38" s="29" t="str">
        <f aca="false">IF(OR(A38="",E38=""),"",IF(G38="",IFERROR(INDEX(Settings!$F$13:$F$27,MATCH(A38,Settings!$C$13:$C$27,0)),0),G38))</f>
        <v/>
      </c>
      <c r="I38" s="30" t="str">
        <f aca="false">IF(H38="","",ROUND(E38*H38,2))</f>
        <v/>
      </c>
      <c r="J38" s="31" t="str">
        <f aca="false">IF(OR(A38="",B38=""),"",IF(YEAR(B38)=Settings!$C$7,MONTH(B38),""))</f>
        <v/>
      </c>
      <c r="K38" s="31" t="str">
        <f aca="false">IF(AND(A38&lt;&gt;"",A38=Statement!$C$6,J38=Statement!$K$7),COUNTIFS(A$6:A38,Statement!$C$6,J$6:J38,Statement!$K$7),"")</f>
        <v/>
      </c>
    </row>
    <row r="39" customFormat="false" ht="15" hidden="false" customHeight="false" outlineLevel="0" collapsed="false">
      <c r="A39" s="10"/>
      <c r="B39" s="28"/>
      <c r="C39" s="10"/>
      <c r="D39" s="10"/>
      <c r="E39" s="26"/>
      <c r="F39" s="10"/>
      <c r="G39" s="25"/>
      <c r="H39" s="29" t="str">
        <f aca="false">IF(OR(A39="",E39=""),"",IF(G39="",IFERROR(INDEX(Settings!$F$13:$F$27,MATCH(A39,Settings!$C$13:$C$27,0)),0),G39))</f>
        <v/>
      </c>
      <c r="I39" s="30" t="str">
        <f aca="false">IF(H39="","",ROUND(E39*H39,2))</f>
        <v/>
      </c>
      <c r="J39" s="31" t="str">
        <f aca="false">IF(OR(A39="",B39=""),"",IF(YEAR(B39)=Settings!$C$7,MONTH(B39),""))</f>
        <v/>
      </c>
      <c r="K39" s="31" t="str">
        <f aca="false">IF(AND(A39&lt;&gt;"",A39=Statement!$C$6,J39=Statement!$K$7),COUNTIFS(A$6:A39,Statement!$C$6,J$6:J39,Statement!$K$7),"")</f>
        <v/>
      </c>
    </row>
    <row r="40" customFormat="false" ht="15" hidden="false" customHeight="false" outlineLevel="0" collapsed="false">
      <c r="A40" s="10"/>
      <c r="B40" s="28"/>
      <c r="C40" s="10"/>
      <c r="D40" s="10"/>
      <c r="E40" s="26"/>
      <c r="F40" s="10"/>
      <c r="G40" s="25"/>
      <c r="H40" s="29" t="str">
        <f aca="false">IF(OR(A40="",E40=""),"",IF(G40="",IFERROR(INDEX(Settings!$F$13:$F$27,MATCH(A40,Settings!$C$13:$C$27,0)),0),G40))</f>
        <v/>
      </c>
      <c r="I40" s="30" t="str">
        <f aca="false">IF(H40="","",ROUND(E40*H40,2))</f>
        <v/>
      </c>
      <c r="J40" s="31" t="str">
        <f aca="false">IF(OR(A40="",B40=""),"",IF(YEAR(B40)=Settings!$C$7,MONTH(B40),""))</f>
        <v/>
      </c>
      <c r="K40" s="31" t="str">
        <f aca="false">IF(AND(A40&lt;&gt;"",A40=Statement!$C$6,J40=Statement!$K$7),COUNTIFS(A$6:A40,Statement!$C$6,J$6:J40,Statement!$K$7),"")</f>
        <v/>
      </c>
    </row>
    <row r="41" customFormat="false" ht="15" hidden="false" customHeight="false" outlineLevel="0" collapsed="false">
      <c r="A41" s="10"/>
      <c r="B41" s="28"/>
      <c r="C41" s="10"/>
      <c r="D41" s="10"/>
      <c r="E41" s="26"/>
      <c r="F41" s="10"/>
      <c r="G41" s="25"/>
      <c r="H41" s="29" t="str">
        <f aca="false">IF(OR(A41="",E41=""),"",IF(G41="",IFERROR(INDEX(Settings!$F$13:$F$27,MATCH(A41,Settings!$C$13:$C$27,0)),0),G41))</f>
        <v/>
      </c>
      <c r="I41" s="30" t="str">
        <f aca="false">IF(H41="","",ROUND(E41*H41,2))</f>
        <v/>
      </c>
      <c r="J41" s="31" t="str">
        <f aca="false">IF(OR(A41="",B41=""),"",IF(YEAR(B41)=Settings!$C$7,MONTH(B41),""))</f>
        <v/>
      </c>
      <c r="K41" s="31" t="str">
        <f aca="false">IF(AND(A41&lt;&gt;"",A41=Statement!$C$6,J41=Statement!$K$7),COUNTIFS(A$6:A41,Statement!$C$6,J$6:J41,Statement!$K$7),"")</f>
        <v/>
      </c>
    </row>
    <row r="42" customFormat="false" ht="15" hidden="false" customHeight="false" outlineLevel="0" collapsed="false">
      <c r="A42" s="10"/>
      <c r="B42" s="28"/>
      <c r="C42" s="10"/>
      <c r="D42" s="10"/>
      <c r="E42" s="26"/>
      <c r="F42" s="10"/>
      <c r="G42" s="25"/>
      <c r="H42" s="29" t="str">
        <f aca="false">IF(OR(A42="",E42=""),"",IF(G42="",IFERROR(INDEX(Settings!$F$13:$F$27,MATCH(A42,Settings!$C$13:$C$27,0)),0),G42))</f>
        <v/>
      </c>
      <c r="I42" s="30" t="str">
        <f aca="false">IF(H42="","",ROUND(E42*H42,2))</f>
        <v/>
      </c>
      <c r="J42" s="31" t="str">
        <f aca="false">IF(OR(A42="",B42=""),"",IF(YEAR(B42)=Settings!$C$7,MONTH(B42),""))</f>
        <v/>
      </c>
      <c r="K42" s="31" t="str">
        <f aca="false">IF(AND(A42&lt;&gt;"",A42=Statement!$C$6,J42=Statement!$K$7),COUNTIFS(A$6:A42,Statement!$C$6,J$6:J42,Statement!$K$7),"")</f>
        <v/>
      </c>
    </row>
    <row r="43" customFormat="false" ht="15" hidden="false" customHeight="false" outlineLevel="0" collapsed="false">
      <c r="A43" s="10"/>
      <c r="B43" s="28"/>
      <c r="C43" s="10"/>
      <c r="D43" s="10"/>
      <c r="E43" s="26"/>
      <c r="F43" s="10"/>
      <c r="G43" s="25"/>
      <c r="H43" s="29" t="str">
        <f aca="false">IF(OR(A43="",E43=""),"",IF(G43="",IFERROR(INDEX(Settings!$F$13:$F$27,MATCH(A43,Settings!$C$13:$C$27,0)),0),G43))</f>
        <v/>
      </c>
      <c r="I43" s="30" t="str">
        <f aca="false">IF(H43="","",ROUND(E43*H43,2))</f>
        <v/>
      </c>
      <c r="J43" s="31" t="str">
        <f aca="false">IF(OR(A43="",B43=""),"",IF(YEAR(B43)=Settings!$C$7,MONTH(B43),""))</f>
        <v/>
      </c>
      <c r="K43" s="31" t="str">
        <f aca="false">IF(AND(A43&lt;&gt;"",A43=Statement!$C$6,J43=Statement!$K$7),COUNTIFS(A$6:A43,Statement!$C$6,J$6:J43,Statement!$K$7),"")</f>
        <v/>
      </c>
    </row>
    <row r="44" customFormat="false" ht="15" hidden="false" customHeight="false" outlineLevel="0" collapsed="false">
      <c r="A44" s="10"/>
      <c r="B44" s="28"/>
      <c r="C44" s="10"/>
      <c r="D44" s="10"/>
      <c r="E44" s="26"/>
      <c r="F44" s="10"/>
      <c r="G44" s="25"/>
      <c r="H44" s="29" t="str">
        <f aca="false">IF(OR(A44="",E44=""),"",IF(G44="",IFERROR(INDEX(Settings!$F$13:$F$27,MATCH(A44,Settings!$C$13:$C$27,0)),0),G44))</f>
        <v/>
      </c>
      <c r="I44" s="30" t="str">
        <f aca="false">IF(H44="","",ROUND(E44*H44,2))</f>
        <v/>
      </c>
      <c r="J44" s="31" t="str">
        <f aca="false">IF(OR(A44="",B44=""),"",IF(YEAR(B44)=Settings!$C$7,MONTH(B44),""))</f>
        <v/>
      </c>
      <c r="K44" s="31" t="str">
        <f aca="false">IF(AND(A44&lt;&gt;"",A44=Statement!$C$6,J44=Statement!$K$7),COUNTIFS(A$6:A44,Statement!$C$6,J$6:J44,Statement!$K$7),"")</f>
        <v/>
      </c>
    </row>
    <row r="45" customFormat="false" ht="15" hidden="false" customHeight="false" outlineLevel="0" collapsed="false">
      <c r="A45" s="10"/>
      <c r="B45" s="28"/>
      <c r="C45" s="10"/>
      <c r="D45" s="10"/>
      <c r="E45" s="26"/>
      <c r="F45" s="10"/>
      <c r="G45" s="25"/>
      <c r="H45" s="29" t="str">
        <f aca="false">IF(OR(A45="",E45=""),"",IF(G45="",IFERROR(INDEX(Settings!$F$13:$F$27,MATCH(A45,Settings!$C$13:$C$27,0)),0),G45))</f>
        <v/>
      </c>
      <c r="I45" s="30" t="str">
        <f aca="false">IF(H45="","",ROUND(E45*H45,2))</f>
        <v/>
      </c>
      <c r="J45" s="31" t="str">
        <f aca="false">IF(OR(A45="",B45=""),"",IF(YEAR(B45)=Settings!$C$7,MONTH(B45),""))</f>
        <v/>
      </c>
      <c r="K45" s="31" t="str">
        <f aca="false">IF(AND(A45&lt;&gt;"",A45=Statement!$C$6,J45=Statement!$K$7),COUNTIFS(A$6:A45,Statement!$C$6,J$6:J45,Statement!$K$7),"")</f>
        <v/>
      </c>
    </row>
    <row r="46" customFormat="false" ht="15" hidden="false" customHeight="false" outlineLevel="0" collapsed="false">
      <c r="A46" s="10"/>
      <c r="B46" s="28"/>
      <c r="C46" s="10"/>
      <c r="D46" s="10"/>
      <c r="E46" s="26"/>
      <c r="F46" s="10"/>
      <c r="G46" s="25"/>
      <c r="H46" s="29" t="str">
        <f aca="false">IF(OR(A46="",E46=""),"",IF(G46="",IFERROR(INDEX(Settings!$F$13:$F$27,MATCH(A46,Settings!$C$13:$C$27,0)),0),G46))</f>
        <v/>
      </c>
      <c r="I46" s="30" t="str">
        <f aca="false">IF(H46="","",ROUND(E46*H46,2))</f>
        <v/>
      </c>
      <c r="J46" s="31" t="str">
        <f aca="false">IF(OR(A46="",B46=""),"",IF(YEAR(B46)=Settings!$C$7,MONTH(B46),""))</f>
        <v/>
      </c>
      <c r="K46" s="31" t="str">
        <f aca="false">IF(AND(A46&lt;&gt;"",A46=Statement!$C$6,J46=Statement!$K$7),COUNTIFS(A$6:A46,Statement!$C$6,J$6:J46,Statement!$K$7),"")</f>
        <v/>
      </c>
    </row>
    <row r="47" customFormat="false" ht="15" hidden="false" customHeight="false" outlineLevel="0" collapsed="false">
      <c r="A47" s="10"/>
      <c r="B47" s="28"/>
      <c r="C47" s="10"/>
      <c r="D47" s="10"/>
      <c r="E47" s="26"/>
      <c r="F47" s="10"/>
      <c r="G47" s="25"/>
      <c r="H47" s="29" t="str">
        <f aca="false">IF(OR(A47="",E47=""),"",IF(G47="",IFERROR(INDEX(Settings!$F$13:$F$27,MATCH(A47,Settings!$C$13:$C$27,0)),0),G47))</f>
        <v/>
      </c>
      <c r="I47" s="30" t="str">
        <f aca="false">IF(H47="","",ROUND(E47*H47,2))</f>
        <v/>
      </c>
      <c r="J47" s="31" t="str">
        <f aca="false">IF(OR(A47="",B47=""),"",IF(YEAR(B47)=Settings!$C$7,MONTH(B47),""))</f>
        <v/>
      </c>
      <c r="K47" s="31" t="str">
        <f aca="false">IF(AND(A47&lt;&gt;"",A47=Statement!$C$6,J47=Statement!$K$7),COUNTIFS(A$6:A47,Statement!$C$6,J$6:J47,Statement!$K$7),"")</f>
        <v/>
      </c>
    </row>
    <row r="48" customFormat="false" ht="15" hidden="false" customHeight="false" outlineLevel="0" collapsed="false">
      <c r="A48" s="10"/>
      <c r="B48" s="28"/>
      <c r="C48" s="10"/>
      <c r="D48" s="10"/>
      <c r="E48" s="26"/>
      <c r="F48" s="10"/>
      <c r="G48" s="25"/>
      <c r="H48" s="29" t="str">
        <f aca="false">IF(OR(A48="",E48=""),"",IF(G48="",IFERROR(INDEX(Settings!$F$13:$F$27,MATCH(A48,Settings!$C$13:$C$27,0)),0),G48))</f>
        <v/>
      </c>
      <c r="I48" s="30" t="str">
        <f aca="false">IF(H48="","",ROUND(E48*H48,2))</f>
        <v/>
      </c>
      <c r="J48" s="31" t="str">
        <f aca="false">IF(OR(A48="",B48=""),"",IF(YEAR(B48)=Settings!$C$7,MONTH(B48),""))</f>
        <v/>
      </c>
      <c r="K48" s="31" t="str">
        <f aca="false">IF(AND(A48&lt;&gt;"",A48=Statement!$C$6,J48=Statement!$K$7),COUNTIFS(A$6:A48,Statement!$C$6,J$6:J48,Statement!$K$7),"")</f>
        <v/>
      </c>
    </row>
    <row r="49" customFormat="false" ht="15" hidden="false" customHeight="false" outlineLevel="0" collapsed="false">
      <c r="A49" s="10"/>
      <c r="B49" s="28"/>
      <c r="C49" s="10"/>
      <c r="D49" s="10"/>
      <c r="E49" s="26"/>
      <c r="F49" s="10"/>
      <c r="G49" s="25"/>
      <c r="H49" s="29" t="str">
        <f aca="false">IF(OR(A49="",E49=""),"",IF(G49="",IFERROR(INDEX(Settings!$F$13:$F$27,MATCH(A49,Settings!$C$13:$C$27,0)),0),G49))</f>
        <v/>
      </c>
      <c r="I49" s="30" t="str">
        <f aca="false">IF(H49="","",ROUND(E49*H49,2))</f>
        <v/>
      </c>
      <c r="J49" s="31" t="str">
        <f aca="false">IF(OR(A49="",B49=""),"",IF(YEAR(B49)=Settings!$C$7,MONTH(B49),""))</f>
        <v/>
      </c>
      <c r="K49" s="31" t="str">
        <f aca="false">IF(AND(A49&lt;&gt;"",A49=Statement!$C$6,J49=Statement!$K$7),COUNTIFS(A$6:A49,Statement!$C$6,J$6:J49,Statement!$K$7),"")</f>
        <v/>
      </c>
    </row>
    <row r="50" customFormat="false" ht="15" hidden="false" customHeight="false" outlineLevel="0" collapsed="false">
      <c r="A50" s="10"/>
      <c r="B50" s="28"/>
      <c r="C50" s="10"/>
      <c r="D50" s="10"/>
      <c r="E50" s="26"/>
      <c r="F50" s="10"/>
      <c r="G50" s="25"/>
      <c r="H50" s="29" t="str">
        <f aca="false">IF(OR(A50="",E50=""),"",IF(G50="",IFERROR(INDEX(Settings!$F$13:$F$27,MATCH(A50,Settings!$C$13:$C$27,0)),0),G50))</f>
        <v/>
      </c>
      <c r="I50" s="30" t="str">
        <f aca="false">IF(H50="","",ROUND(E50*H50,2))</f>
        <v/>
      </c>
      <c r="J50" s="31" t="str">
        <f aca="false">IF(OR(A50="",B50=""),"",IF(YEAR(B50)=Settings!$C$7,MONTH(B50),""))</f>
        <v/>
      </c>
      <c r="K50" s="31" t="str">
        <f aca="false">IF(AND(A50&lt;&gt;"",A50=Statement!$C$6,J50=Statement!$K$7),COUNTIFS(A$6:A50,Statement!$C$6,J$6:J50,Statement!$K$7),"")</f>
        <v/>
      </c>
    </row>
    <row r="51" customFormat="false" ht="15" hidden="false" customHeight="false" outlineLevel="0" collapsed="false">
      <c r="A51" s="10"/>
      <c r="B51" s="28"/>
      <c r="C51" s="10"/>
      <c r="D51" s="10"/>
      <c r="E51" s="26"/>
      <c r="F51" s="10"/>
      <c r="G51" s="25"/>
      <c r="H51" s="29" t="str">
        <f aca="false">IF(OR(A51="",E51=""),"",IF(G51="",IFERROR(INDEX(Settings!$F$13:$F$27,MATCH(A51,Settings!$C$13:$C$27,0)),0),G51))</f>
        <v/>
      </c>
      <c r="I51" s="30" t="str">
        <f aca="false">IF(H51="","",ROUND(E51*H51,2))</f>
        <v/>
      </c>
      <c r="J51" s="31" t="str">
        <f aca="false">IF(OR(A51="",B51=""),"",IF(YEAR(B51)=Settings!$C$7,MONTH(B51),""))</f>
        <v/>
      </c>
      <c r="K51" s="31" t="str">
        <f aca="false">IF(AND(A51&lt;&gt;"",A51=Statement!$C$6,J51=Statement!$K$7),COUNTIFS(A$6:A51,Statement!$C$6,J$6:J51,Statement!$K$7),"")</f>
        <v/>
      </c>
    </row>
    <row r="52" customFormat="false" ht="15" hidden="false" customHeight="false" outlineLevel="0" collapsed="false">
      <c r="A52" s="10"/>
      <c r="B52" s="28"/>
      <c r="C52" s="10"/>
      <c r="D52" s="10"/>
      <c r="E52" s="26"/>
      <c r="F52" s="10"/>
      <c r="G52" s="25"/>
      <c r="H52" s="29" t="str">
        <f aca="false">IF(OR(A52="",E52=""),"",IF(G52="",IFERROR(INDEX(Settings!$F$13:$F$27,MATCH(A52,Settings!$C$13:$C$27,0)),0),G52))</f>
        <v/>
      </c>
      <c r="I52" s="30" t="str">
        <f aca="false">IF(H52="","",ROUND(E52*H52,2))</f>
        <v/>
      </c>
      <c r="J52" s="31" t="str">
        <f aca="false">IF(OR(A52="",B52=""),"",IF(YEAR(B52)=Settings!$C$7,MONTH(B52),""))</f>
        <v/>
      </c>
      <c r="K52" s="31" t="str">
        <f aca="false">IF(AND(A52&lt;&gt;"",A52=Statement!$C$6,J52=Statement!$K$7),COUNTIFS(A$6:A52,Statement!$C$6,J$6:J52,Statement!$K$7),"")</f>
        <v/>
      </c>
    </row>
    <row r="53" customFormat="false" ht="15" hidden="false" customHeight="false" outlineLevel="0" collapsed="false">
      <c r="A53" s="10"/>
      <c r="B53" s="28"/>
      <c r="C53" s="10"/>
      <c r="D53" s="10"/>
      <c r="E53" s="26"/>
      <c r="F53" s="10"/>
      <c r="G53" s="25"/>
      <c r="H53" s="29" t="str">
        <f aca="false">IF(OR(A53="",E53=""),"",IF(G53="",IFERROR(INDEX(Settings!$F$13:$F$27,MATCH(A53,Settings!$C$13:$C$27,0)),0),G53))</f>
        <v/>
      </c>
      <c r="I53" s="30" t="str">
        <f aca="false">IF(H53="","",ROUND(E53*H53,2))</f>
        <v/>
      </c>
      <c r="J53" s="31" t="str">
        <f aca="false">IF(OR(A53="",B53=""),"",IF(YEAR(B53)=Settings!$C$7,MONTH(B53),""))</f>
        <v/>
      </c>
      <c r="K53" s="31" t="str">
        <f aca="false">IF(AND(A53&lt;&gt;"",A53=Statement!$C$6,J53=Statement!$K$7),COUNTIFS(A$6:A53,Statement!$C$6,J$6:J53,Statement!$K$7),"")</f>
        <v/>
      </c>
    </row>
    <row r="54" customFormat="false" ht="15" hidden="false" customHeight="false" outlineLevel="0" collapsed="false">
      <c r="A54" s="10"/>
      <c r="B54" s="28"/>
      <c r="C54" s="10"/>
      <c r="D54" s="10"/>
      <c r="E54" s="26"/>
      <c r="F54" s="10"/>
      <c r="G54" s="25"/>
      <c r="H54" s="29" t="str">
        <f aca="false">IF(OR(A54="",E54=""),"",IF(G54="",IFERROR(INDEX(Settings!$F$13:$F$27,MATCH(A54,Settings!$C$13:$C$27,0)),0),G54))</f>
        <v/>
      </c>
      <c r="I54" s="30" t="str">
        <f aca="false">IF(H54="","",ROUND(E54*H54,2))</f>
        <v/>
      </c>
      <c r="J54" s="31" t="str">
        <f aca="false">IF(OR(A54="",B54=""),"",IF(YEAR(B54)=Settings!$C$7,MONTH(B54),""))</f>
        <v/>
      </c>
      <c r="K54" s="31" t="str">
        <f aca="false">IF(AND(A54&lt;&gt;"",A54=Statement!$C$6,J54=Statement!$K$7),COUNTIFS(A$6:A54,Statement!$C$6,J$6:J54,Statement!$K$7),"")</f>
        <v/>
      </c>
    </row>
    <row r="55" customFormat="false" ht="15" hidden="false" customHeight="false" outlineLevel="0" collapsed="false">
      <c r="A55" s="10"/>
      <c r="B55" s="28"/>
      <c r="C55" s="10"/>
      <c r="D55" s="10"/>
      <c r="E55" s="26"/>
      <c r="F55" s="10"/>
      <c r="G55" s="25"/>
      <c r="H55" s="29" t="str">
        <f aca="false">IF(OR(A55="",E55=""),"",IF(G55="",IFERROR(INDEX(Settings!$F$13:$F$27,MATCH(A55,Settings!$C$13:$C$27,0)),0),G55))</f>
        <v/>
      </c>
      <c r="I55" s="30" t="str">
        <f aca="false">IF(H55="","",ROUND(E55*H55,2))</f>
        <v/>
      </c>
      <c r="J55" s="31" t="str">
        <f aca="false">IF(OR(A55="",B55=""),"",IF(YEAR(B55)=Settings!$C$7,MONTH(B55),""))</f>
        <v/>
      </c>
      <c r="K55" s="31" t="str">
        <f aca="false">IF(AND(A55&lt;&gt;"",A55=Statement!$C$6,J55=Statement!$K$7),COUNTIFS(A$6:A55,Statement!$C$6,J$6:J55,Statement!$K$7),"")</f>
        <v/>
      </c>
    </row>
    <row r="56" customFormat="false" ht="15" hidden="false" customHeight="false" outlineLevel="0" collapsed="false">
      <c r="A56" s="10"/>
      <c r="B56" s="28"/>
      <c r="C56" s="10"/>
      <c r="D56" s="10"/>
      <c r="E56" s="26"/>
      <c r="F56" s="10"/>
      <c r="G56" s="25"/>
      <c r="H56" s="29" t="str">
        <f aca="false">IF(OR(A56="",E56=""),"",IF(G56="",IFERROR(INDEX(Settings!$F$13:$F$27,MATCH(A56,Settings!$C$13:$C$27,0)),0),G56))</f>
        <v/>
      </c>
      <c r="I56" s="30" t="str">
        <f aca="false">IF(H56="","",ROUND(E56*H56,2))</f>
        <v/>
      </c>
      <c r="J56" s="31" t="str">
        <f aca="false">IF(OR(A56="",B56=""),"",IF(YEAR(B56)=Settings!$C$7,MONTH(B56),""))</f>
        <v/>
      </c>
      <c r="K56" s="31" t="str">
        <f aca="false">IF(AND(A56&lt;&gt;"",A56=Statement!$C$6,J56=Statement!$K$7),COUNTIFS(A$6:A56,Statement!$C$6,J$6:J56,Statement!$K$7),"")</f>
        <v/>
      </c>
    </row>
    <row r="57" customFormat="false" ht="15" hidden="false" customHeight="false" outlineLevel="0" collapsed="false">
      <c r="A57" s="10"/>
      <c r="B57" s="28"/>
      <c r="C57" s="10"/>
      <c r="D57" s="10"/>
      <c r="E57" s="26"/>
      <c r="F57" s="10"/>
      <c r="G57" s="25"/>
      <c r="H57" s="29" t="str">
        <f aca="false">IF(OR(A57="",E57=""),"",IF(G57="",IFERROR(INDEX(Settings!$F$13:$F$27,MATCH(A57,Settings!$C$13:$C$27,0)),0),G57))</f>
        <v/>
      </c>
      <c r="I57" s="30" t="str">
        <f aca="false">IF(H57="","",ROUND(E57*H57,2))</f>
        <v/>
      </c>
      <c r="J57" s="31" t="str">
        <f aca="false">IF(OR(A57="",B57=""),"",IF(YEAR(B57)=Settings!$C$7,MONTH(B57),""))</f>
        <v/>
      </c>
      <c r="K57" s="31" t="str">
        <f aca="false">IF(AND(A57&lt;&gt;"",A57=Statement!$C$6,J57=Statement!$K$7),COUNTIFS(A$6:A57,Statement!$C$6,J$6:J57,Statement!$K$7),"")</f>
        <v/>
      </c>
    </row>
    <row r="58" customFormat="false" ht="15" hidden="false" customHeight="false" outlineLevel="0" collapsed="false">
      <c r="A58" s="10"/>
      <c r="B58" s="28"/>
      <c r="C58" s="10"/>
      <c r="D58" s="10"/>
      <c r="E58" s="26"/>
      <c r="F58" s="10"/>
      <c r="G58" s="25"/>
      <c r="H58" s="29" t="str">
        <f aca="false">IF(OR(A58="",E58=""),"",IF(G58="",IFERROR(INDEX(Settings!$F$13:$F$27,MATCH(A58,Settings!$C$13:$C$27,0)),0),G58))</f>
        <v/>
      </c>
      <c r="I58" s="30" t="str">
        <f aca="false">IF(H58="","",ROUND(E58*H58,2))</f>
        <v/>
      </c>
      <c r="J58" s="31" t="str">
        <f aca="false">IF(OR(A58="",B58=""),"",IF(YEAR(B58)=Settings!$C$7,MONTH(B58),""))</f>
        <v/>
      </c>
      <c r="K58" s="31" t="str">
        <f aca="false">IF(AND(A58&lt;&gt;"",A58=Statement!$C$6,J58=Statement!$K$7),COUNTIFS(A$6:A58,Statement!$C$6,J$6:J58,Statement!$K$7),"")</f>
        <v/>
      </c>
    </row>
    <row r="59" customFormat="false" ht="15" hidden="false" customHeight="false" outlineLevel="0" collapsed="false">
      <c r="A59" s="10"/>
      <c r="B59" s="28"/>
      <c r="C59" s="10"/>
      <c r="D59" s="10"/>
      <c r="E59" s="26"/>
      <c r="F59" s="10"/>
      <c r="G59" s="25"/>
      <c r="H59" s="29" t="str">
        <f aca="false">IF(OR(A59="",E59=""),"",IF(G59="",IFERROR(INDEX(Settings!$F$13:$F$27,MATCH(A59,Settings!$C$13:$C$27,0)),0),G59))</f>
        <v/>
      </c>
      <c r="I59" s="30" t="str">
        <f aca="false">IF(H59="","",ROUND(E59*H59,2))</f>
        <v/>
      </c>
      <c r="J59" s="31" t="str">
        <f aca="false">IF(OR(A59="",B59=""),"",IF(YEAR(B59)=Settings!$C$7,MONTH(B59),""))</f>
        <v/>
      </c>
      <c r="K59" s="31" t="str">
        <f aca="false">IF(AND(A59&lt;&gt;"",A59=Statement!$C$6,J59=Statement!$K$7),COUNTIFS(A$6:A59,Statement!$C$6,J$6:J59,Statement!$K$7),"")</f>
        <v/>
      </c>
    </row>
    <row r="60" customFormat="false" ht="15" hidden="false" customHeight="false" outlineLevel="0" collapsed="false">
      <c r="A60" s="10"/>
      <c r="B60" s="28"/>
      <c r="C60" s="10"/>
      <c r="D60" s="10"/>
      <c r="E60" s="26"/>
      <c r="F60" s="10"/>
      <c r="G60" s="25"/>
      <c r="H60" s="29" t="str">
        <f aca="false">IF(OR(A60="",E60=""),"",IF(G60="",IFERROR(INDEX(Settings!$F$13:$F$27,MATCH(A60,Settings!$C$13:$C$27,0)),0),G60))</f>
        <v/>
      </c>
      <c r="I60" s="30" t="str">
        <f aca="false">IF(H60="","",ROUND(E60*H60,2))</f>
        <v/>
      </c>
      <c r="J60" s="31" t="str">
        <f aca="false">IF(OR(A60="",B60=""),"",IF(YEAR(B60)=Settings!$C$7,MONTH(B60),""))</f>
        <v/>
      </c>
      <c r="K60" s="31" t="str">
        <f aca="false">IF(AND(A60&lt;&gt;"",A60=Statement!$C$6,J60=Statement!$K$7),COUNTIFS(A$6:A60,Statement!$C$6,J$6:J60,Statement!$K$7),"")</f>
        <v/>
      </c>
    </row>
    <row r="61" customFormat="false" ht="15" hidden="false" customHeight="false" outlineLevel="0" collapsed="false">
      <c r="A61" s="10"/>
      <c r="B61" s="28"/>
      <c r="C61" s="10"/>
      <c r="D61" s="10"/>
      <c r="E61" s="26"/>
      <c r="F61" s="10"/>
      <c r="G61" s="25"/>
      <c r="H61" s="29" t="str">
        <f aca="false">IF(OR(A61="",E61=""),"",IF(G61="",IFERROR(INDEX(Settings!$F$13:$F$27,MATCH(A61,Settings!$C$13:$C$27,0)),0),G61))</f>
        <v/>
      </c>
      <c r="I61" s="30" t="str">
        <f aca="false">IF(H61="","",ROUND(E61*H61,2))</f>
        <v/>
      </c>
      <c r="J61" s="31" t="str">
        <f aca="false">IF(OR(A61="",B61=""),"",IF(YEAR(B61)=Settings!$C$7,MONTH(B61),""))</f>
        <v/>
      </c>
      <c r="K61" s="31" t="str">
        <f aca="false">IF(AND(A61&lt;&gt;"",A61=Statement!$C$6,J61=Statement!$K$7),COUNTIFS(A$6:A61,Statement!$C$6,J$6:J61,Statement!$K$7),"")</f>
        <v/>
      </c>
    </row>
    <row r="62" customFormat="false" ht="15" hidden="false" customHeight="false" outlineLevel="0" collapsed="false">
      <c r="A62" s="10"/>
      <c r="B62" s="28"/>
      <c r="C62" s="10"/>
      <c r="D62" s="10"/>
      <c r="E62" s="26"/>
      <c r="F62" s="10"/>
      <c r="G62" s="25"/>
      <c r="H62" s="29" t="str">
        <f aca="false">IF(OR(A62="",E62=""),"",IF(G62="",IFERROR(INDEX(Settings!$F$13:$F$27,MATCH(A62,Settings!$C$13:$C$27,0)),0),G62))</f>
        <v/>
      </c>
      <c r="I62" s="30" t="str">
        <f aca="false">IF(H62="","",ROUND(E62*H62,2))</f>
        <v/>
      </c>
      <c r="J62" s="31" t="str">
        <f aca="false">IF(OR(A62="",B62=""),"",IF(YEAR(B62)=Settings!$C$7,MONTH(B62),""))</f>
        <v/>
      </c>
      <c r="K62" s="31" t="str">
        <f aca="false">IF(AND(A62&lt;&gt;"",A62=Statement!$C$6,J62=Statement!$K$7),COUNTIFS(A$6:A62,Statement!$C$6,J$6:J62,Statement!$K$7),"")</f>
        <v/>
      </c>
    </row>
    <row r="63" customFormat="false" ht="15" hidden="false" customHeight="false" outlineLevel="0" collapsed="false">
      <c r="A63" s="10"/>
      <c r="B63" s="28"/>
      <c r="C63" s="10"/>
      <c r="D63" s="10"/>
      <c r="E63" s="26"/>
      <c r="F63" s="10"/>
      <c r="G63" s="25"/>
      <c r="H63" s="29" t="str">
        <f aca="false">IF(OR(A63="",E63=""),"",IF(G63="",IFERROR(INDEX(Settings!$F$13:$F$27,MATCH(A63,Settings!$C$13:$C$27,0)),0),G63))</f>
        <v/>
      </c>
      <c r="I63" s="30" t="str">
        <f aca="false">IF(H63="","",ROUND(E63*H63,2))</f>
        <v/>
      </c>
      <c r="J63" s="31" t="str">
        <f aca="false">IF(OR(A63="",B63=""),"",IF(YEAR(B63)=Settings!$C$7,MONTH(B63),""))</f>
        <v/>
      </c>
      <c r="K63" s="31" t="str">
        <f aca="false">IF(AND(A63&lt;&gt;"",A63=Statement!$C$6,J63=Statement!$K$7),COUNTIFS(A$6:A63,Statement!$C$6,J$6:J63,Statement!$K$7),"")</f>
        <v/>
      </c>
    </row>
    <row r="64" customFormat="false" ht="15" hidden="false" customHeight="false" outlineLevel="0" collapsed="false">
      <c r="A64" s="10"/>
      <c r="B64" s="28"/>
      <c r="C64" s="10"/>
      <c r="D64" s="10"/>
      <c r="E64" s="26"/>
      <c r="F64" s="10"/>
      <c r="G64" s="25"/>
      <c r="H64" s="29" t="str">
        <f aca="false">IF(OR(A64="",E64=""),"",IF(G64="",IFERROR(INDEX(Settings!$F$13:$F$27,MATCH(A64,Settings!$C$13:$C$27,0)),0),G64))</f>
        <v/>
      </c>
      <c r="I64" s="30" t="str">
        <f aca="false">IF(H64="","",ROUND(E64*H64,2))</f>
        <v/>
      </c>
      <c r="J64" s="31" t="str">
        <f aca="false">IF(OR(A64="",B64=""),"",IF(YEAR(B64)=Settings!$C$7,MONTH(B64),""))</f>
        <v/>
      </c>
      <c r="K64" s="31" t="str">
        <f aca="false">IF(AND(A64&lt;&gt;"",A64=Statement!$C$6,J64=Statement!$K$7),COUNTIFS(A$6:A64,Statement!$C$6,J$6:J64,Statement!$K$7),"")</f>
        <v/>
      </c>
    </row>
    <row r="65" customFormat="false" ht="15" hidden="false" customHeight="false" outlineLevel="0" collapsed="false">
      <c r="A65" s="10"/>
      <c r="B65" s="28"/>
      <c r="C65" s="10"/>
      <c r="D65" s="10"/>
      <c r="E65" s="26"/>
      <c r="F65" s="10"/>
      <c r="G65" s="25"/>
      <c r="H65" s="29" t="str">
        <f aca="false">IF(OR(A65="",E65=""),"",IF(G65="",IFERROR(INDEX(Settings!$F$13:$F$27,MATCH(A65,Settings!$C$13:$C$27,0)),0),G65))</f>
        <v/>
      </c>
      <c r="I65" s="30" t="str">
        <f aca="false">IF(H65="","",ROUND(E65*H65,2))</f>
        <v/>
      </c>
      <c r="J65" s="31" t="str">
        <f aca="false">IF(OR(A65="",B65=""),"",IF(YEAR(B65)=Settings!$C$7,MONTH(B65),""))</f>
        <v/>
      </c>
      <c r="K65" s="31" t="str">
        <f aca="false">IF(AND(A65&lt;&gt;"",A65=Statement!$C$6,J65=Statement!$K$7),COUNTIFS(A$6:A65,Statement!$C$6,J$6:J65,Statement!$K$7),"")</f>
        <v/>
      </c>
    </row>
    <row r="66" customFormat="false" ht="15" hidden="false" customHeight="false" outlineLevel="0" collapsed="false">
      <c r="A66" s="10"/>
      <c r="B66" s="28"/>
      <c r="C66" s="10"/>
      <c r="D66" s="10"/>
      <c r="E66" s="26"/>
      <c r="F66" s="10"/>
      <c r="G66" s="25"/>
      <c r="H66" s="29" t="str">
        <f aca="false">IF(OR(A66="",E66=""),"",IF(G66="",IFERROR(INDEX(Settings!$F$13:$F$27,MATCH(A66,Settings!$C$13:$C$27,0)),0),G66))</f>
        <v/>
      </c>
      <c r="I66" s="30" t="str">
        <f aca="false">IF(H66="","",ROUND(E66*H66,2))</f>
        <v/>
      </c>
      <c r="J66" s="31" t="str">
        <f aca="false">IF(OR(A66="",B66=""),"",IF(YEAR(B66)=Settings!$C$7,MONTH(B66),""))</f>
        <v/>
      </c>
      <c r="K66" s="31" t="str">
        <f aca="false">IF(AND(A66&lt;&gt;"",A66=Statement!$C$6,J66=Statement!$K$7),COUNTIFS(A$6:A66,Statement!$C$6,J$6:J66,Statement!$K$7),"")</f>
        <v/>
      </c>
    </row>
    <row r="67" customFormat="false" ht="15" hidden="false" customHeight="false" outlineLevel="0" collapsed="false">
      <c r="A67" s="10"/>
      <c r="B67" s="28"/>
      <c r="C67" s="10"/>
      <c r="D67" s="10"/>
      <c r="E67" s="26"/>
      <c r="F67" s="10"/>
      <c r="G67" s="25"/>
      <c r="H67" s="29" t="str">
        <f aca="false">IF(OR(A67="",E67=""),"",IF(G67="",IFERROR(INDEX(Settings!$F$13:$F$27,MATCH(A67,Settings!$C$13:$C$27,0)),0),G67))</f>
        <v/>
      </c>
      <c r="I67" s="30" t="str">
        <f aca="false">IF(H67="","",ROUND(E67*H67,2))</f>
        <v/>
      </c>
      <c r="J67" s="31" t="str">
        <f aca="false">IF(OR(A67="",B67=""),"",IF(YEAR(B67)=Settings!$C$7,MONTH(B67),""))</f>
        <v/>
      </c>
      <c r="K67" s="31" t="str">
        <f aca="false">IF(AND(A67&lt;&gt;"",A67=Statement!$C$6,J67=Statement!$K$7),COUNTIFS(A$6:A67,Statement!$C$6,J$6:J67,Statement!$K$7),"")</f>
        <v/>
      </c>
    </row>
    <row r="68" customFormat="false" ht="15" hidden="false" customHeight="false" outlineLevel="0" collapsed="false">
      <c r="A68" s="10"/>
      <c r="B68" s="28"/>
      <c r="C68" s="10"/>
      <c r="D68" s="10"/>
      <c r="E68" s="26"/>
      <c r="F68" s="10"/>
      <c r="G68" s="25"/>
      <c r="H68" s="29" t="str">
        <f aca="false">IF(OR(A68="",E68=""),"",IF(G68="",IFERROR(INDEX(Settings!$F$13:$F$27,MATCH(A68,Settings!$C$13:$C$27,0)),0),G68))</f>
        <v/>
      </c>
      <c r="I68" s="30" t="str">
        <f aca="false">IF(H68="","",ROUND(E68*H68,2))</f>
        <v/>
      </c>
      <c r="J68" s="31" t="str">
        <f aca="false">IF(OR(A68="",B68=""),"",IF(YEAR(B68)=Settings!$C$7,MONTH(B68),""))</f>
        <v/>
      </c>
      <c r="K68" s="31" t="str">
        <f aca="false">IF(AND(A68&lt;&gt;"",A68=Statement!$C$6,J68=Statement!$K$7),COUNTIFS(A$6:A68,Statement!$C$6,J$6:J68,Statement!$K$7),"")</f>
        <v/>
      </c>
    </row>
    <row r="69" customFormat="false" ht="15" hidden="false" customHeight="false" outlineLevel="0" collapsed="false">
      <c r="A69" s="10"/>
      <c r="B69" s="28"/>
      <c r="C69" s="10"/>
      <c r="D69" s="10"/>
      <c r="E69" s="26"/>
      <c r="F69" s="10"/>
      <c r="G69" s="25"/>
      <c r="H69" s="29" t="str">
        <f aca="false">IF(OR(A69="",E69=""),"",IF(G69="",IFERROR(INDEX(Settings!$F$13:$F$27,MATCH(A69,Settings!$C$13:$C$27,0)),0),G69))</f>
        <v/>
      </c>
      <c r="I69" s="30" t="str">
        <f aca="false">IF(H69="","",ROUND(E69*H69,2))</f>
        <v/>
      </c>
      <c r="J69" s="31" t="str">
        <f aca="false">IF(OR(A69="",B69=""),"",IF(YEAR(B69)=Settings!$C$7,MONTH(B69),""))</f>
        <v/>
      </c>
      <c r="K69" s="31" t="str">
        <f aca="false">IF(AND(A69&lt;&gt;"",A69=Statement!$C$6,J69=Statement!$K$7),COUNTIFS(A$6:A69,Statement!$C$6,J$6:J69,Statement!$K$7),"")</f>
        <v/>
      </c>
    </row>
    <row r="70" customFormat="false" ht="15" hidden="false" customHeight="false" outlineLevel="0" collapsed="false">
      <c r="A70" s="10"/>
      <c r="B70" s="28"/>
      <c r="C70" s="10"/>
      <c r="D70" s="10"/>
      <c r="E70" s="26"/>
      <c r="F70" s="10"/>
      <c r="G70" s="25"/>
      <c r="H70" s="29" t="str">
        <f aca="false">IF(OR(A70="",E70=""),"",IF(G70="",IFERROR(INDEX(Settings!$F$13:$F$27,MATCH(A70,Settings!$C$13:$C$27,0)),0),G70))</f>
        <v/>
      </c>
      <c r="I70" s="30" t="str">
        <f aca="false">IF(H70="","",ROUND(E70*H70,2))</f>
        <v/>
      </c>
      <c r="J70" s="31" t="str">
        <f aca="false">IF(OR(A70="",B70=""),"",IF(YEAR(B70)=Settings!$C$7,MONTH(B70),""))</f>
        <v/>
      </c>
      <c r="K70" s="31" t="str">
        <f aca="false">IF(AND(A70&lt;&gt;"",A70=Statement!$C$6,J70=Statement!$K$7),COUNTIFS(A$6:A70,Statement!$C$6,J$6:J70,Statement!$K$7),"")</f>
        <v/>
      </c>
    </row>
    <row r="71" customFormat="false" ht="15" hidden="false" customHeight="false" outlineLevel="0" collapsed="false">
      <c r="A71" s="10"/>
      <c r="B71" s="28"/>
      <c r="C71" s="10"/>
      <c r="D71" s="10"/>
      <c r="E71" s="26"/>
      <c r="F71" s="10"/>
      <c r="G71" s="25"/>
      <c r="H71" s="29" t="str">
        <f aca="false">IF(OR(A71="",E71=""),"",IF(G71="",IFERROR(INDEX(Settings!$F$13:$F$27,MATCH(A71,Settings!$C$13:$C$27,0)),0),G71))</f>
        <v/>
      </c>
      <c r="I71" s="30" t="str">
        <f aca="false">IF(H71="","",ROUND(E71*H71,2))</f>
        <v/>
      </c>
      <c r="J71" s="31" t="str">
        <f aca="false">IF(OR(A71="",B71=""),"",IF(YEAR(B71)=Settings!$C$7,MONTH(B71),""))</f>
        <v/>
      </c>
      <c r="K71" s="31" t="str">
        <f aca="false">IF(AND(A71&lt;&gt;"",A71=Statement!$C$6,J71=Statement!$K$7),COUNTIFS(A$6:A71,Statement!$C$6,J$6:J71,Statement!$K$7),"")</f>
        <v/>
      </c>
    </row>
    <row r="72" customFormat="false" ht="15" hidden="false" customHeight="false" outlineLevel="0" collapsed="false">
      <c r="A72" s="10"/>
      <c r="B72" s="28"/>
      <c r="C72" s="10"/>
      <c r="D72" s="10"/>
      <c r="E72" s="26"/>
      <c r="F72" s="10"/>
      <c r="G72" s="25"/>
      <c r="H72" s="29" t="str">
        <f aca="false">IF(OR(A72="",E72=""),"",IF(G72="",IFERROR(INDEX(Settings!$F$13:$F$27,MATCH(A72,Settings!$C$13:$C$27,0)),0),G72))</f>
        <v/>
      </c>
      <c r="I72" s="30" t="str">
        <f aca="false">IF(H72="","",ROUND(E72*H72,2))</f>
        <v/>
      </c>
      <c r="J72" s="31" t="str">
        <f aca="false">IF(OR(A72="",B72=""),"",IF(YEAR(B72)=Settings!$C$7,MONTH(B72),""))</f>
        <v/>
      </c>
      <c r="K72" s="31" t="str">
        <f aca="false">IF(AND(A72&lt;&gt;"",A72=Statement!$C$6,J72=Statement!$K$7),COUNTIFS(A$6:A72,Statement!$C$6,J$6:J72,Statement!$K$7),"")</f>
        <v/>
      </c>
    </row>
    <row r="73" customFormat="false" ht="15" hidden="false" customHeight="false" outlineLevel="0" collapsed="false">
      <c r="A73" s="10"/>
      <c r="B73" s="28"/>
      <c r="C73" s="10"/>
      <c r="D73" s="10"/>
      <c r="E73" s="26"/>
      <c r="F73" s="10"/>
      <c r="G73" s="25"/>
      <c r="H73" s="29" t="str">
        <f aca="false">IF(OR(A73="",E73=""),"",IF(G73="",IFERROR(INDEX(Settings!$F$13:$F$27,MATCH(A73,Settings!$C$13:$C$27,0)),0),G73))</f>
        <v/>
      </c>
      <c r="I73" s="30" t="str">
        <f aca="false">IF(H73="","",ROUND(E73*H73,2))</f>
        <v/>
      </c>
      <c r="J73" s="31" t="str">
        <f aca="false">IF(OR(A73="",B73=""),"",IF(YEAR(B73)=Settings!$C$7,MONTH(B73),""))</f>
        <v/>
      </c>
      <c r="K73" s="31" t="str">
        <f aca="false">IF(AND(A73&lt;&gt;"",A73=Statement!$C$6,J73=Statement!$K$7),COUNTIFS(A$6:A73,Statement!$C$6,J$6:J73,Statement!$K$7),"")</f>
        <v/>
      </c>
    </row>
    <row r="74" customFormat="false" ht="15" hidden="false" customHeight="false" outlineLevel="0" collapsed="false">
      <c r="A74" s="10"/>
      <c r="B74" s="28"/>
      <c r="C74" s="10"/>
      <c r="D74" s="10"/>
      <c r="E74" s="26"/>
      <c r="F74" s="10"/>
      <c r="G74" s="25"/>
      <c r="H74" s="29" t="str">
        <f aca="false">IF(OR(A74="",E74=""),"",IF(G74="",IFERROR(INDEX(Settings!$F$13:$F$27,MATCH(A74,Settings!$C$13:$C$27,0)),0),G74))</f>
        <v/>
      </c>
      <c r="I74" s="30" t="str">
        <f aca="false">IF(H74="","",ROUND(E74*H74,2))</f>
        <v/>
      </c>
      <c r="J74" s="31" t="str">
        <f aca="false">IF(OR(A74="",B74=""),"",IF(YEAR(B74)=Settings!$C$7,MONTH(B74),""))</f>
        <v/>
      </c>
      <c r="K74" s="31" t="str">
        <f aca="false">IF(AND(A74&lt;&gt;"",A74=Statement!$C$6,J74=Statement!$K$7),COUNTIFS(A$6:A74,Statement!$C$6,J$6:J74,Statement!$K$7),"")</f>
        <v/>
      </c>
    </row>
    <row r="75" customFormat="false" ht="15" hidden="false" customHeight="false" outlineLevel="0" collapsed="false">
      <c r="A75" s="10"/>
      <c r="B75" s="28"/>
      <c r="C75" s="10"/>
      <c r="D75" s="10"/>
      <c r="E75" s="26"/>
      <c r="F75" s="10"/>
      <c r="G75" s="25"/>
      <c r="H75" s="29" t="str">
        <f aca="false">IF(OR(A75="",E75=""),"",IF(G75="",IFERROR(INDEX(Settings!$F$13:$F$27,MATCH(A75,Settings!$C$13:$C$27,0)),0),G75))</f>
        <v/>
      </c>
      <c r="I75" s="30" t="str">
        <f aca="false">IF(H75="","",ROUND(E75*H75,2))</f>
        <v/>
      </c>
      <c r="J75" s="31" t="str">
        <f aca="false">IF(OR(A75="",B75=""),"",IF(YEAR(B75)=Settings!$C$7,MONTH(B75),""))</f>
        <v/>
      </c>
      <c r="K75" s="31" t="str">
        <f aca="false">IF(AND(A75&lt;&gt;"",A75=Statement!$C$6,J75=Statement!$K$7),COUNTIFS(A$6:A75,Statement!$C$6,J$6:J75,Statement!$K$7),"")</f>
        <v/>
      </c>
    </row>
    <row r="76" customFormat="false" ht="15" hidden="false" customHeight="false" outlineLevel="0" collapsed="false">
      <c r="A76" s="10"/>
      <c r="B76" s="28"/>
      <c r="C76" s="10"/>
      <c r="D76" s="10"/>
      <c r="E76" s="26"/>
      <c r="F76" s="10"/>
      <c r="G76" s="25"/>
      <c r="H76" s="29" t="str">
        <f aca="false">IF(OR(A76="",E76=""),"",IF(G76="",IFERROR(INDEX(Settings!$F$13:$F$27,MATCH(A76,Settings!$C$13:$C$27,0)),0),G76))</f>
        <v/>
      </c>
      <c r="I76" s="30" t="str">
        <f aca="false">IF(H76="","",ROUND(E76*H76,2))</f>
        <v/>
      </c>
      <c r="J76" s="31" t="str">
        <f aca="false">IF(OR(A76="",B76=""),"",IF(YEAR(B76)=Settings!$C$7,MONTH(B76),""))</f>
        <v/>
      </c>
      <c r="K76" s="31" t="str">
        <f aca="false">IF(AND(A76&lt;&gt;"",A76=Statement!$C$6,J76=Statement!$K$7),COUNTIFS(A$6:A76,Statement!$C$6,J$6:J76,Statement!$K$7),"")</f>
        <v/>
      </c>
    </row>
    <row r="77" customFormat="false" ht="15" hidden="false" customHeight="false" outlineLevel="0" collapsed="false">
      <c r="A77" s="10"/>
      <c r="B77" s="28"/>
      <c r="C77" s="10"/>
      <c r="D77" s="10"/>
      <c r="E77" s="26"/>
      <c r="F77" s="10"/>
      <c r="G77" s="25"/>
      <c r="H77" s="29" t="str">
        <f aca="false">IF(OR(A77="",E77=""),"",IF(G77="",IFERROR(INDEX(Settings!$F$13:$F$27,MATCH(A77,Settings!$C$13:$C$27,0)),0),G77))</f>
        <v/>
      </c>
      <c r="I77" s="30" t="str">
        <f aca="false">IF(H77="","",ROUND(E77*H77,2))</f>
        <v/>
      </c>
      <c r="J77" s="31" t="str">
        <f aca="false">IF(OR(A77="",B77=""),"",IF(YEAR(B77)=Settings!$C$7,MONTH(B77),""))</f>
        <v/>
      </c>
      <c r="K77" s="31" t="str">
        <f aca="false">IF(AND(A77&lt;&gt;"",A77=Statement!$C$6,J77=Statement!$K$7),COUNTIFS(A$6:A77,Statement!$C$6,J$6:J77,Statement!$K$7),"")</f>
        <v/>
      </c>
    </row>
    <row r="78" customFormat="false" ht="15" hidden="false" customHeight="false" outlineLevel="0" collapsed="false">
      <c r="A78" s="10"/>
      <c r="B78" s="28"/>
      <c r="C78" s="10"/>
      <c r="D78" s="10"/>
      <c r="E78" s="26"/>
      <c r="F78" s="10"/>
      <c r="G78" s="25"/>
      <c r="H78" s="29" t="str">
        <f aca="false">IF(OR(A78="",E78=""),"",IF(G78="",IFERROR(INDEX(Settings!$F$13:$F$27,MATCH(A78,Settings!$C$13:$C$27,0)),0),G78))</f>
        <v/>
      </c>
      <c r="I78" s="30" t="str">
        <f aca="false">IF(H78="","",ROUND(E78*H78,2))</f>
        <v/>
      </c>
      <c r="J78" s="31" t="str">
        <f aca="false">IF(OR(A78="",B78=""),"",IF(YEAR(B78)=Settings!$C$7,MONTH(B78),""))</f>
        <v/>
      </c>
      <c r="K78" s="31" t="str">
        <f aca="false">IF(AND(A78&lt;&gt;"",A78=Statement!$C$6,J78=Statement!$K$7),COUNTIFS(A$6:A78,Statement!$C$6,J$6:J78,Statement!$K$7),"")</f>
        <v/>
      </c>
    </row>
    <row r="79" customFormat="false" ht="15" hidden="false" customHeight="false" outlineLevel="0" collapsed="false">
      <c r="A79" s="10"/>
      <c r="B79" s="28"/>
      <c r="C79" s="10"/>
      <c r="D79" s="10"/>
      <c r="E79" s="26"/>
      <c r="F79" s="10"/>
      <c r="G79" s="25"/>
      <c r="H79" s="29" t="str">
        <f aca="false">IF(OR(A79="",E79=""),"",IF(G79="",IFERROR(INDEX(Settings!$F$13:$F$27,MATCH(A79,Settings!$C$13:$C$27,0)),0),G79))</f>
        <v/>
      </c>
      <c r="I79" s="30" t="str">
        <f aca="false">IF(H79="","",ROUND(E79*H79,2))</f>
        <v/>
      </c>
      <c r="J79" s="31" t="str">
        <f aca="false">IF(OR(A79="",B79=""),"",IF(YEAR(B79)=Settings!$C$7,MONTH(B79),""))</f>
        <v/>
      </c>
      <c r="K79" s="31" t="str">
        <f aca="false">IF(AND(A79&lt;&gt;"",A79=Statement!$C$6,J79=Statement!$K$7),COUNTIFS(A$6:A79,Statement!$C$6,J$6:J79,Statement!$K$7),"")</f>
        <v/>
      </c>
    </row>
    <row r="80" customFormat="false" ht="15" hidden="false" customHeight="false" outlineLevel="0" collapsed="false">
      <c r="A80" s="10"/>
      <c r="B80" s="28"/>
      <c r="C80" s="10"/>
      <c r="D80" s="10"/>
      <c r="E80" s="26"/>
      <c r="F80" s="10"/>
      <c r="G80" s="25"/>
      <c r="H80" s="29" t="str">
        <f aca="false">IF(OR(A80="",E80=""),"",IF(G80="",IFERROR(INDEX(Settings!$F$13:$F$27,MATCH(A80,Settings!$C$13:$C$27,0)),0),G80))</f>
        <v/>
      </c>
      <c r="I80" s="30" t="str">
        <f aca="false">IF(H80="","",ROUND(E80*H80,2))</f>
        <v/>
      </c>
      <c r="J80" s="31" t="str">
        <f aca="false">IF(OR(A80="",B80=""),"",IF(YEAR(B80)=Settings!$C$7,MONTH(B80),""))</f>
        <v/>
      </c>
      <c r="K80" s="31" t="str">
        <f aca="false">IF(AND(A80&lt;&gt;"",A80=Statement!$C$6,J80=Statement!$K$7),COUNTIFS(A$6:A80,Statement!$C$6,J$6:J80,Statement!$K$7),"")</f>
        <v/>
      </c>
    </row>
    <row r="81" customFormat="false" ht="15" hidden="false" customHeight="false" outlineLevel="0" collapsed="false">
      <c r="A81" s="10"/>
      <c r="B81" s="28"/>
      <c r="C81" s="10"/>
      <c r="D81" s="10"/>
      <c r="E81" s="26"/>
      <c r="F81" s="10"/>
      <c r="G81" s="25"/>
      <c r="H81" s="29" t="str">
        <f aca="false">IF(OR(A81="",E81=""),"",IF(G81="",IFERROR(INDEX(Settings!$F$13:$F$27,MATCH(A81,Settings!$C$13:$C$27,0)),0),G81))</f>
        <v/>
      </c>
      <c r="I81" s="30" t="str">
        <f aca="false">IF(H81="","",ROUND(E81*H81,2))</f>
        <v/>
      </c>
      <c r="J81" s="31" t="str">
        <f aca="false">IF(OR(A81="",B81=""),"",IF(YEAR(B81)=Settings!$C$7,MONTH(B81),""))</f>
        <v/>
      </c>
      <c r="K81" s="31" t="str">
        <f aca="false">IF(AND(A81&lt;&gt;"",A81=Statement!$C$6,J81=Statement!$K$7),COUNTIFS(A$6:A81,Statement!$C$6,J$6:J81,Statement!$K$7),"")</f>
        <v/>
      </c>
    </row>
    <row r="82" customFormat="false" ht="15" hidden="false" customHeight="false" outlineLevel="0" collapsed="false">
      <c r="A82" s="10"/>
      <c r="B82" s="28"/>
      <c r="C82" s="10"/>
      <c r="D82" s="10"/>
      <c r="E82" s="26"/>
      <c r="F82" s="10"/>
      <c r="G82" s="25"/>
      <c r="H82" s="29" t="str">
        <f aca="false">IF(OR(A82="",E82=""),"",IF(G82="",IFERROR(INDEX(Settings!$F$13:$F$27,MATCH(A82,Settings!$C$13:$C$27,0)),0),G82))</f>
        <v/>
      </c>
      <c r="I82" s="30" t="str">
        <f aca="false">IF(H82="","",ROUND(E82*H82,2))</f>
        <v/>
      </c>
      <c r="J82" s="31" t="str">
        <f aca="false">IF(OR(A82="",B82=""),"",IF(YEAR(B82)=Settings!$C$7,MONTH(B82),""))</f>
        <v/>
      </c>
      <c r="K82" s="31" t="str">
        <f aca="false">IF(AND(A82&lt;&gt;"",A82=Statement!$C$6,J82=Statement!$K$7),COUNTIFS(A$6:A82,Statement!$C$6,J$6:J82,Statement!$K$7),"")</f>
        <v/>
      </c>
    </row>
    <row r="83" customFormat="false" ht="15" hidden="false" customHeight="false" outlineLevel="0" collapsed="false">
      <c r="A83" s="10"/>
      <c r="B83" s="28"/>
      <c r="C83" s="10"/>
      <c r="D83" s="10"/>
      <c r="E83" s="26"/>
      <c r="F83" s="10"/>
      <c r="G83" s="25"/>
      <c r="H83" s="29" t="str">
        <f aca="false">IF(OR(A83="",E83=""),"",IF(G83="",IFERROR(INDEX(Settings!$F$13:$F$27,MATCH(A83,Settings!$C$13:$C$27,0)),0),G83))</f>
        <v/>
      </c>
      <c r="I83" s="30" t="str">
        <f aca="false">IF(H83="","",ROUND(E83*H83,2))</f>
        <v/>
      </c>
      <c r="J83" s="31" t="str">
        <f aca="false">IF(OR(A83="",B83=""),"",IF(YEAR(B83)=Settings!$C$7,MONTH(B83),""))</f>
        <v/>
      </c>
      <c r="K83" s="31" t="str">
        <f aca="false">IF(AND(A83&lt;&gt;"",A83=Statement!$C$6,J83=Statement!$K$7),COUNTIFS(A$6:A83,Statement!$C$6,J$6:J83,Statement!$K$7),"")</f>
        <v/>
      </c>
    </row>
    <row r="84" customFormat="false" ht="15" hidden="false" customHeight="false" outlineLevel="0" collapsed="false">
      <c r="A84" s="10"/>
      <c r="B84" s="28"/>
      <c r="C84" s="10"/>
      <c r="D84" s="10"/>
      <c r="E84" s="26"/>
      <c r="F84" s="10"/>
      <c r="G84" s="25"/>
      <c r="H84" s="29" t="str">
        <f aca="false">IF(OR(A84="",E84=""),"",IF(G84="",IFERROR(INDEX(Settings!$F$13:$F$27,MATCH(A84,Settings!$C$13:$C$27,0)),0),G84))</f>
        <v/>
      </c>
      <c r="I84" s="30" t="str">
        <f aca="false">IF(H84="","",ROUND(E84*H84,2))</f>
        <v/>
      </c>
      <c r="J84" s="31" t="str">
        <f aca="false">IF(OR(A84="",B84=""),"",IF(YEAR(B84)=Settings!$C$7,MONTH(B84),""))</f>
        <v/>
      </c>
      <c r="K84" s="31" t="str">
        <f aca="false">IF(AND(A84&lt;&gt;"",A84=Statement!$C$6,J84=Statement!$K$7),COUNTIFS(A$6:A84,Statement!$C$6,J$6:J84,Statement!$K$7),"")</f>
        <v/>
      </c>
    </row>
    <row r="85" customFormat="false" ht="15" hidden="false" customHeight="false" outlineLevel="0" collapsed="false">
      <c r="A85" s="10"/>
      <c r="B85" s="28"/>
      <c r="C85" s="10"/>
      <c r="D85" s="10"/>
      <c r="E85" s="26"/>
      <c r="F85" s="10"/>
      <c r="G85" s="25"/>
      <c r="H85" s="29" t="str">
        <f aca="false">IF(OR(A85="",E85=""),"",IF(G85="",IFERROR(INDEX(Settings!$F$13:$F$27,MATCH(A85,Settings!$C$13:$C$27,0)),0),G85))</f>
        <v/>
      </c>
      <c r="I85" s="30" t="str">
        <f aca="false">IF(H85="","",ROUND(E85*H85,2))</f>
        <v/>
      </c>
      <c r="J85" s="31" t="str">
        <f aca="false">IF(OR(A85="",B85=""),"",IF(YEAR(B85)=Settings!$C$7,MONTH(B85),""))</f>
        <v/>
      </c>
      <c r="K85" s="31" t="str">
        <f aca="false">IF(AND(A85&lt;&gt;"",A85=Statement!$C$6,J85=Statement!$K$7),COUNTIFS(A$6:A85,Statement!$C$6,J$6:J85,Statement!$K$7),"")</f>
        <v/>
      </c>
    </row>
    <row r="86" customFormat="false" ht="15" hidden="false" customHeight="false" outlineLevel="0" collapsed="false">
      <c r="A86" s="10"/>
      <c r="B86" s="28"/>
      <c r="C86" s="10"/>
      <c r="D86" s="10"/>
      <c r="E86" s="26"/>
      <c r="F86" s="10"/>
      <c r="G86" s="25"/>
      <c r="H86" s="29" t="str">
        <f aca="false">IF(OR(A86="",E86=""),"",IF(G86="",IFERROR(INDEX(Settings!$F$13:$F$27,MATCH(A86,Settings!$C$13:$C$27,0)),0),G86))</f>
        <v/>
      </c>
      <c r="I86" s="30" t="str">
        <f aca="false">IF(H86="","",ROUND(E86*H86,2))</f>
        <v/>
      </c>
      <c r="J86" s="31" t="str">
        <f aca="false">IF(OR(A86="",B86=""),"",IF(YEAR(B86)=Settings!$C$7,MONTH(B86),""))</f>
        <v/>
      </c>
      <c r="K86" s="31" t="str">
        <f aca="false">IF(AND(A86&lt;&gt;"",A86=Statement!$C$6,J86=Statement!$K$7),COUNTIFS(A$6:A86,Statement!$C$6,J$6:J86,Statement!$K$7),"")</f>
        <v/>
      </c>
    </row>
    <row r="87" customFormat="false" ht="15" hidden="false" customHeight="false" outlineLevel="0" collapsed="false">
      <c r="A87" s="10"/>
      <c r="B87" s="28"/>
      <c r="C87" s="10"/>
      <c r="D87" s="10"/>
      <c r="E87" s="26"/>
      <c r="F87" s="10"/>
      <c r="G87" s="25"/>
      <c r="H87" s="29" t="str">
        <f aca="false">IF(OR(A87="",E87=""),"",IF(G87="",IFERROR(INDEX(Settings!$F$13:$F$27,MATCH(A87,Settings!$C$13:$C$27,0)),0),G87))</f>
        <v/>
      </c>
      <c r="I87" s="30" t="str">
        <f aca="false">IF(H87="","",ROUND(E87*H87,2))</f>
        <v/>
      </c>
      <c r="J87" s="31" t="str">
        <f aca="false">IF(OR(A87="",B87=""),"",IF(YEAR(B87)=Settings!$C$7,MONTH(B87),""))</f>
        <v/>
      </c>
      <c r="K87" s="31" t="str">
        <f aca="false">IF(AND(A87&lt;&gt;"",A87=Statement!$C$6,J87=Statement!$K$7),COUNTIFS(A$6:A87,Statement!$C$6,J$6:J87,Statement!$K$7),"")</f>
        <v/>
      </c>
    </row>
    <row r="88" customFormat="false" ht="15" hidden="false" customHeight="false" outlineLevel="0" collapsed="false">
      <c r="A88" s="10"/>
      <c r="B88" s="28"/>
      <c r="C88" s="10"/>
      <c r="D88" s="10"/>
      <c r="E88" s="26"/>
      <c r="F88" s="10"/>
      <c r="G88" s="25"/>
      <c r="H88" s="29" t="str">
        <f aca="false">IF(OR(A88="",E88=""),"",IF(G88="",IFERROR(INDEX(Settings!$F$13:$F$27,MATCH(A88,Settings!$C$13:$C$27,0)),0),G88))</f>
        <v/>
      </c>
      <c r="I88" s="30" t="str">
        <f aca="false">IF(H88="","",ROUND(E88*H88,2))</f>
        <v/>
      </c>
      <c r="J88" s="31" t="str">
        <f aca="false">IF(OR(A88="",B88=""),"",IF(YEAR(B88)=Settings!$C$7,MONTH(B88),""))</f>
        <v/>
      </c>
      <c r="K88" s="31" t="str">
        <f aca="false">IF(AND(A88&lt;&gt;"",A88=Statement!$C$6,J88=Statement!$K$7),COUNTIFS(A$6:A88,Statement!$C$6,J$6:J88,Statement!$K$7),"")</f>
        <v/>
      </c>
    </row>
    <row r="89" customFormat="false" ht="15" hidden="false" customHeight="false" outlineLevel="0" collapsed="false">
      <c r="A89" s="10"/>
      <c r="B89" s="28"/>
      <c r="C89" s="10"/>
      <c r="D89" s="10"/>
      <c r="E89" s="26"/>
      <c r="F89" s="10"/>
      <c r="G89" s="25"/>
      <c r="H89" s="29" t="str">
        <f aca="false">IF(OR(A89="",E89=""),"",IF(G89="",IFERROR(INDEX(Settings!$F$13:$F$27,MATCH(A89,Settings!$C$13:$C$27,0)),0),G89))</f>
        <v/>
      </c>
      <c r="I89" s="30" t="str">
        <f aca="false">IF(H89="","",ROUND(E89*H89,2))</f>
        <v/>
      </c>
      <c r="J89" s="31" t="str">
        <f aca="false">IF(OR(A89="",B89=""),"",IF(YEAR(B89)=Settings!$C$7,MONTH(B89),""))</f>
        <v/>
      </c>
      <c r="K89" s="31" t="str">
        <f aca="false">IF(AND(A89&lt;&gt;"",A89=Statement!$C$6,J89=Statement!$K$7),COUNTIFS(A$6:A89,Statement!$C$6,J$6:J89,Statement!$K$7),"")</f>
        <v/>
      </c>
    </row>
    <row r="90" customFormat="false" ht="15" hidden="false" customHeight="false" outlineLevel="0" collapsed="false">
      <c r="A90" s="10"/>
      <c r="B90" s="28"/>
      <c r="C90" s="10"/>
      <c r="D90" s="10"/>
      <c r="E90" s="26"/>
      <c r="F90" s="10"/>
      <c r="G90" s="25"/>
      <c r="H90" s="29" t="str">
        <f aca="false">IF(OR(A90="",E90=""),"",IF(G90="",IFERROR(INDEX(Settings!$F$13:$F$27,MATCH(A90,Settings!$C$13:$C$27,0)),0),G90))</f>
        <v/>
      </c>
      <c r="I90" s="30" t="str">
        <f aca="false">IF(H90="","",ROUND(E90*H90,2))</f>
        <v/>
      </c>
      <c r="J90" s="31" t="str">
        <f aca="false">IF(OR(A90="",B90=""),"",IF(YEAR(B90)=Settings!$C$7,MONTH(B90),""))</f>
        <v/>
      </c>
      <c r="K90" s="31" t="str">
        <f aca="false">IF(AND(A90&lt;&gt;"",A90=Statement!$C$6,J90=Statement!$K$7),COUNTIFS(A$6:A90,Statement!$C$6,J$6:J90,Statement!$K$7),"")</f>
        <v/>
      </c>
    </row>
    <row r="91" customFormat="false" ht="15" hidden="false" customHeight="false" outlineLevel="0" collapsed="false">
      <c r="A91" s="10"/>
      <c r="B91" s="28"/>
      <c r="C91" s="10"/>
      <c r="D91" s="10"/>
      <c r="E91" s="26"/>
      <c r="F91" s="10"/>
      <c r="G91" s="25"/>
      <c r="H91" s="29" t="str">
        <f aca="false">IF(OR(A91="",E91=""),"",IF(G91="",IFERROR(INDEX(Settings!$F$13:$F$27,MATCH(A91,Settings!$C$13:$C$27,0)),0),G91))</f>
        <v/>
      </c>
      <c r="I91" s="30" t="str">
        <f aca="false">IF(H91="","",ROUND(E91*H91,2))</f>
        <v/>
      </c>
      <c r="J91" s="31" t="str">
        <f aca="false">IF(OR(A91="",B91=""),"",IF(YEAR(B91)=Settings!$C$7,MONTH(B91),""))</f>
        <v/>
      </c>
      <c r="K91" s="31" t="str">
        <f aca="false">IF(AND(A91&lt;&gt;"",A91=Statement!$C$6,J91=Statement!$K$7),COUNTIFS(A$6:A91,Statement!$C$6,J$6:J91,Statement!$K$7),"")</f>
        <v/>
      </c>
    </row>
    <row r="92" customFormat="false" ht="15" hidden="false" customHeight="false" outlineLevel="0" collapsed="false">
      <c r="A92" s="10"/>
      <c r="B92" s="28"/>
      <c r="C92" s="10"/>
      <c r="D92" s="10"/>
      <c r="E92" s="26"/>
      <c r="F92" s="10"/>
      <c r="G92" s="25"/>
      <c r="H92" s="29" t="str">
        <f aca="false">IF(OR(A92="",E92=""),"",IF(G92="",IFERROR(INDEX(Settings!$F$13:$F$27,MATCH(A92,Settings!$C$13:$C$27,0)),0),G92))</f>
        <v/>
      </c>
      <c r="I92" s="30" t="str">
        <f aca="false">IF(H92="","",ROUND(E92*H92,2))</f>
        <v/>
      </c>
      <c r="J92" s="31" t="str">
        <f aca="false">IF(OR(A92="",B92=""),"",IF(YEAR(B92)=Settings!$C$7,MONTH(B92),""))</f>
        <v/>
      </c>
      <c r="K92" s="31" t="str">
        <f aca="false">IF(AND(A92&lt;&gt;"",A92=Statement!$C$6,J92=Statement!$K$7),COUNTIFS(A$6:A92,Statement!$C$6,J$6:J92,Statement!$K$7),"")</f>
        <v/>
      </c>
    </row>
    <row r="93" customFormat="false" ht="15" hidden="false" customHeight="false" outlineLevel="0" collapsed="false">
      <c r="A93" s="10"/>
      <c r="B93" s="28"/>
      <c r="C93" s="10"/>
      <c r="D93" s="10"/>
      <c r="E93" s="26"/>
      <c r="F93" s="10"/>
      <c r="G93" s="25"/>
      <c r="H93" s="29" t="str">
        <f aca="false">IF(OR(A93="",E93=""),"",IF(G93="",IFERROR(INDEX(Settings!$F$13:$F$27,MATCH(A93,Settings!$C$13:$C$27,0)),0),G93))</f>
        <v/>
      </c>
      <c r="I93" s="30" t="str">
        <f aca="false">IF(H93="","",ROUND(E93*H93,2))</f>
        <v/>
      </c>
      <c r="J93" s="31" t="str">
        <f aca="false">IF(OR(A93="",B93=""),"",IF(YEAR(B93)=Settings!$C$7,MONTH(B93),""))</f>
        <v/>
      </c>
      <c r="K93" s="31" t="str">
        <f aca="false">IF(AND(A93&lt;&gt;"",A93=Statement!$C$6,J93=Statement!$K$7),COUNTIFS(A$6:A93,Statement!$C$6,J$6:J93,Statement!$K$7),"")</f>
        <v/>
      </c>
    </row>
    <row r="94" customFormat="false" ht="15" hidden="false" customHeight="false" outlineLevel="0" collapsed="false">
      <c r="A94" s="10"/>
      <c r="B94" s="28"/>
      <c r="C94" s="10"/>
      <c r="D94" s="10"/>
      <c r="E94" s="26"/>
      <c r="F94" s="10"/>
      <c r="G94" s="25"/>
      <c r="H94" s="29" t="str">
        <f aca="false">IF(OR(A94="",E94=""),"",IF(G94="",IFERROR(INDEX(Settings!$F$13:$F$27,MATCH(A94,Settings!$C$13:$C$27,0)),0),G94))</f>
        <v/>
      </c>
      <c r="I94" s="30" t="str">
        <f aca="false">IF(H94="","",ROUND(E94*H94,2))</f>
        <v/>
      </c>
      <c r="J94" s="31" t="str">
        <f aca="false">IF(OR(A94="",B94=""),"",IF(YEAR(B94)=Settings!$C$7,MONTH(B94),""))</f>
        <v/>
      </c>
      <c r="K94" s="31" t="str">
        <f aca="false">IF(AND(A94&lt;&gt;"",A94=Statement!$C$6,J94=Statement!$K$7),COUNTIFS(A$6:A94,Statement!$C$6,J$6:J94,Statement!$K$7),"")</f>
        <v/>
      </c>
    </row>
    <row r="95" customFormat="false" ht="15" hidden="false" customHeight="false" outlineLevel="0" collapsed="false">
      <c r="A95" s="10"/>
      <c r="B95" s="28"/>
      <c r="C95" s="10"/>
      <c r="D95" s="10"/>
      <c r="E95" s="26"/>
      <c r="F95" s="10"/>
      <c r="G95" s="25"/>
      <c r="H95" s="29" t="str">
        <f aca="false">IF(OR(A95="",E95=""),"",IF(G95="",IFERROR(INDEX(Settings!$F$13:$F$27,MATCH(A95,Settings!$C$13:$C$27,0)),0),G95))</f>
        <v/>
      </c>
      <c r="I95" s="30" t="str">
        <f aca="false">IF(H95="","",ROUND(E95*H95,2))</f>
        <v/>
      </c>
      <c r="J95" s="31" t="str">
        <f aca="false">IF(OR(A95="",B95=""),"",IF(YEAR(B95)=Settings!$C$7,MONTH(B95),""))</f>
        <v/>
      </c>
      <c r="K95" s="31" t="str">
        <f aca="false">IF(AND(A95&lt;&gt;"",A95=Statement!$C$6,J95=Statement!$K$7),COUNTIFS(A$6:A95,Statement!$C$6,J$6:J95,Statement!$K$7),"")</f>
        <v/>
      </c>
    </row>
    <row r="96" customFormat="false" ht="15" hidden="false" customHeight="false" outlineLevel="0" collapsed="false">
      <c r="A96" s="10"/>
      <c r="B96" s="28"/>
      <c r="C96" s="10"/>
      <c r="D96" s="10"/>
      <c r="E96" s="26"/>
      <c r="F96" s="10"/>
      <c r="G96" s="25"/>
      <c r="H96" s="29" t="str">
        <f aca="false">IF(OR(A96="",E96=""),"",IF(G96="",IFERROR(INDEX(Settings!$F$13:$F$27,MATCH(A96,Settings!$C$13:$C$27,0)),0),G96))</f>
        <v/>
      </c>
      <c r="I96" s="30" t="str">
        <f aca="false">IF(H96="","",ROUND(E96*H96,2))</f>
        <v/>
      </c>
      <c r="J96" s="31" t="str">
        <f aca="false">IF(OR(A96="",B96=""),"",IF(YEAR(B96)=Settings!$C$7,MONTH(B96),""))</f>
        <v/>
      </c>
      <c r="K96" s="31" t="str">
        <f aca="false">IF(AND(A96&lt;&gt;"",A96=Statement!$C$6,J96=Statement!$K$7),COUNTIFS(A$6:A96,Statement!$C$6,J$6:J96,Statement!$K$7),"")</f>
        <v/>
      </c>
    </row>
    <row r="97" customFormat="false" ht="15" hidden="false" customHeight="false" outlineLevel="0" collapsed="false">
      <c r="A97" s="10"/>
      <c r="B97" s="28"/>
      <c r="C97" s="10"/>
      <c r="D97" s="10"/>
      <c r="E97" s="26"/>
      <c r="F97" s="10"/>
      <c r="G97" s="25"/>
      <c r="H97" s="29" t="str">
        <f aca="false">IF(OR(A97="",E97=""),"",IF(G97="",IFERROR(INDEX(Settings!$F$13:$F$27,MATCH(A97,Settings!$C$13:$C$27,0)),0),G97))</f>
        <v/>
      </c>
      <c r="I97" s="30" t="str">
        <f aca="false">IF(H97="","",ROUND(E97*H97,2))</f>
        <v/>
      </c>
      <c r="J97" s="31" t="str">
        <f aca="false">IF(OR(A97="",B97=""),"",IF(YEAR(B97)=Settings!$C$7,MONTH(B97),""))</f>
        <v/>
      </c>
      <c r="K97" s="31" t="str">
        <f aca="false">IF(AND(A97&lt;&gt;"",A97=Statement!$C$6,J97=Statement!$K$7),COUNTIFS(A$6:A97,Statement!$C$6,J$6:J97,Statement!$K$7),"")</f>
        <v/>
      </c>
    </row>
    <row r="98" customFormat="false" ht="15" hidden="false" customHeight="false" outlineLevel="0" collapsed="false">
      <c r="A98" s="10"/>
      <c r="B98" s="28"/>
      <c r="C98" s="10"/>
      <c r="D98" s="10"/>
      <c r="E98" s="26"/>
      <c r="F98" s="10"/>
      <c r="G98" s="25"/>
      <c r="H98" s="29" t="str">
        <f aca="false">IF(OR(A98="",E98=""),"",IF(G98="",IFERROR(INDEX(Settings!$F$13:$F$27,MATCH(A98,Settings!$C$13:$C$27,0)),0),G98))</f>
        <v/>
      </c>
      <c r="I98" s="30" t="str">
        <f aca="false">IF(H98="","",ROUND(E98*H98,2))</f>
        <v/>
      </c>
      <c r="J98" s="31" t="str">
        <f aca="false">IF(OR(A98="",B98=""),"",IF(YEAR(B98)=Settings!$C$7,MONTH(B98),""))</f>
        <v/>
      </c>
      <c r="K98" s="31" t="str">
        <f aca="false">IF(AND(A98&lt;&gt;"",A98=Statement!$C$6,J98=Statement!$K$7),COUNTIFS(A$6:A98,Statement!$C$6,J$6:J98,Statement!$K$7),"")</f>
        <v/>
      </c>
    </row>
    <row r="99" customFormat="false" ht="15" hidden="false" customHeight="false" outlineLevel="0" collapsed="false">
      <c r="A99" s="10"/>
      <c r="B99" s="28"/>
      <c r="C99" s="10"/>
      <c r="D99" s="10"/>
      <c r="E99" s="26"/>
      <c r="F99" s="10"/>
      <c r="G99" s="25"/>
      <c r="H99" s="29" t="str">
        <f aca="false">IF(OR(A99="",E99=""),"",IF(G99="",IFERROR(INDEX(Settings!$F$13:$F$27,MATCH(A99,Settings!$C$13:$C$27,0)),0),G99))</f>
        <v/>
      </c>
      <c r="I99" s="30" t="str">
        <f aca="false">IF(H99="","",ROUND(E99*H99,2))</f>
        <v/>
      </c>
      <c r="J99" s="31" t="str">
        <f aca="false">IF(OR(A99="",B99=""),"",IF(YEAR(B99)=Settings!$C$7,MONTH(B99),""))</f>
        <v/>
      </c>
      <c r="K99" s="31" t="str">
        <f aca="false">IF(AND(A99&lt;&gt;"",A99=Statement!$C$6,J99=Statement!$K$7),COUNTIFS(A$6:A99,Statement!$C$6,J$6:J99,Statement!$K$7),"")</f>
        <v/>
      </c>
    </row>
    <row r="100" customFormat="false" ht="15" hidden="false" customHeight="false" outlineLevel="0" collapsed="false">
      <c r="A100" s="10"/>
      <c r="B100" s="28"/>
      <c r="C100" s="10"/>
      <c r="D100" s="10"/>
      <c r="E100" s="26"/>
      <c r="F100" s="10"/>
      <c r="G100" s="25"/>
      <c r="H100" s="29" t="str">
        <f aca="false">IF(OR(A100="",E100=""),"",IF(G100="",IFERROR(INDEX(Settings!$F$13:$F$27,MATCH(A100,Settings!$C$13:$C$27,0)),0),G100))</f>
        <v/>
      </c>
      <c r="I100" s="30" t="str">
        <f aca="false">IF(H100="","",ROUND(E100*H100,2))</f>
        <v/>
      </c>
      <c r="J100" s="31" t="str">
        <f aca="false">IF(OR(A100="",B100=""),"",IF(YEAR(B100)=Settings!$C$7,MONTH(B100),""))</f>
        <v/>
      </c>
      <c r="K100" s="31" t="str">
        <f aca="false">IF(AND(A100&lt;&gt;"",A100=Statement!$C$6,J100=Statement!$K$7),COUNTIFS(A$6:A100,Statement!$C$6,J$6:J100,Statement!$K$7),"")</f>
        <v/>
      </c>
    </row>
    <row r="101" customFormat="false" ht="15" hidden="false" customHeight="false" outlineLevel="0" collapsed="false">
      <c r="A101" s="10"/>
      <c r="B101" s="28"/>
      <c r="C101" s="10"/>
      <c r="D101" s="10"/>
      <c r="E101" s="26"/>
      <c r="F101" s="10"/>
      <c r="G101" s="25"/>
      <c r="H101" s="29" t="str">
        <f aca="false">IF(OR(A101="",E101=""),"",IF(G101="",IFERROR(INDEX(Settings!$F$13:$F$27,MATCH(A101,Settings!$C$13:$C$27,0)),0),G101))</f>
        <v/>
      </c>
      <c r="I101" s="30" t="str">
        <f aca="false">IF(H101="","",ROUND(E101*H101,2))</f>
        <v/>
      </c>
      <c r="J101" s="31" t="str">
        <f aca="false">IF(OR(A101="",B101=""),"",IF(YEAR(B101)=Settings!$C$7,MONTH(B101),""))</f>
        <v/>
      </c>
      <c r="K101" s="31" t="str">
        <f aca="false">IF(AND(A101&lt;&gt;"",A101=Statement!$C$6,J101=Statement!$K$7),COUNTIFS(A$6:A101,Statement!$C$6,J$6:J101,Statement!$K$7),"")</f>
        <v/>
      </c>
    </row>
    <row r="102" customFormat="false" ht="15" hidden="false" customHeight="false" outlineLevel="0" collapsed="false">
      <c r="A102" s="10"/>
      <c r="B102" s="28"/>
      <c r="C102" s="10"/>
      <c r="D102" s="10"/>
      <c r="E102" s="26"/>
      <c r="F102" s="10"/>
      <c r="G102" s="25"/>
      <c r="H102" s="29" t="str">
        <f aca="false">IF(OR(A102="",E102=""),"",IF(G102="",IFERROR(INDEX(Settings!$F$13:$F$27,MATCH(A102,Settings!$C$13:$C$27,0)),0),G102))</f>
        <v/>
      </c>
      <c r="I102" s="30" t="str">
        <f aca="false">IF(H102="","",ROUND(E102*H102,2))</f>
        <v/>
      </c>
      <c r="J102" s="31" t="str">
        <f aca="false">IF(OR(A102="",B102=""),"",IF(YEAR(B102)=Settings!$C$7,MONTH(B102),""))</f>
        <v/>
      </c>
      <c r="K102" s="31" t="str">
        <f aca="false">IF(AND(A102&lt;&gt;"",A102=Statement!$C$6,J102=Statement!$K$7),COUNTIFS(A$6:A102,Statement!$C$6,J$6:J102,Statement!$K$7),"")</f>
        <v/>
      </c>
    </row>
    <row r="103" customFormat="false" ht="15" hidden="false" customHeight="false" outlineLevel="0" collapsed="false">
      <c r="A103" s="10"/>
      <c r="B103" s="28"/>
      <c r="C103" s="10"/>
      <c r="D103" s="10"/>
      <c r="E103" s="26"/>
      <c r="F103" s="10"/>
      <c r="G103" s="25"/>
      <c r="H103" s="29" t="str">
        <f aca="false">IF(OR(A103="",E103=""),"",IF(G103="",IFERROR(INDEX(Settings!$F$13:$F$27,MATCH(A103,Settings!$C$13:$C$27,0)),0),G103))</f>
        <v/>
      </c>
      <c r="I103" s="30" t="str">
        <f aca="false">IF(H103="","",ROUND(E103*H103,2))</f>
        <v/>
      </c>
      <c r="J103" s="31" t="str">
        <f aca="false">IF(OR(A103="",B103=""),"",IF(YEAR(B103)=Settings!$C$7,MONTH(B103),""))</f>
        <v/>
      </c>
      <c r="K103" s="31" t="str">
        <f aca="false">IF(AND(A103&lt;&gt;"",A103=Statement!$C$6,J103=Statement!$K$7),COUNTIFS(A$6:A103,Statement!$C$6,J$6:J103,Statement!$K$7),"")</f>
        <v/>
      </c>
    </row>
    <row r="104" customFormat="false" ht="15" hidden="false" customHeight="false" outlineLevel="0" collapsed="false">
      <c r="A104" s="10"/>
      <c r="B104" s="28"/>
      <c r="C104" s="10"/>
      <c r="D104" s="10"/>
      <c r="E104" s="26"/>
      <c r="F104" s="10"/>
      <c r="G104" s="25"/>
      <c r="H104" s="29" t="str">
        <f aca="false">IF(OR(A104="",E104=""),"",IF(G104="",IFERROR(INDEX(Settings!$F$13:$F$27,MATCH(A104,Settings!$C$13:$C$27,0)),0),G104))</f>
        <v/>
      </c>
      <c r="I104" s="30" t="str">
        <f aca="false">IF(H104="","",ROUND(E104*H104,2))</f>
        <v/>
      </c>
      <c r="J104" s="31" t="str">
        <f aca="false">IF(OR(A104="",B104=""),"",IF(YEAR(B104)=Settings!$C$7,MONTH(B104),""))</f>
        <v/>
      </c>
      <c r="K104" s="31" t="str">
        <f aca="false">IF(AND(A104&lt;&gt;"",A104=Statement!$C$6,J104=Statement!$K$7),COUNTIFS(A$6:A104,Statement!$C$6,J$6:J104,Statement!$K$7),"")</f>
        <v/>
      </c>
    </row>
    <row r="105" customFormat="false" ht="15" hidden="false" customHeight="false" outlineLevel="0" collapsed="false">
      <c r="A105" s="10"/>
      <c r="B105" s="28"/>
      <c r="C105" s="10"/>
      <c r="D105" s="10"/>
      <c r="E105" s="26"/>
      <c r="F105" s="10"/>
      <c r="G105" s="25"/>
      <c r="H105" s="29" t="str">
        <f aca="false">IF(OR(A105="",E105=""),"",IF(G105="",IFERROR(INDEX(Settings!$F$13:$F$27,MATCH(A105,Settings!$C$13:$C$27,0)),0),G105))</f>
        <v/>
      </c>
      <c r="I105" s="30" t="str">
        <f aca="false">IF(H105="","",ROUND(E105*H105,2))</f>
        <v/>
      </c>
      <c r="J105" s="31" t="str">
        <f aca="false">IF(OR(A105="",B105=""),"",IF(YEAR(B105)=Settings!$C$7,MONTH(B105),""))</f>
        <v/>
      </c>
      <c r="K105" s="31" t="str">
        <f aca="false">IF(AND(A105&lt;&gt;"",A105=Statement!$C$6,J105=Statement!$K$7),COUNTIFS(A$6:A105,Statement!$C$6,J$6:J105,Statement!$K$7),"")</f>
        <v/>
      </c>
    </row>
    <row r="106" customFormat="false" ht="15" hidden="false" customHeight="false" outlineLevel="0" collapsed="false">
      <c r="A106" s="10"/>
      <c r="B106" s="28"/>
      <c r="C106" s="10"/>
      <c r="D106" s="10"/>
      <c r="E106" s="26"/>
      <c r="F106" s="10"/>
      <c r="G106" s="25"/>
      <c r="H106" s="29" t="str">
        <f aca="false">IF(OR(A106="",E106=""),"",IF(G106="",IFERROR(INDEX(Settings!$F$13:$F$27,MATCH(A106,Settings!$C$13:$C$27,0)),0),G106))</f>
        <v/>
      </c>
      <c r="I106" s="30" t="str">
        <f aca="false">IF(H106="","",ROUND(E106*H106,2))</f>
        <v/>
      </c>
      <c r="J106" s="31" t="str">
        <f aca="false">IF(OR(A106="",B106=""),"",IF(YEAR(B106)=Settings!$C$7,MONTH(B106),""))</f>
        <v/>
      </c>
      <c r="K106" s="31" t="str">
        <f aca="false">IF(AND(A106&lt;&gt;"",A106=Statement!$C$6,J106=Statement!$K$7),COUNTIFS(A$6:A106,Statement!$C$6,J$6:J106,Statement!$K$7),"")</f>
        <v/>
      </c>
    </row>
    <row r="107" customFormat="false" ht="15" hidden="false" customHeight="false" outlineLevel="0" collapsed="false">
      <c r="A107" s="10"/>
      <c r="B107" s="28"/>
      <c r="C107" s="10"/>
      <c r="D107" s="10"/>
      <c r="E107" s="26"/>
      <c r="F107" s="10"/>
      <c r="G107" s="25"/>
      <c r="H107" s="29" t="str">
        <f aca="false">IF(OR(A107="",E107=""),"",IF(G107="",IFERROR(INDEX(Settings!$F$13:$F$27,MATCH(A107,Settings!$C$13:$C$27,0)),0),G107))</f>
        <v/>
      </c>
      <c r="I107" s="30" t="str">
        <f aca="false">IF(H107="","",ROUND(E107*H107,2))</f>
        <v/>
      </c>
      <c r="J107" s="31" t="str">
        <f aca="false">IF(OR(A107="",B107=""),"",IF(YEAR(B107)=Settings!$C$7,MONTH(B107),""))</f>
        <v/>
      </c>
      <c r="K107" s="31" t="str">
        <f aca="false">IF(AND(A107&lt;&gt;"",A107=Statement!$C$6,J107=Statement!$K$7),COUNTIFS(A$6:A107,Statement!$C$6,J$6:J107,Statement!$K$7),"")</f>
        <v/>
      </c>
    </row>
    <row r="108" customFormat="false" ht="15" hidden="false" customHeight="false" outlineLevel="0" collapsed="false">
      <c r="A108" s="10"/>
      <c r="B108" s="28"/>
      <c r="C108" s="10"/>
      <c r="D108" s="10"/>
      <c r="E108" s="26"/>
      <c r="F108" s="10"/>
      <c r="G108" s="25"/>
      <c r="H108" s="29" t="str">
        <f aca="false">IF(OR(A108="",E108=""),"",IF(G108="",IFERROR(INDEX(Settings!$F$13:$F$27,MATCH(A108,Settings!$C$13:$C$27,0)),0),G108))</f>
        <v/>
      </c>
      <c r="I108" s="30" t="str">
        <f aca="false">IF(H108="","",ROUND(E108*H108,2))</f>
        <v/>
      </c>
      <c r="J108" s="31" t="str">
        <f aca="false">IF(OR(A108="",B108=""),"",IF(YEAR(B108)=Settings!$C$7,MONTH(B108),""))</f>
        <v/>
      </c>
      <c r="K108" s="31" t="str">
        <f aca="false">IF(AND(A108&lt;&gt;"",A108=Statement!$C$6,J108=Statement!$K$7),COUNTIFS(A$6:A108,Statement!$C$6,J$6:J108,Statement!$K$7),"")</f>
        <v/>
      </c>
    </row>
    <row r="109" customFormat="false" ht="15" hidden="false" customHeight="false" outlineLevel="0" collapsed="false">
      <c r="A109" s="10"/>
      <c r="B109" s="28"/>
      <c r="C109" s="10"/>
      <c r="D109" s="10"/>
      <c r="E109" s="26"/>
      <c r="F109" s="10"/>
      <c r="G109" s="25"/>
      <c r="H109" s="29" t="str">
        <f aca="false">IF(OR(A109="",E109=""),"",IF(G109="",IFERROR(INDEX(Settings!$F$13:$F$27,MATCH(A109,Settings!$C$13:$C$27,0)),0),G109))</f>
        <v/>
      </c>
      <c r="I109" s="30" t="str">
        <f aca="false">IF(H109="","",ROUND(E109*H109,2))</f>
        <v/>
      </c>
      <c r="J109" s="31" t="str">
        <f aca="false">IF(OR(A109="",B109=""),"",IF(YEAR(B109)=Settings!$C$7,MONTH(B109),""))</f>
        <v/>
      </c>
      <c r="K109" s="31" t="str">
        <f aca="false">IF(AND(A109&lt;&gt;"",A109=Statement!$C$6,J109=Statement!$K$7),COUNTIFS(A$6:A109,Statement!$C$6,J$6:J109,Statement!$K$7),"")</f>
        <v/>
      </c>
    </row>
    <row r="110" customFormat="false" ht="15" hidden="false" customHeight="false" outlineLevel="0" collapsed="false">
      <c r="A110" s="10"/>
      <c r="B110" s="28"/>
      <c r="C110" s="10"/>
      <c r="D110" s="10"/>
      <c r="E110" s="26"/>
      <c r="F110" s="10"/>
      <c r="G110" s="25"/>
      <c r="H110" s="29" t="str">
        <f aca="false">IF(OR(A110="",E110=""),"",IF(G110="",IFERROR(INDEX(Settings!$F$13:$F$27,MATCH(A110,Settings!$C$13:$C$27,0)),0),G110))</f>
        <v/>
      </c>
      <c r="I110" s="30" t="str">
        <f aca="false">IF(H110="","",ROUND(E110*H110,2))</f>
        <v/>
      </c>
      <c r="J110" s="31" t="str">
        <f aca="false">IF(OR(A110="",B110=""),"",IF(YEAR(B110)=Settings!$C$7,MONTH(B110),""))</f>
        <v/>
      </c>
      <c r="K110" s="31" t="str">
        <f aca="false">IF(AND(A110&lt;&gt;"",A110=Statement!$C$6,J110=Statement!$K$7),COUNTIFS(A$6:A110,Statement!$C$6,J$6:J110,Statement!$K$7),"")</f>
        <v/>
      </c>
    </row>
    <row r="111" customFormat="false" ht="15" hidden="false" customHeight="false" outlineLevel="0" collapsed="false">
      <c r="A111" s="10"/>
      <c r="B111" s="28"/>
      <c r="C111" s="10"/>
      <c r="D111" s="10"/>
      <c r="E111" s="26"/>
      <c r="F111" s="10"/>
      <c r="G111" s="25"/>
      <c r="H111" s="29" t="str">
        <f aca="false">IF(OR(A111="",E111=""),"",IF(G111="",IFERROR(INDEX(Settings!$F$13:$F$27,MATCH(A111,Settings!$C$13:$C$27,0)),0),G111))</f>
        <v/>
      </c>
      <c r="I111" s="30" t="str">
        <f aca="false">IF(H111="","",ROUND(E111*H111,2))</f>
        <v/>
      </c>
      <c r="J111" s="31" t="str">
        <f aca="false">IF(OR(A111="",B111=""),"",IF(YEAR(B111)=Settings!$C$7,MONTH(B111),""))</f>
        <v/>
      </c>
      <c r="K111" s="31" t="str">
        <f aca="false">IF(AND(A111&lt;&gt;"",A111=Statement!$C$6,J111=Statement!$K$7),COUNTIFS(A$6:A111,Statement!$C$6,J$6:J111,Statement!$K$7),"")</f>
        <v/>
      </c>
    </row>
    <row r="112" customFormat="false" ht="15" hidden="false" customHeight="false" outlineLevel="0" collapsed="false">
      <c r="A112" s="10"/>
      <c r="B112" s="28"/>
      <c r="C112" s="10"/>
      <c r="D112" s="10"/>
      <c r="E112" s="26"/>
      <c r="F112" s="10"/>
      <c r="G112" s="25"/>
      <c r="H112" s="29" t="str">
        <f aca="false">IF(OR(A112="",E112=""),"",IF(G112="",IFERROR(INDEX(Settings!$F$13:$F$27,MATCH(A112,Settings!$C$13:$C$27,0)),0),G112))</f>
        <v/>
      </c>
      <c r="I112" s="30" t="str">
        <f aca="false">IF(H112="","",ROUND(E112*H112,2))</f>
        <v/>
      </c>
      <c r="J112" s="31" t="str">
        <f aca="false">IF(OR(A112="",B112=""),"",IF(YEAR(B112)=Settings!$C$7,MONTH(B112),""))</f>
        <v/>
      </c>
      <c r="K112" s="31" t="str">
        <f aca="false">IF(AND(A112&lt;&gt;"",A112=Statement!$C$6,J112=Statement!$K$7),COUNTIFS(A$6:A112,Statement!$C$6,J$6:J112,Statement!$K$7),"")</f>
        <v/>
      </c>
    </row>
    <row r="113" customFormat="false" ht="15" hidden="false" customHeight="false" outlineLevel="0" collapsed="false">
      <c r="A113" s="10"/>
      <c r="B113" s="28"/>
      <c r="C113" s="10"/>
      <c r="D113" s="10"/>
      <c r="E113" s="26"/>
      <c r="F113" s="10"/>
      <c r="G113" s="25"/>
      <c r="H113" s="29" t="str">
        <f aca="false">IF(OR(A113="",E113=""),"",IF(G113="",IFERROR(INDEX(Settings!$F$13:$F$27,MATCH(A113,Settings!$C$13:$C$27,0)),0),G113))</f>
        <v/>
      </c>
      <c r="I113" s="30" t="str">
        <f aca="false">IF(H113="","",ROUND(E113*H113,2))</f>
        <v/>
      </c>
      <c r="J113" s="31" t="str">
        <f aca="false">IF(OR(A113="",B113=""),"",IF(YEAR(B113)=Settings!$C$7,MONTH(B113),""))</f>
        <v/>
      </c>
      <c r="K113" s="31" t="str">
        <f aca="false">IF(AND(A113&lt;&gt;"",A113=Statement!$C$6,J113=Statement!$K$7),COUNTIFS(A$6:A113,Statement!$C$6,J$6:J113,Statement!$K$7),"")</f>
        <v/>
      </c>
    </row>
    <row r="114" customFormat="false" ht="15" hidden="false" customHeight="false" outlineLevel="0" collapsed="false">
      <c r="A114" s="10"/>
      <c r="B114" s="28"/>
      <c r="C114" s="10"/>
      <c r="D114" s="10"/>
      <c r="E114" s="26"/>
      <c r="F114" s="10"/>
      <c r="G114" s="25"/>
      <c r="H114" s="29" t="str">
        <f aca="false">IF(OR(A114="",E114=""),"",IF(G114="",IFERROR(INDEX(Settings!$F$13:$F$27,MATCH(A114,Settings!$C$13:$C$27,0)),0),G114))</f>
        <v/>
      </c>
      <c r="I114" s="30" t="str">
        <f aca="false">IF(H114="","",ROUND(E114*H114,2))</f>
        <v/>
      </c>
      <c r="J114" s="31" t="str">
        <f aca="false">IF(OR(A114="",B114=""),"",IF(YEAR(B114)=Settings!$C$7,MONTH(B114),""))</f>
        <v/>
      </c>
      <c r="K114" s="31" t="str">
        <f aca="false">IF(AND(A114&lt;&gt;"",A114=Statement!$C$6,J114=Statement!$K$7),COUNTIFS(A$6:A114,Statement!$C$6,J$6:J114,Statement!$K$7),"")</f>
        <v/>
      </c>
    </row>
    <row r="115" customFormat="false" ht="15" hidden="false" customHeight="false" outlineLevel="0" collapsed="false">
      <c r="A115" s="10"/>
      <c r="B115" s="28"/>
      <c r="C115" s="10"/>
      <c r="D115" s="10"/>
      <c r="E115" s="26"/>
      <c r="F115" s="10"/>
      <c r="G115" s="25"/>
      <c r="H115" s="29" t="str">
        <f aca="false">IF(OR(A115="",E115=""),"",IF(G115="",IFERROR(INDEX(Settings!$F$13:$F$27,MATCH(A115,Settings!$C$13:$C$27,0)),0),G115))</f>
        <v/>
      </c>
      <c r="I115" s="30" t="str">
        <f aca="false">IF(H115="","",ROUND(E115*H115,2))</f>
        <v/>
      </c>
      <c r="J115" s="31" t="str">
        <f aca="false">IF(OR(A115="",B115=""),"",IF(YEAR(B115)=Settings!$C$7,MONTH(B115),""))</f>
        <v/>
      </c>
      <c r="K115" s="31" t="str">
        <f aca="false">IF(AND(A115&lt;&gt;"",A115=Statement!$C$6,J115=Statement!$K$7),COUNTIFS(A$6:A115,Statement!$C$6,J$6:J115,Statement!$K$7),"")</f>
        <v/>
      </c>
    </row>
    <row r="116" customFormat="false" ht="15" hidden="false" customHeight="false" outlineLevel="0" collapsed="false">
      <c r="A116" s="10"/>
      <c r="B116" s="28"/>
      <c r="C116" s="10"/>
      <c r="D116" s="10"/>
      <c r="E116" s="26"/>
      <c r="F116" s="10"/>
      <c r="G116" s="25"/>
      <c r="H116" s="29" t="str">
        <f aca="false">IF(OR(A116="",E116=""),"",IF(G116="",IFERROR(INDEX(Settings!$F$13:$F$27,MATCH(A116,Settings!$C$13:$C$27,0)),0),G116))</f>
        <v/>
      </c>
      <c r="I116" s="30" t="str">
        <f aca="false">IF(H116="","",ROUND(E116*H116,2))</f>
        <v/>
      </c>
      <c r="J116" s="31" t="str">
        <f aca="false">IF(OR(A116="",B116=""),"",IF(YEAR(B116)=Settings!$C$7,MONTH(B116),""))</f>
        <v/>
      </c>
      <c r="K116" s="31" t="str">
        <f aca="false">IF(AND(A116&lt;&gt;"",A116=Statement!$C$6,J116=Statement!$K$7),COUNTIFS(A$6:A116,Statement!$C$6,J$6:J116,Statement!$K$7),"")</f>
        <v/>
      </c>
    </row>
    <row r="117" customFormat="false" ht="15" hidden="false" customHeight="false" outlineLevel="0" collapsed="false">
      <c r="A117" s="10"/>
      <c r="B117" s="28"/>
      <c r="C117" s="10"/>
      <c r="D117" s="10"/>
      <c r="E117" s="26"/>
      <c r="F117" s="10"/>
      <c r="G117" s="25"/>
      <c r="H117" s="29" t="str">
        <f aca="false">IF(OR(A117="",E117=""),"",IF(G117="",IFERROR(INDEX(Settings!$F$13:$F$27,MATCH(A117,Settings!$C$13:$C$27,0)),0),G117))</f>
        <v/>
      </c>
      <c r="I117" s="30" t="str">
        <f aca="false">IF(H117="","",ROUND(E117*H117,2))</f>
        <v/>
      </c>
      <c r="J117" s="31" t="str">
        <f aca="false">IF(OR(A117="",B117=""),"",IF(YEAR(B117)=Settings!$C$7,MONTH(B117),""))</f>
        <v/>
      </c>
      <c r="K117" s="31" t="str">
        <f aca="false">IF(AND(A117&lt;&gt;"",A117=Statement!$C$6,J117=Statement!$K$7),COUNTIFS(A$6:A117,Statement!$C$6,J$6:J117,Statement!$K$7),"")</f>
        <v/>
      </c>
    </row>
    <row r="118" customFormat="false" ht="15" hidden="false" customHeight="false" outlineLevel="0" collapsed="false">
      <c r="A118" s="10"/>
      <c r="B118" s="28"/>
      <c r="C118" s="10"/>
      <c r="D118" s="10"/>
      <c r="E118" s="26"/>
      <c r="F118" s="10"/>
      <c r="G118" s="25"/>
      <c r="H118" s="29" t="str">
        <f aca="false">IF(OR(A118="",E118=""),"",IF(G118="",IFERROR(INDEX(Settings!$F$13:$F$27,MATCH(A118,Settings!$C$13:$C$27,0)),0),G118))</f>
        <v/>
      </c>
      <c r="I118" s="30" t="str">
        <f aca="false">IF(H118="","",ROUND(E118*H118,2))</f>
        <v/>
      </c>
      <c r="J118" s="31" t="str">
        <f aca="false">IF(OR(A118="",B118=""),"",IF(YEAR(B118)=Settings!$C$7,MONTH(B118),""))</f>
        <v/>
      </c>
      <c r="K118" s="31" t="str">
        <f aca="false">IF(AND(A118&lt;&gt;"",A118=Statement!$C$6,J118=Statement!$K$7),COUNTIFS(A$6:A118,Statement!$C$6,J$6:J118,Statement!$K$7),"")</f>
        <v/>
      </c>
    </row>
    <row r="119" customFormat="false" ht="15" hidden="false" customHeight="false" outlineLevel="0" collapsed="false">
      <c r="A119" s="10"/>
      <c r="B119" s="28"/>
      <c r="C119" s="10"/>
      <c r="D119" s="10"/>
      <c r="E119" s="26"/>
      <c r="F119" s="10"/>
      <c r="G119" s="25"/>
      <c r="H119" s="29" t="str">
        <f aca="false">IF(OR(A119="",E119=""),"",IF(G119="",IFERROR(INDEX(Settings!$F$13:$F$27,MATCH(A119,Settings!$C$13:$C$27,0)),0),G119))</f>
        <v/>
      </c>
      <c r="I119" s="30" t="str">
        <f aca="false">IF(H119="","",ROUND(E119*H119,2))</f>
        <v/>
      </c>
      <c r="J119" s="31" t="str">
        <f aca="false">IF(OR(A119="",B119=""),"",IF(YEAR(B119)=Settings!$C$7,MONTH(B119),""))</f>
        <v/>
      </c>
      <c r="K119" s="31" t="str">
        <f aca="false">IF(AND(A119&lt;&gt;"",A119=Statement!$C$6,J119=Statement!$K$7),COUNTIFS(A$6:A119,Statement!$C$6,J$6:J119,Statement!$K$7),"")</f>
        <v/>
      </c>
    </row>
    <row r="120" customFormat="false" ht="15" hidden="false" customHeight="false" outlineLevel="0" collapsed="false">
      <c r="A120" s="10"/>
      <c r="B120" s="28"/>
      <c r="C120" s="10"/>
      <c r="D120" s="10"/>
      <c r="E120" s="26"/>
      <c r="F120" s="10"/>
      <c r="G120" s="25"/>
      <c r="H120" s="29" t="str">
        <f aca="false">IF(OR(A120="",E120=""),"",IF(G120="",IFERROR(INDEX(Settings!$F$13:$F$27,MATCH(A120,Settings!$C$13:$C$27,0)),0),G120))</f>
        <v/>
      </c>
      <c r="I120" s="30" t="str">
        <f aca="false">IF(H120="","",ROUND(E120*H120,2))</f>
        <v/>
      </c>
      <c r="J120" s="31" t="str">
        <f aca="false">IF(OR(A120="",B120=""),"",IF(YEAR(B120)=Settings!$C$7,MONTH(B120),""))</f>
        <v/>
      </c>
      <c r="K120" s="31" t="str">
        <f aca="false">IF(AND(A120&lt;&gt;"",A120=Statement!$C$6,J120=Statement!$K$7),COUNTIFS(A$6:A120,Statement!$C$6,J$6:J120,Statement!$K$7),"")</f>
        <v/>
      </c>
    </row>
    <row r="121" customFormat="false" ht="15" hidden="false" customHeight="false" outlineLevel="0" collapsed="false">
      <c r="A121" s="10"/>
      <c r="B121" s="28"/>
      <c r="C121" s="10"/>
      <c r="D121" s="10"/>
      <c r="E121" s="26"/>
      <c r="F121" s="10"/>
      <c r="G121" s="25"/>
      <c r="H121" s="29" t="str">
        <f aca="false">IF(OR(A121="",E121=""),"",IF(G121="",IFERROR(INDEX(Settings!$F$13:$F$27,MATCH(A121,Settings!$C$13:$C$27,0)),0),G121))</f>
        <v/>
      </c>
      <c r="I121" s="30" t="str">
        <f aca="false">IF(H121="","",ROUND(E121*H121,2))</f>
        <v/>
      </c>
      <c r="J121" s="31" t="str">
        <f aca="false">IF(OR(A121="",B121=""),"",IF(YEAR(B121)=Settings!$C$7,MONTH(B121),""))</f>
        <v/>
      </c>
      <c r="K121" s="31" t="str">
        <f aca="false">IF(AND(A121&lt;&gt;"",A121=Statement!$C$6,J121=Statement!$K$7),COUNTIFS(A$6:A121,Statement!$C$6,J$6:J121,Statement!$K$7),"")</f>
        <v/>
      </c>
    </row>
    <row r="122" customFormat="false" ht="15" hidden="false" customHeight="false" outlineLevel="0" collapsed="false">
      <c r="A122" s="10"/>
      <c r="B122" s="28"/>
      <c r="C122" s="10"/>
      <c r="D122" s="10"/>
      <c r="E122" s="26"/>
      <c r="F122" s="10"/>
      <c r="G122" s="25"/>
      <c r="H122" s="29" t="str">
        <f aca="false">IF(OR(A122="",E122=""),"",IF(G122="",IFERROR(INDEX(Settings!$F$13:$F$27,MATCH(A122,Settings!$C$13:$C$27,0)),0),G122))</f>
        <v/>
      </c>
      <c r="I122" s="30" t="str">
        <f aca="false">IF(H122="","",ROUND(E122*H122,2))</f>
        <v/>
      </c>
      <c r="J122" s="31" t="str">
        <f aca="false">IF(OR(A122="",B122=""),"",IF(YEAR(B122)=Settings!$C$7,MONTH(B122),""))</f>
        <v/>
      </c>
      <c r="K122" s="31" t="str">
        <f aca="false">IF(AND(A122&lt;&gt;"",A122=Statement!$C$6,J122=Statement!$K$7),COUNTIFS(A$6:A122,Statement!$C$6,J$6:J122,Statement!$K$7),"")</f>
        <v/>
      </c>
    </row>
    <row r="123" customFormat="false" ht="15" hidden="false" customHeight="false" outlineLevel="0" collapsed="false">
      <c r="A123" s="10"/>
      <c r="B123" s="28"/>
      <c r="C123" s="10"/>
      <c r="D123" s="10"/>
      <c r="E123" s="26"/>
      <c r="F123" s="10"/>
      <c r="G123" s="25"/>
      <c r="H123" s="29" t="str">
        <f aca="false">IF(OR(A123="",E123=""),"",IF(G123="",IFERROR(INDEX(Settings!$F$13:$F$27,MATCH(A123,Settings!$C$13:$C$27,0)),0),G123))</f>
        <v/>
      </c>
      <c r="I123" s="30" t="str">
        <f aca="false">IF(H123="","",ROUND(E123*H123,2))</f>
        <v/>
      </c>
      <c r="J123" s="31" t="str">
        <f aca="false">IF(OR(A123="",B123=""),"",IF(YEAR(B123)=Settings!$C$7,MONTH(B123),""))</f>
        <v/>
      </c>
      <c r="K123" s="31" t="str">
        <f aca="false">IF(AND(A123&lt;&gt;"",A123=Statement!$C$6,J123=Statement!$K$7),COUNTIFS(A$6:A123,Statement!$C$6,J$6:J123,Statement!$K$7),"")</f>
        <v/>
      </c>
    </row>
    <row r="124" customFormat="false" ht="15" hidden="false" customHeight="false" outlineLevel="0" collapsed="false">
      <c r="A124" s="10"/>
      <c r="B124" s="28"/>
      <c r="C124" s="10"/>
      <c r="D124" s="10"/>
      <c r="E124" s="26"/>
      <c r="F124" s="10"/>
      <c r="G124" s="25"/>
      <c r="H124" s="29" t="str">
        <f aca="false">IF(OR(A124="",E124=""),"",IF(G124="",IFERROR(INDEX(Settings!$F$13:$F$27,MATCH(A124,Settings!$C$13:$C$27,0)),0),G124))</f>
        <v/>
      </c>
      <c r="I124" s="30" t="str">
        <f aca="false">IF(H124="","",ROUND(E124*H124,2))</f>
        <v/>
      </c>
      <c r="J124" s="31" t="str">
        <f aca="false">IF(OR(A124="",B124=""),"",IF(YEAR(B124)=Settings!$C$7,MONTH(B124),""))</f>
        <v/>
      </c>
      <c r="K124" s="31" t="str">
        <f aca="false">IF(AND(A124&lt;&gt;"",A124=Statement!$C$6,J124=Statement!$K$7),COUNTIFS(A$6:A124,Statement!$C$6,J$6:J124,Statement!$K$7),"")</f>
        <v/>
      </c>
    </row>
    <row r="125" customFormat="false" ht="15" hidden="false" customHeight="false" outlineLevel="0" collapsed="false">
      <c r="A125" s="10"/>
      <c r="B125" s="28"/>
      <c r="C125" s="10"/>
      <c r="D125" s="10"/>
      <c r="E125" s="26"/>
      <c r="F125" s="10"/>
      <c r="G125" s="25"/>
      <c r="H125" s="29" t="str">
        <f aca="false">IF(OR(A125="",E125=""),"",IF(G125="",IFERROR(INDEX(Settings!$F$13:$F$27,MATCH(A125,Settings!$C$13:$C$27,0)),0),G125))</f>
        <v/>
      </c>
      <c r="I125" s="30" t="str">
        <f aca="false">IF(H125="","",ROUND(E125*H125,2))</f>
        <v/>
      </c>
      <c r="J125" s="31" t="str">
        <f aca="false">IF(OR(A125="",B125=""),"",IF(YEAR(B125)=Settings!$C$7,MONTH(B125),""))</f>
        <v/>
      </c>
      <c r="K125" s="31" t="str">
        <f aca="false">IF(AND(A125&lt;&gt;"",A125=Statement!$C$6,J125=Statement!$K$7),COUNTIFS(A$6:A125,Statement!$C$6,J$6:J125,Statement!$K$7),"")</f>
        <v/>
      </c>
    </row>
    <row r="126" customFormat="false" ht="15" hidden="false" customHeight="false" outlineLevel="0" collapsed="false">
      <c r="A126" s="10"/>
      <c r="B126" s="28"/>
      <c r="C126" s="10"/>
      <c r="D126" s="10"/>
      <c r="E126" s="26"/>
      <c r="F126" s="10"/>
      <c r="G126" s="25"/>
      <c r="H126" s="29" t="str">
        <f aca="false">IF(OR(A126="",E126=""),"",IF(G126="",IFERROR(INDEX(Settings!$F$13:$F$27,MATCH(A126,Settings!$C$13:$C$27,0)),0),G126))</f>
        <v/>
      </c>
      <c r="I126" s="30" t="str">
        <f aca="false">IF(H126="","",ROUND(E126*H126,2))</f>
        <v/>
      </c>
      <c r="J126" s="31" t="str">
        <f aca="false">IF(OR(A126="",B126=""),"",IF(YEAR(B126)=Settings!$C$7,MONTH(B126),""))</f>
        <v/>
      </c>
      <c r="K126" s="31" t="str">
        <f aca="false">IF(AND(A126&lt;&gt;"",A126=Statement!$C$6,J126=Statement!$K$7),COUNTIFS(A$6:A126,Statement!$C$6,J$6:J126,Statement!$K$7),"")</f>
        <v/>
      </c>
    </row>
    <row r="127" customFormat="false" ht="15" hidden="false" customHeight="false" outlineLevel="0" collapsed="false">
      <c r="A127" s="10"/>
      <c r="B127" s="28"/>
      <c r="C127" s="10"/>
      <c r="D127" s="10"/>
      <c r="E127" s="26"/>
      <c r="F127" s="10"/>
      <c r="G127" s="25"/>
      <c r="H127" s="29" t="str">
        <f aca="false">IF(OR(A127="",E127=""),"",IF(G127="",IFERROR(INDEX(Settings!$F$13:$F$27,MATCH(A127,Settings!$C$13:$C$27,0)),0),G127))</f>
        <v/>
      </c>
      <c r="I127" s="30" t="str">
        <f aca="false">IF(H127="","",ROUND(E127*H127,2))</f>
        <v/>
      </c>
      <c r="J127" s="31" t="str">
        <f aca="false">IF(OR(A127="",B127=""),"",IF(YEAR(B127)=Settings!$C$7,MONTH(B127),""))</f>
        <v/>
      </c>
      <c r="K127" s="31" t="str">
        <f aca="false">IF(AND(A127&lt;&gt;"",A127=Statement!$C$6,J127=Statement!$K$7),COUNTIFS(A$6:A127,Statement!$C$6,J$6:J127,Statement!$K$7),"")</f>
        <v/>
      </c>
    </row>
    <row r="128" customFormat="false" ht="15" hidden="false" customHeight="false" outlineLevel="0" collapsed="false">
      <c r="A128" s="10"/>
      <c r="B128" s="28"/>
      <c r="C128" s="10"/>
      <c r="D128" s="10"/>
      <c r="E128" s="26"/>
      <c r="F128" s="10"/>
      <c r="G128" s="25"/>
      <c r="H128" s="29" t="str">
        <f aca="false">IF(OR(A128="",E128=""),"",IF(G128="",IFERROR(INDEX(Settings!$F$13:$F$27,MATCH(A128,Settings!$C$13:$C$27,0)),0),G128))</f>
        <v/>
      </c>
      <c r="I128" s="30" t="str">
        <f aca="false">IF(H128="","",ROUND(E128*H128,2))</f>
        <v/>
      </c>
      <c r="J128" s="31" t="str">
        <f aca="false">IF(OR(A128="",B128=""),"",IF(YEAR(B128)=Settings!$C$7,MONTH(B128),""))</f>
        <v/>
      </c>
      <c r="K128" s="31" t="str">
        <f aca="false">IF(AND(A128&lt;&gt;"",A128=Statement!$C$6,J128=Statement!$K$7),COUNTIFS(A$6:A128,Statement!$C$6,J$6:J128,Statement!$K$7),"")</f>
        <v/>
      </c>
    </row>
    <row r="129" customFormat="false" ht="15" hidden="false" customHeight="false" outlineLevel="0" collapsed="false">
      <c r="A129" s="10"/>
      <c r="B129" s="28"/>
      <c r="C129" s="10"/>
      <c r="D129" s="10"/>
      <c r="E129" s="26"/>
      <c r="F129" s="10"/>
      <c r="G129" s="25"/>
      <c r="H129" s="29" t="str">
        <f aca="false">IF(OR(A129="",E129=""),"",IF(G129="",IFERROR(INDEX(Settings!$F$13:$F$27,MATCH(A129,Settings!$C$13:$C$27,0)),0),G129))</f>
        <v/>
      </c>
      <c r="I129" s="30" t="str">
        <f aca="false">IF(H129="","",ROUND(E129*H129,2))</f>
        <v/>
      </c>
      <c r="J129" s="31" t="str">
        <f aca="false">IF(OR(A129="",B129=""),"",IF(YEAR(B129)=Settings!$C$7,MONTH(B129),""))</f>
        <v/>
      </c>
      <c r="K129" s="31" t="str">
        <f aca="false">IF(AND(A129&lt;&gt;"",A129=Statement!$C$6,J129=Statement!$K$7),COUNTIFS(A$6:A129,Statement!$C$6,J$6:J129,Statement!$K$7),"")</f>
        <v/>
      </c>
    </row>
    <row r="130" customFormat="false" ht="15" hidden="false" customHeight="false" outlineLevel="0" collapsed="false">
      <c r="A130" s="10"/>
      <c r="B130" s="28"/>
      <c r="C130" s="10"/>
      <c r="D130" s="10"/>
      <c r="E130" s="26"/>
      <c r="F130" s="10"/>
      <c r="G130" s="25"/>
      <c r="H130" s="29" t="str">
        <f aca="false">IF(OR(A130="",E130=""),"",IF(G130="",IFERROR(INDEX(Settings!$F$13:$F$27,MATCH(A130,Settings!$C$13:$C$27,0)),0),G130))</f>
        <v/>
      </c>
      <c r="I130" s="30" t="str">
        <f aca="false">IF(H130="","",ROUND(E130*H130,2))</f>
        <v/>
      </c>
      <c r="J130" s="31" t="str">
        <f aca="false">IF(OR(A130="",B130=""),"",IF(YEAR(B130)=Settings!$C$7,MONTH(B130),""))</f>
        <v/>
      </c>
      <c r="K130" s="31" t="str">
        <f aca="false">IF(AND(A130&lt;&gt;"",A130=Statement!$C$6,J130=Statement!$K$7),COUNTIFS(A$6:A130,Statement!$C$6,J$6:J130,Statement!$K$7),"")</f>
        <v/>
      </c>
    </row>
    <row r="131" customFormat="false" ht="15" hidden="false" customHeight="false" outlineLevel="0" collapsed="false">
      <c r="A131" s="10"/>
      <c r="B131" s="28"/>
      <c r="C131" s="10"/>
      <c r="D131" s="10"/>
      <c r="E131" s="26"/>
      <c r="F131" s="10"/>
      <c r="G131" s="25"/>
      <c r="H131" s="29" t="str">
        <f aca="false">IF(OR(A131="",E131=""),"",IF(G131="",IFERROR(INDEX(Settings!$F$13:$F$27,MATCH(A131,Settings!$C$13:$C$27,0)),0),G131))</f>
        <v/>
      </c>
      <c r="I131" s="30" t="str">
        <f aca="false">IF(H131="","",ROUND(E131*H131,2))</f>
        <v/>
      </c>
      <c r="J131" s="31" t="str">
        <f aca="false">IF(OR(A131="",B131=""),"",IF(YEAR(B131)=Settings!$C$7,MONTH(B131),""))</f>
        <v/>
      </c>
      <c r="K131" s="31" t="str">
        <f aca="false">IF(AND(A131&lt;&gt;"",A131=Statement!$C$6,J131=Statement!$K$7),COUNTIFS(A$6:A131,Statement!$C$6,J$6:J131,Statement!$K$7),"")</f>
        <v/>
      </c>
    </row>
    <row r="132" customFormat="false" ht="15" hidden="false" customHeight="false" outlineLevel="0" collapsed="false">
      <c r="A132" s="10"/>
      <c r="B132" s="28"/>
      <c r="C132" s="10"/>
      <c r="D132" s="10"/>
      <c r="E132" s="26"/>
      <c r="F132" s="10"/>
      <c r="G132" s="25"/>
      <c r="H132" s="29" t="str">
        <f aca="false">IF(OR(A132="",E132=""),"",IF(G132="",IFERROR(INDEX(Settings!$F$13:$F$27,MATCH(A132,Settings!$C$13:$C$27,0)),0),G132))</f>
        <v/>
      </c>
      <c r="I132" s="30" t="str">
        <f aca="false">IF(H132="","",ROUND(E132*H132,2))</f>
        <v/>
      </c>
      <c r="J132" s="31" t="str">
        <f aca="false">IF(OR(A132="",B132=""),"",IF(YEAR(B132)=Settings!$C$7,MONTH(B132),""))</f>
        <v/>
      </c>
      <c r="K132" s="31" t="str">
        <f aca="false">IF(AND(A132&lt;&gt;"",A132=Statement!$C$6,J132=Statement!$K$7),COUNTIFS(A$6:A132,Statement!$C$6,J$6:J132,Statement!$K$7),"")</f>
        <v/>
      </c>
    </row>
    <row r="133" customFormat="false" ht="15" hidden="false" customHeight="false" outlineLevel="0" collapsed="false">
      <c r="A133" s="10"/>
      <c r="B133" s="28"/>
      <c r="C133" s="10"/>
      <c r="D133" s="10"/>
      <c r="E133" s="26"/>
      <c r="F133" s="10"/>
      <c r="G133" s="25"/>
      <c r="H133" s="29" t="str">
        <f aca="false">IF(OR(A133="",E133=""),"",IF(G133="",IFERROR(INDEX(Settings!$F$13:$F$27,MATCH(A133,Settings!$C$13:$C$27,0)),0),G133))</f>
        <v/>
      </c>
      <c r="I133" s="30" t="str">
        <f aca="false">IF(H133="","",ROUND(E133*H133,2))</f>
        <v/>
      </c>
      <c r="J133" s="31" t="str">
        <f aca="false">IF(OR(A133="",B133=""),"",IF(YEAR(B133)=Settings!$C$7,MONTH(B133),""))</f>
        <v/>
      </c>
      <c r="K133" s="31" t="str">
        <f aca="false">IF(AND(A133&lt;&gt;"",A133=Statement!$C$6,J133=Statement!$K$7),COUNTIFS(A$6:A133,Statement!$C$6,J$6:J133,Statement!$K$7),"")</f>
        <v/>
      </c>
    </row>
    <row r="134" customFormat="false" ht="15" hidden="false" customHeight="false" outlineLevel="0" collapsed="false">
      <c r="A134" s="10"/>
      <c r="B134" s="28"/>
      <c r="C134" s="10"/>
      <c r="D134" s="10"/>
      <c r="E134" s="26"/>
      <c r="F134" s="10"/>
      <c r="G134" s="25"/>
      <c r="H134" s="29" t="str">
        <f aca="false">IF(OR(A134="",E134=""),"",IF(G134="",IFERROR(INDEX(Settings!$F$13:$F$27,MATCH(A134,Settings!$C$13:$C$27,0)),0),G134))</f>
        <v/>
      </c>
      <c r="I134" s="30" t="str">
        <f aca="false">IF(H134="","",ROUND(E134*H134,2))</f>
        <v/>
      </c>
      <c r="J134" s="31" t="str">
        <f aca="false">IF(OR(A134="",B134=""),"",IF(YEAR(B134)=Settings!$C$7,MONTH(B134),""))</f>
        <v/>
      </c>
      <c r="K134" s="31" t="str">
        <f aca="false">IF(AND(A134&lt;&gt;"",A134=Statement!$C$6,J134=Statement!$K$7),COUNTIFS(A$6:A134,Statement!$C$6,J$6:J134,Statement!$K$7),"")</f>
        <v/>
      </c>
    </row>
    <row r="135" customFormat="false" ht="15" hidden="false" customHeight="false" outlineLevel="0" collapsed="false">
      <c r="A135" s="10"/>
      <c r="B135" s="28"/>
      <c r="C135" s="10"/>
      <c r="D135" s="10"/>
      <c r="E135" s="26"/>
      <c r="F135" s="10"/>
      <c r="G135" s="25"/>
      <c r="H135" s="29" t="str">
        <f aca="false">IF(OR(A135="",E135=""),"",IF(G135="",IFERROR(INDEX(Settings!$F$13:$F$27,MATCH(A135,Settings!$C$13:$C$27,0)),0),G135))</f>
        <v/>
      </c>
      <c r="I135" s="30" t="str">
        <f aca="false">IF(H135="","",ROUND(E135*H135,2))</f>
        <v/>
      </c>
      <c r="J135" s="31" t="str">
        <f aca="false">IF(OR(A135="",B135=""),"",IF(YEAR(B135)=Settings!$C$7,MONTH(B135),""))</f>
        <v/>
      </c>
      <c r="K135" s="31" t="str">
        <f aca="false">IF(AND(A135&lt;&gt;"",A135=Statement!$C$6,J135=Statement!$K$7),COUNTIFS(A$6:A135,Statement!$C$6,J$6:J135,Statement!$K$7),"")</f>
        <v/>
      </c>
    </row>
    <row r="136" customFormat="false" ht="15" hidden="false" customHeight="false" outlineLevel="0" collapsed="false">
      <c r="A136" s="10"/>
      <c r="B136" s="28"/>
      <c r="C136" s="10"/>
      <c r="D136" s="10"/>
      <c r="E136" s="26"/>
      <c r="F136" s="10"/>
      <c r="G136" s="25"/>
      <c r="H136" s="29" t="str">
        <f aca="false">IF(OR(A136="",E136=""),"",IF(G136="",IFERROR(INDEX(Settings!$F$13:$F$27,MATCH(A136,Settings!$C$13:$C$27,0)),0),G136))</f>
        <v/>
      </c>
      <c r="I136" s="30" t="str">
        <f aca="false">IF(H136="","",ROUND(E136*H136,2))</f>
        <v/>
      </c>
      <c r="J136" s="31" t="str">
        <f aca="false">IF(OR(A136="",B136=""),"",IF(YEAR(B136)=Settings!$C$7,MONTH(B136),""))</f>
        <v/>
      </c>
      <c r="K136" s="31" t="str">
        <f aca="false">IF(AND(A136&lt;&gt;"",A136=Statement!$C$6,J136=Statement!$K$7),COUNTIFS(A$6:A136,Statement!$C$6,J$6:J136,Statement!$K$7),"")</f>
        <v/>
      </c>
    </row>
    <row r="137" customFormat="false" ht="15" hidden="false" customHeight="false" outlineLevel="0" collapsed="false">
      <c r="A137" s="10"/>
      <c r="B137" s="28"/>
      <c r="C137" s="10"/>
      <c r="D137" s="10"/>
      <c r="E137" s="26"/>
      <c r="F137" s="10"/>
      <c r="G137" s="25"/>
      <c r="H137" s="29" t="str">
        <f aca="false">IF(OR(A137="",E137=""),"",IF(G137="",IFERROR(INDEX(Settings!$F$13:$F$27,MATCH(A137,Settings!$C$13:$C$27,0)),0),G137))</f>
        <v/>
      </c>
      <c r="I137" s="30" t="str">
        <f aca="false">IF(H137="","",ROUND(E137*H137,2))</f>
        <v/>
      </c>
      <c r="J137" s="31" t="str">
        <f aca="false">IF(OR(A137="",B137=""),"",IF(YEAR(B137)=Settings!$C$7,MONTH(B137),""))</f>
        <v/>
      </c>
      <c r="K137" s="31" t="str">
        <f aca="false">IF(AND(A137&lt;&gt;"",A137=Statement!$C$6,J137=Statement!$K$7),COUNTIFS(A$6:A137,Statement!$C$6,J$6:J137,Statement!$K$7),"")</f>
        <v/>
      </c>
    </row>
    <row r="138" customFormat="false" ht="15" hidden="false" customHeight="false" outlineLevel="0" collapsed="false">
      <c r="A138" s="10"/>
      <c r="B138" s="28"/>
      <c r="C138" s="10"/>
      <c r="D138" s="10"/>
      <c r="E138" s="26"/>
      <c r="F138" s="10"/>
      <c r="G138" s="25"/>
      <c r="H138" s="29" t="str">
        <f aca="false">IF(OR(A138="",E138=""),"",IF(G138="",IFERROR(INDEX(Settings!$F$13:$F$27,MATCH(A138,Settings!$C$13:$C$27,0)),0),G138))</f>
        <v/>
      </c>
      <c r="I138" s="30" t="str">
        <f aca="false">IF(H138="","",ROUND(E138*H138,2))</f>
        <v/>
      </c>
      <c r="J138" s="31" t="str">
        <f aca="false">IF(OR(A138="",B138=""),"",IF(YEAR(B138)=Settings!$C$7,MONTH(B138),""))</f>
        <v/>
      </c>
      <c r="K138" s="31" t="str">
        <f aca="false">IF(AND(A138&lt;&gt;"",A138=Statement!$C$6,J138=Statement!$K$7),COUNTIFS(A$6:A138,Statement!$C$6,J$6:J138,Statement!$K$7),"")</f>
        <v/>
      </c>
    </row>
    <row r="139" customFormat="false" ht="15" hidden="false" customHeight="false" outlineLevel="0" collapsed="false">
      <c r="A139" s="10"/>
      <c r="B139" s="28"/>
      <c r="C139" s="10"/>
      <c r="D139" s="10"/>
      <c r="E139" s="26"/>
      <c r="F139" s="10"/>
      <c r="G139" s="25"/>
      <c r="H139" s="29" t="str">
        <f aca="false">IF(OR(A139="",E139=""),"",IF(G139="",IFERROR(INDEX(Settings!$F$13:$F$27,MATCH(A139,Settings!$C$13:$C$27,0)),0),G139))</f>
        <v/>
      </c>
      <c r="I139" s="30" t="str">
        <f aca="false">IF(H139="","",ROUND(E139*H139,2))</f>
        <v/>
      </c>
      <c r="J139" s="31" t="str">
        <f aca="false">IF(OR(A139="",B139=""),"",IF(YEAR(B139)=Settings!$C$7,MONTH(B139),""))</f>
        <v/>
      </c>
      <c r="K139" s="31" t="str">
        <f aca="false">IF(AND(A139&lt;&gt;"",A139=Statement!$C$6,J139=Statement!$K$7),COUNTIFS(A$6:A139,Statement!$C$6,J$6:J139,Statement!$K$7),"")</f>
        <v/>
      </c>
    </row>
    <row r="140" customFormat="false" ht="15" hidden="false" customHeight="false" outlineLevel="0" collapsed="false">
      <c r="A140" s="10"/>
      <c r="B140" s="28"/>
      <c r="C140" s="10"/>
      <c r="D140" s="10"/>
      <c r="E140" s="26"/>
      <c r="F140" s="10"/>
      <c r="G140" s="25"/>
      <c r="H140" s="29" t="str">
        <f aca="false">IF(OR(A140="",E140=""),"",IF(G140="",IFERROR(INDEX(Settings!$F$13:$F$27,MATCH(A140,Settings!$C$13:$C$27,0)),0),G140))</f>
        <v/>
      </c>
      <c r="I140" s="30" t="str">
        <f aca="false">IF(H140="","",ROUND(E140*H140,2))</f>
        <v/>
      </c>
      <c r="J140" s="31" t="str">
        <f aca="false">IF(OR(A140="",B140=""),"",IF(YEAR(B140)=Settings!$C$7,MONTH(B140),""))</f>
        <v/>
      </c>
      <c r="K140" s="31" t="str">
        <f aca="false">IF(AND(A140&lt;&gt;"",A140=Statement!$C$6,J140=Statement!$K$7),COUNTIFS(A$6:A140,Statement!$C$6,J$6:J140,Statement!$K$7),"")</f>
        <v/>
      </c>
    </row>
    <row r="141" customFormat="false" ht="15" hidden="false" customHeight="false" outlineLevel="0" collapsed="false">
      <c r="A141" s="10"/>
      <c r="B141" s="28"/>
      <c r="C141" s="10"/>
      <c r="D141" s="10"/>
      <c r="E141" s="26"/>
      <c r="F141" s="10"/>
      <c r="G141" s="25"/>
      <c r="H141" s="29" t="str">
        <f aca="false">IF(OR(A141="",E141=""),"",IF(G141="",IFERROR(INDEX(Settings!$F$13:$F$27,MATCH(A141,Settings!$C$13:$C$27,0)),0),G141))</f>
        <v/>
      </c>
      <c r="I141" s="30" t="str">
        <f aca="false">IF(H141="","",ROUND(E141*H141,2))</f>
        <v/>
      </c>
      <c r="J141" s="31" t="str">
        <f aca="false">IF(OR(A141="",B141=""),"",IF(YEAR(B141)=Settings!$C$7,MONTH(B141),""))</f>
        <v/>
      </c>
      <c r="K141" s="31" t="str">
        <f aca="false">IF(AND(A141&lt;&gt;"",A141=Statement!$C$6,J141=Statement!$K$7),COUNTIFS(A$6:A141,Statement!$C$6,J$6:J141,Statement!$K$7),"")</f>
        <v/>
      </c>
    </row>
    <row r="142" customFormat="false" ht="15" hidden="false" customHeight="false" outlineLevel="0" collapsed="false">
      <c r="A142" s="10"/>
      <c r="B142" s="28"/>
      <c r="C142" s="10"/>
      <c r="D142" s="10"/>
      <c r="E142" s="26"/>
      <c r="F142" s="10"/>
      <c r="G142" s="25"/>
      <c r="H142" s="29" t="str">
        <f aca="false">IF(OR(A142="",E142=""),"",IF(G142="",IFERROR(INDEX(Settings!$F$13:$F$27,MATCH(A142,Settings!$C$13:$C$27,0)),0),G142))</f>
        <v/>
      </c>
      <c r="I142" s="30" t="str">
        <f aca="false">IF(H142="","",ROUND(E142*H142,2))</f>
        <v/>
      </c>
      <c r="J142" s="31" t="str">
        <f aca="false">IF(OR(A142="",B142=""),"",IF(YEAR(B142)=Settings!$C$7,MONTH(B142),""))</f>
        <v/>
      </c>
      <c r="K142" s="31" t="str">
        <f aca="false">IF(AND(A142&lt;&gt;"",A142=Statement!$C$6,J142=Statement!$K$7),COUNTIFS(A$6:A142,Statement!$C$6,J$6:J142,Statement!$K$7),"")</f>
        <v/>
      </c>
    </row>
    <row r="143" customFormat="false" ht="15" hidden="false" customHeight="false" outlineLevel="0" collapsed="false">
      <c r="A143" s="10"/>
      <c r="B143" s="28"/>
      <c r="C143" s="10"/>
      <c r="D143" s="10"/>
      <c r="E143" s="26"/>
      <c r="F143" s="10"/>
      <c r="G143" s="25"/>
      <c r="H143" s="29" t="str">
        <f aca="false">IF(OR(A143="",E143=""),"",IF(G143="",IFERROR(INDEX(Settings!$F$13:$F$27,MATCH(A143,Settings!$C$13:$C$27,0)),0),G143))</f>
        <v/>
      </c>
      <c r="I143" s="30" t="str">
        <f aca="false">IF(H143="","",ROUND(E143*H143,2))</f>
        <v/>
      </c>
      <c r="J143" s="31" t="str">
        <f aca="false">IF(OR(A143="",B143=""),"",IF(YEAR(B143)=Settings!$C$7,MONTH(B143),""))</f>
        <v/>
      </c>
      <c r="K143" s="31" t="str">
        <f aca="false">IF(AND(A143&lt;&gt;"",A143=Statement!$C$6,J143=Statement!$K$7),COUNTIFS(A$6:A143,Statement!$C$6,J$6:J143,Statement!$K$7),"")</f>
        <v/>
      </c>
    </row>
    <row r="144" customFormat="false" ht="15" hidden="false" customHeight="false" outlineLevel="0" collapsed="false">
      <c r="A144" s="10"/>
      <c r="B144" s="28"/>
      <c r="C144" s="10"/>
      <c r="D144" s="10"/>
      <c r="E144" s="26"/>
      <c r="F144" s="10"/>
      <c r="G144" s="25"/>
      <c r="H144" s="29" t="str">
        <f aca="false">IF(OR(A144="",E144=""),"",IF(G144="",IFERROR(INDEX(Settings!$F$13:$F$27,MATCH(A144,Settings!$C$13:$C$27,0)),0),G144))</f>
        <v/>
      </c>
      <c r="I144" s="30" t="str">
        <f aca="false">IF(H144="","",ROUND(E144*H144,2))</f>
        <v/>
      </c>
      <c r="J144" s="31" t="str">
        <f aca="false">IF(OR(A144="",B144=""),"",IF(YEAR(B144)=Settings!$C$7,MONTH(B144),""))</f>
        <v/>
      </c>
      <c r="K144" s="31" t="str">
        <f aca="false">IF(AND(A144&lt;&gt;"",A144=Statement!$C$6,J144=Statement!$K$7),COUNTIFS(A$6:A144,Statement!$C$6,J$6:J144,Statement!$K$7),"")</f>
        <v/>
      </c>
    </row>
    <row r="145" customFormat="false" ht="15" hidden="false" customHeight="false" outlineLevel="0" collapsed="false">
      <c r="A145" s="10"/>
      <c r="B145" s="28"/>
      <c r="C145" s="10"/>
      <c r="D145" s="10"/>
      <c r="E145" s="26"/>
      <c r="F145" s="10"/>
      <c r="G145" s="25"/>
      <c r="H145" s="29" t="str">
        <f aca="false">IF(OR(A145="",E145=""),"",IF(G145="",IFERROR(INDEX(Settings!$F$13:$F$27,MATCH(A145,Settings!$C$13:$C$27,0)),0),G145))</f>
        <v/>
      </c>
      <c r="I145" s="30" t="str">
        <f aca="false">IF(H145="","",ROUND(E145*H145,2))</f>
        <v/>
      </c>
      <c r="J145" s="31" t="str">
        <f aca="false">IF(OR(A145="",B145=""),"",IF(YEAR(B145)=Settings!$C$7,MONTH(B145),""))</f>
        <v/>
      </c>
      <c r="K145" s="31" t="str">
        <f aca="false">IF(AND(A145&lt;&gt;"",A145=Statement!$C$6,J145=Statement!$K$7),COUNTIFS(A$6:A145,Statement!$C$6,J$6:J145,Statement!$K$7),"")</f>
        <v/>
      </c>
    </row>
    <row r="146" customFormat="false" ht="15" hidden="false" customHeight="false" outlineLevel="0" collapsed="false">
      <c r="A146" s="10"/>
      <c r="B146" s="28"/>
      <c r="C146" s="10"/>
      <c r="D146" s="10"/>
      <c r="E146" s="26"/>
      <c r="F146" s="10"/>
      <c r="G146" s="25"/>
      <c r="H146" s="29" t="str">
        <f aca="false">IF(OR(A146="",E146=""),"",IF(G146="",IFERROR(INDEX(Settings!$F$13:$F$27,MATCH(A146,Settings!$C$13:$C$27,0)),0),G146))</f>
        <v/>
      </c>
      <c r="I146" s="30" t="str">
        <f aca="false">IF(H146="","",ROUND(E146*H146,2))</f>
        <v/>
      </c>
      <c r="J146" s="31" t="str">
        <f aca="false">IF(OR(A146="",B146=""),"",IF(YEAR(B146)=Settings!$C$7,MONTH(B146),""))</f>
        <v/>
      </c>
      <c r="K146" s="31" t="str">
        <f aca="false">IF(AND(A146&lt;&gt;"",A146=Statement!$C$6,J146=Statement!$K$7),COUNTIFS(A$6:A146,Statement!$C$6,J$6:J146,Statement!$K$7),"")</f>
        <v/>
      </c>
    </row>
    <row r="147" customFormat="false" ht="15" hidden="false" customHeight="false" outlineLevel="0" collapsed="false">
      <c r="A147" s="10"/>
      <c r="B147" s="28"/>
      <c r="C147" s="10"/>
      <c r="D147" s="10"/>
      <c r="E147" s="26"/>
      <c r="F147" s="10"/>
      <c r="G147" s="25"/>
      <c r="H147" s="29" t="str">
        <f aca="false">IF(OR(A147="",E147=""),"",IF(G147="",IFERROR(INDEX(Settings!$F$13:$F$27,MATCH(A147,Settings!$C$13:$C$27,0)),0),G147))</f>
        <v/>
      </c>
      <c r="I147" s="30" t="str">
        <f aca="false">IF(H147="","",ROUND(E147*H147,2))</f>
        <v/>
      </c>
      <c r="J147" s="31" t="str">
        <f aca="false">IF(OR(A147="",B147=""),"",IF(YEAR(B147)=Settings!$C$7,MONTH(B147),""))</f>
        <v/>
      </c>
      <c r="K147" s="31" t="str">
        <f aca="false">IF(AND(A147&lt;&gt;"",A147=Statement!$C$6,J147=Statement!$K$7),COUNTIFS(A$6:A147,Statement!$C$6,J$6:J147,Statement!$K$7),"")</f>
        <v/>
      </c>
    </row>
    <row r="148" customFormat="false" ht="15" hidden="false" customHeight="false" outlineLevel="0" collapsed="false">
      <c r="A148" s="10"/>
      <c r="B148" s="28"/>
      <c r="C148" s="10"/>
      <c r="D148" s="10"/>
      <c r="E148" s="26"/>
      <c r="F148" s="10"/>
      <c r="G148" s="25"/>
      <c r="H148" s="29" t="str">
        <f aca="false">IF(OR(A148="",E148=""),"",IF(G148="",IFERROR(INDEX(Settings!$F$13:$F$27,MATCH(A148,Settings!$C$13:$C$27,0)),0),G148))</f>
        <v/>
      </c>
      <c r="I148" s="30" t="str">
        <f aca="false">IF(H148="","",ROUND(E148*H148,2))</f>
        <v/>
      </c>
      <c r="J148" s="31" t="str">
        <f aca="false">IF(OR(A148="",B148=""),"",IF(YEAR(B148)=Settings!$C$7,MONTH(B148),""))</f>
        <v/>
      </c>
      <c r="K148" s="31" t="str">
        <f aca="false">IF(AND(A148&lt;&gt;"",A148=Statement!$C$6,J148=Statement!$K$7),COUNTIFS(A$6:A148,Statement!$C$6,J$6:J148,Statement!$K$7),"")</f>
        <v/>
      </c>
    </row>
    <row r="149" customFormat="false" ht="15" hidden="false" customHeight="false" outlineLevel="0" collapsed="false">
      <c r="A149" s="10"/>
      <c r="B149" s="28"/>
      <c r="C149" s="10"/>
      <c r="D149" s="10"/>
      <c r="E149" s="26"/>
      <c r="F149" s="10"/>
      <c r="G149" s="25"/>
      <c r="H149" s="29" t="str">
        <f aca="false">IF(OR(A149="",E149=""),"",IF(G149="",IFERROR(INDEX(Settings!$F$13:$F$27,MATCH(A149,Settings!$C$13:$C$27,0)),0),G149))</f>
        <v/>
      </c>
      <c r="I149" s="30" t="str">
        <f aca="false">IF(H149="","",ROUND(E149*H149,2))</f>
        <v/>
      </c>
      <c r="J149" s="31" t="str">
        <f aca="false">IF(OR(A149="",B149=""),"",IF(YEAR(B149)=Settings!$C$7,MONTH(B149),""))</f>
        <v/>
      </c>
      <c r="K149" s="31" t="str">
        <f aca="false">IF(AND(A149&lt;&gt;"",A149=Statement!$C$6,J149=Statement!$K$7),COUNTIFS(A$6:A149,Statement!$C$6,J$6:J149,Statement!$K$7),"")</f>
        <v/>
      </c>
    </row>
    <row r="150" customFormat="false" ht="15" hidden="false" customHeight="false" outlineLevel="0" collapsed="false">
      <c r="A150" s="10"/>
      <c r="B150" s="28"/>
      <c r="C150" s="10"/>
      <c r="D150" s="10"/>
      <c r="E150" s="26"/>
      <c r="F150" s="10"/>
      <c r="G150" s="25"/>
      <c r="H150" s="29" t="str">
        <f aca="false">IF(OR(A150="",E150=""),"",IF(G150="",IFERROR(INDEX(Settings!$F$13:$F$27,MATCH(A150,Settings!$C$13:$C$27,0)),0),G150))</f>
        <v/>
      </c>
      <c r="I150" s="30" t="str">
        <f aca="false">IF(H150="","",ROUND(E150*H150,2))</f>
        <v/>
      </c>
      <c r="J150" s="31" t="str">
        <f aca="false">IF(OR(A150="",B150=""),"",IF(YEAR(B150)=Settings!$C$7,MONTH(B150),""))</f>
        <v/>
      </c>
      <c r="K150" s="31" t="str">
        <f aca="false">IF(AND(A150&lt;&gt;"",A150=Statement!$C$6,J150=Statement!$K$7),COUNTIFS(A$6:A150,Statement!$C$6,J$6:J150,Statement!$K$7),"")</f>
        <v/>
      </c>
    </row>
    <row r="151" customFormat="false" ht="15" hidden="false" customHeight="false" outlineLevel="0" collapsed="false">
      <c r="A151" s="10"/>
      <c r="B151" s="28"/>
      <c r="C151" s="10"/>
      <c r="D151" s="10"/>
      <c r="E151" s="26"/>
      <c r="F151" s="10"/>
      <c r="G151" s="25"/>
      <c r="H151" s="29" t="str">
        <f aca="false">IF(OR(A151="",E151=""),"",IF(G151="",IFERROR(INDEX(Settings!$F$13:$F$27,MATCH(A151,Settings!$C$13:$C$27,0)),0),G151))</f>
        <v/>
      </c>
      <c r="I151" s="30" t="str">
        <f aca="false">IF(H151="","",ROUND(E151*H151,2))</f>
        <v/>
      </c>
      <c r="J151" s="31" t="str">
        <f aca="false">IF(OR(A151="",B151=""),"",IF(YEAR(B151)=Settings!$C$7,MONTH(B151),""))</f>
        <v/>
      </c>
      <c r="K151" s="31" t="str">
        <f aca="false">IF(AND(A151&lt;&gt;"",A151=Statement!$C$6,J151=Statement!$K$7),COUNTIFS(A$6:A151,Statement!$C$6,J$6:J151,Statement!$K$7),"")</f>
        <v/>
      </c>
    </row>
    <row r="152" customFormat="false" ht="15" hidden="false" customHeight="false" outlineLevel="0" collapsed="false">
      <c r="A152" s="10"/>
      <c r="B152" s="28"/>
      <c r="C152" s="10"/>
      <c r="D152" s="10"/>
      <c r="E152" s="26"/>
      <c r="F152" s="10"/>
      <c r="G152" s="25"/>
      <c r="H152" s="29" t="str">
        <f aca="false">IF(OR(A152="",E152=""),"",IF(G152="",IFERROR(INDEX(Settings!$F$13:$F$27,MATCH(A152,Settings!$C$13:$C$27,0)),0),G152))</f>
        <v/>
      </c>
      <c r="I152" s="30" t="str">
        <f aca="false">IF(H152="","",ROUND(E152*H152,2))</f>
        <v/>
      </c>
      <c r="J152" s="31" t="str">
        <f aca="false">IF(OR(A152="",B152=""),"",IF(YEAR(B152)=Settings!$C$7,MONTH(B152),""))</f>
        <v/>
      </c>
      <c r="K152" s="31" t="str">
        <f aca="false">IF(AND(A152&lt;&gt;"",A152=Statement!$C$6,J152=Statement!$K$7),COUNTIFS(A$6:A152,Statement!$C$6,J$6:J152,Statement!$K$7),"")</f>
        <v/>
      </c>
    </row>
    <row r="153" customFormat="false" ht="15" hidden="false" customHeight="false" outlineLevel="0" collapsed="false">
      <c r="A153" s="10"/>
      <c r="B153" s="28"/>
      <c r="C153" s="10"/>
      <c r="D153" s="10"/>
      <c r="E153" s="26"/>
      <c r="F153" s="10"/>
      <c r="G153" s="25"/>
      <c r="H153" s="29" t="str">
        <f aca="false">IF(OR(A153="",E153=""),"",IF(G153="",IFERROR(INDEX(Settings!$F$13:$F$27,MATCH(A153,Settings!$C$13:$C$27,0)),0),G153))</f>
        <v/>
      </c>
      <c r="I153" s="30" t="str">
        <f aca="false">IF(H153="","",ROUND(E153*H153,2))</f>
        <v/>
      </c>
      <c r="J153" s="31" t="str">
        <f aca="false">IF(OR(A153="",B153=""),"",IF(YEAR(B153)=Settings!$C$7,MONTH(B153),""))</f>
        <v/>
      </c>
      <c r="K153" s="31" t="str">
        <f aca="false">IF(AND(A153&lt;&gt;"",A153=Statement!$C$6,J153=Statement!$K$7),COUNTIFS(A$6:A153,Statement!$C$6,J$6:J153,Statement!$K$7),"")</f>
        <v/>
      </c>
    </row>
    <row r="154" customFormat="false" ht="15" hidden="false" customHeight="false" outlineLevel="0" collapsed="false">
      <c r="A154" s="10"/>
      <c r="B154" s="28"/>
      <c r="C154" s="10"/>
      <c r="D154" s="10"/>
      <c r="E154" s="26"/>
      <c r="F154" s="10"/>
      <c r="G154" s="25"/>
      <c r="H154" s="29" t="str">
        <f aca="false">IF(OR(A154="",E154=""),"",IF(G154="",IFERROR(INDEX(Settings!$F$13:$F$27,MATCH(A154,Settings!$C$13:$C$27,0)),0),G154))</f>
        <v/>
      </c>
      <c r="I154" s="30" t="str">
        <f aca="false">IF(H154="","",ROUND(E154*H154,2))</f>
        <v/>
      </c>
      <c r="J154" s="31" t="str">
        <f aca="false">IF(OR(A154="",B154=""),"",IF(YEAR(B154)=Settings!$C$7,MONTH(B154),""))</f>
        <v/>
      </c>
      <c r="K154" s="31" t="str">
        <f aca="false">IF(AND(A154&lt;&gt;"",A154=Statement!$C$6,J154=Statement!$K$7),COUNTIFS(A$6:A154,Statement!$C$6,J$6:J154,Statement!$K$7),"")</f>
        <v/>
      </c>
    </row>
    <row r="155" customFormat="false" ht="15" hidden="false" customHeight="false" outlineLevel="0" collapsed="false">
      <c r="A155" s="10"/>
      <c r="B155" s="28"/>
      <c r="C155" s="10"/>
      <c r="D155" s="10"/>
      <c r="E155" s="26"/>
      <c r="F155" s="10"/>
      <c r="G155" s="25"/>
      <c r="H155" s="29" t="str">
        <f aca="false">IF(OR(A155="",E155=""),"",IF(G155="",IFERROR(INDEX(Settings!$F$13:$F$27,MATCH(A155,Settings!$C$13:$C$27,0)),0),G155))</f>
        <v/>
      </c>
      <c r="I155" s="30" t="str">
        <f aca="false">IF(H155="","",ROUND(E155*H155,2))</f>
        <v/>
      </c>
      <c r="J155" s="31" t="str">
        <f aca="false">IF(OR(A155="",B155=""),"",IF(YEAR(B155)=Settings!$C$7,MONTH(B155),""))</f>
        <v/>
      </c>
      <c r="K155" s="31" t="str">
        <f aca="false">IF(AND(A155&lt;&gt;"",A155=Statement!$C$6,J155=Statement!$K$7),COUNTIFS(A$6:A155,Statement!$C$6,J$6:J155,Statement!$K$7),"")</f>
        <v/>
      </c>
    </row>
    <row r="156" customFormat="false" ht="15" hidden="false" customHeight="false" outlineLevel="0" collapsed="false">
      <c r="A156" s="10"/>
      <c r="B156" s="28"/>
      <c r="C156" s="10"/>
      <c r="D156" s="10"/>
      <c r="E156" s="26"/>
      <c r="F156" s="10"/>
      <c r="G156" s="25"/>
      <c r="H156" s="29" t="str">
        <f aca="false">IF(OR(A156="",E156=""),"",IF(G156="",IFERROR(INDEX(Settings!$F$13:$F$27,MATCH(A156,Settings!$C$13:$C$27,0)),0),G156))</f>
        <v/>
      </c>
      <c r="I156" s="30" t="str">
        <f aca="false">IF(H156="","",ROUND(E156*H156,2))</f>
        <v/>
      </c>
      <c r="J156" s="31" t="str">
        <f aca="false">IF(OR(A156="",B156=""),"",IF(YEAR(B156)=Settings!$C$7,MONTH(B156),""))</f>
        <v/>
      </c>
      <c r="K156" s="31" t="str">
        <f aca="false">IF(AND(A156&lt;&gt;"",A156=Statement!$C$6,J156=Statement!$K$7),COUNTIFS(A$6:A156,Statement!$C$6,J$6:J156,Statement!$K$7),"")</f>
        <v/>
      </c>
    </row>
    <row r="157" customFormat="false" ht="15" hidden="false" customHeight="false" outlineLevel="0" collapsed="false">
      <c r="A157" s="10"/>
      <c r="B157" s="28"/>
      <c r="C157" s="10"/>
      <c r="D157" s="10"/>
      <c r="E157" s="26"/>
      <c r="F157" s="10"/>
      <c r="G157" s="25"/>
      <c r="H157" s="29" t="str">
        <f aca="false">IF(OR(A157="",E157=""),"",IF(G157="",IFERROR(INDEX(Settings!$F$13:$F$27,MATCH(A157,Settings!$C$13:$C$27,0)),0),G157))</f>
        <v/>
      </c>
      <c r="I157" s="30" t="str">
        <f aca="false">IF(H157="","",ROUND(E157*H157,2))</f>
        <v/>
      </c>
      <c r="J157" s="31" t="str">
        <f aca="false">IF(OR(A157="",B157=""),"",IF(YEAR(B157)=Settings!$C$7,MONTH(B157),""))</f>
        <v/>
      </c>
      <c r="K157" s="31" t="str">
        <f aca="false">IF(AND(A157&lt;&gt;"",A157=Statement!$C$6,J157=Statement!$K$7),COUNTIFS(A$6:A157,Statement!$C$6,J$6:J157,Statement!$K$7),"")</f>
        <v/>
      </c>
    </row>
    <row r="158" customFormat="false" ht="15" hidden="false" customHeight="false" outlineLevel="0" collapsed="false">
      <c r="A158" s="10"/>
      <c r="B158" s="28"/>
      <c r="C158" s="10"/>
      <c r="D158" s="10"/>
      <c r="E158" s="26"/>
      <c r="F158" s="10"/>
      <c r="G158" s="25"/>
      <c r="H158" s="29" t="str">
        <f aca="false">IF(OR(A158="",E158=""),"",IF(G158="",IFERROR(INDEX(Settings!$F$13:$F$27,MATCH(A158,Settings!$C$13:$C$27,0)),0),G158))</f>
        <v/>
      </c>
      <c r="I158" s="30" t="str">
        <f aca="false">IF(H158="","",ROUND(E158*H158,2))</f>
        <v/>
      </c>
      <c r="J158" s="31" t="str">
        <f aca="false">IF(OR(A158="",B158=""),"",IF(YEAR(B158)=Settings!$C$7,MONTH(B158),""))</f>
        <v/>
      </c>
      <c r="K158" s="31" t="str">
        <f aca="false">IF(AND(A158&lt;&gt;"",A158=Statement!$C$6,J158=Statement!$K$7),COUNTIFS(A$6:A158,Statement!$C$6,J$6:J158,Statement!$K$7),"")</f>
        <v/>
      </c>
    </row>
    <row r="159" customFormat="false" ht="15" hidden="false" customHeight="false" outlineLevel="0" collapsed="false">
      <c r="A159" s="10"/>
      <c r="B159" s="28"/>
      <c r="C159" s="10"/>
      <c r="D159" s="10"/>
      <c r="E159" s="26"/>
      <c r="F159" s="10"/>
      <c r="G159" s="25"/>
      <c r="H159" s="29" t="str">
        <f aca="false">IF(OR(A159="",E159=""),"",IF(G159="",IFERROR(INDEX(Settings!$F$13:$F$27,MATCH(A159,Settings!$C$13:$C$27,0)),0),G159))</f>
        <v/>
      </c>
      <c r="I159" s="30" t="str">
        <f aca="false">IF(H159="","",ROUND(E159*H159,2))</f>
        <v/>
      </c>
      <c r="J159" s="31" t="str">
        <f aca="false">IF(OR(A159="",B159=""),"",IF(YEAR(B159)=Settings!$C$7,MONTH(B159),""))</f>
        <v/>
      </c>
      <c r="K159" s="31" t="str">
        <f aca="false">IF(AND(A159&lt;&gt;"",A159=Statement!$C$6,J159=Statement!$K$7),COUNTIFS(A$6:A159,Statement!$C$6,J$6:J159,Statement!$K$7),"")</f>
        <v/>
      </c>
    </row>
    <row r="160" customFormat="false" ht="15" hidden="false" customHeight="false" outlineLevel="0" collapsed="false">
      <c r="A160" s="10"/>
      <c r="B160" s="28"/>
      <c r="C160" s="10"/>
      <c r="D160" s="10"/>
      <c r="E160" s="26"/>
      <c r="F160" s="10"/>
      <c r="G160" s="25"/>
      <c r="H160" s="29" t="str">
        <f aca="false">IF(OR(A160="",E160=""),"",IF(G160="",IFERROR(INDEX(Settings!$F$13:$F$27,MATCH(A160,Settings!$C$13:$C$27,0)),0),G160))</f>
        <v/>
      </c>
      <c r="I160" s="30" t="str">
        <f aca="false">IF(H160="","",ROUND(E160*H160,2))</f>
        <v/>
      </c>
      <c r="J160" s="31" t="str">
        <f aca="false">IF(OR(A160="",B160=""),"",IF(YEAR(B160)=Settings!$C$7,MONTH(B160),""))</f>
        <v/>
      </c>
      <c r="K160" s="31" t="str">
        <f aca="false">IF(AND(A160&lt;&gt;"",A160=Statement!$C$6,J160=Statement!$K$7),COUNTIFS(A$6:A160,Statement!$C$6,J$6:J160,Statement!$K$7),"")</f>
        <v/>
      </c>
    </row>
    <row r="161" customFormat="false" ht="15" hidden="false" customHeight="false" outlineLevel="0" collapsed="false">
      <c r="A161" s="10"/>
      <c r="B161" s="28"/>
      <c r="C161" s="10"/>
      <c r="D161" s="10"/>
      <c r="E161" s="26"/>
      <c r="F161" s="10"/>
      <c r="G161" s="25"/>
      <c r="H161" s="29" t="str">
        <f aca="false">IF(OR(A161="",E161=""),"",IF(G161="",IFERROR(INDEX(Settings!$F$13:$F$27,MATCH(A161,Settings!$C$13:$C$27,0)),0),G161))</f>
        <v/>
      </c>
      <c r="I161" s="30" t="str">
        <f aca="false">IF(H161="","",ROUND(E161*H161,2))</f>
        <v/>
      </c>
      <c r="J161" s="31" t="str">
        <f aca="false">IF(OR(A161="",B161=""),"",IF(YEAR(B161)=Settings!$C$7,MONTH(B161),""))</f>
        <v/>
      </c>
      <c r="K161" s="31" t="str">
        <f aca="false">IF(AND(A161&lt;&gt;"",A161=Statement!$C$6,J161=Statement!$K$7),COUNTIFS(A$6:A161,Statement!$C$6,J$6:J161,Statement!$K$7),"")</f>
        <v/>
      </c>
    </row>
    <row r="162" customFormat="false" ht="15" hidden="false" customHeight="false" outlineLevel="0" collapsed="false">
      <c r="A162" s="10"/>
      <c r="B162" s="28"/>
      <c r="C162" s="10"/>
      <c r="D162" s="10"/>
      <c r="E162" s="26"/>
      <c r="F162" s="10"/>
      <c r="G162" s="25"/>
      <c r="H162" s="29" t="str">
        <f aca="false">IF(OR(A162="",E162=""),"",IF(G162="",IFERROR(INDEX(Settings!$F$13:$F$27,MATCH(A162,Settings!$C$13:$C$27,0)),0),G162))</f>
        <v/>
      </c>
      <c r="I162" s="30" t="str">
        <f aca="false">IF(H162="","",ROUND(E162*H162,2))</f>
        <v/>
      </c>
      <c r="J162" s="31" t="str">
        <f aca="false">IF(OR(A162="",B162=""),"",IF(YEAR(B162)=Settings!$C$7,MONTH(B162),""))</f>
        <v/>
      </c>
      <c r="K162" s="31" t="str">
        <f aca="false">IF(AND(A162&lt;&gt;"",A162=Statement!$C$6,J162=Statement!$K$7),COUNTIFS(A$6:A162,Statement!$C$6,J$6:J162,Statement!$K$7),"")</f>
        <v/>
      </c>
    </row>
    <row r="163" customFormat="false" ht="15" hidden="false" customHeight="false" outlineLevel="0" collapsed="false">
      <c r="A163" s="10"/>
      <c r="B163" s="28"/>
      <c r="C163" s="10"/>
      <c r="D163" s="10"/>
      <c r="E163" s="26"/>
      <c r="F163" s="10"/>
      <c r="G163" s="25"/>
      <c r="H163" s="29" t="str">
        <f aca="false">IF(OR(A163="",E163=""),"",IF(G163="",IFERROR(INDEX(Settings!$F$13:$F$27,MATCH(A163,Settings!$C$13:$C$27,0)),0),G163))</f>
        <v/>
      </c>
      <c r="I163" s="30" t="str">
        <f aca="false">IF(H163="","",ROUND(E163*H163,2))</f>
        <v/>
      </c>
      <c r="J163" s="31" t="str">
        <f aca="false">IF(OR(A163="",B163=""),"",IF(YEAR(B163)=Settings!$C$7,MONTH(B163),""))</f>
        <v/>
      </c>
      <c r="K163" s="31" t="str">
        <f aca="false">IF(AND(A163&lt;&gt;"",A163=Statement!$C$6,J163=Statement!$K$7),COUNTIFS(A$6:A163,Statement!$C$6,J$6:J163,Statement!$K$7),"")</f>
        <v/>
      </c>
    </row>
    <row r="164" customFormat="false" ht="15" hidden="false" customHeight="false" outlineLevel="0" collapsed="false">
      <c r="A164" s="10"/>
      <c r="B164" s="28"/>
      <c r="C164" s="10"/>
      <c r="D164" s="10"/>
      <c r="E164" s="26"/>
      <c r="F164" s="10"/>
      <c r="G164" s="25"/>
      <c r="H164" s="29" t="str">
        <f aca="false">IF(OR(A164="",E164=""),"",IF(G164="",IFERROR(INDEX(Settings!$F$13:$F$27,MATCH(A164,Settings!$C$13:$C$27,0)),0),G164))</f>
        <v/>
      </c>
      <c r="I164" s="30" t="str">
        <f aca="false">IF(H164="","",ROUND(E164*H164,2))</f>
        <v/>
      </c>
      <c r="J164" s="31" t="str">
        <f aca="false">IF(OR(A164="",B164=""),"",IF(YEAR(B164)=Settings!$C$7,MONTH(B164),""))</f>
        <v/>
      </c>
      <c r="K164" s="31" t="str">
        <f aca="false">IF(AND(A164&lt;&gt;"",A164=Statement!$C$6,J164=Statement!$K$7),COUNTIFS(A$6:A164,Statement!$C$6,J$6:J164,Statement!$K$7),"")</f>
        <v/>
      </c>
    </row>
    <row r="165" customFormat="false" ht="15" hidden="false" customHeight="false" outlineLevel="0" collapsed="false">
      <c r="A165" s="10"/>
      <c r="B165" s="28"/>
      <c r="C165" s="10"/>
      <c r="D165" s="10"/>
      <c r="E165" s="26"/>
      <c r="F165" s="10"/>
      <c r="G165" s="25"/>
      <c r="H165" s="29" t="str">
        <f aca="false">IF(OR(A165="",E165=""),"",IF(G165="",IFERROR(INDEX(Settings!$F$13:$F$27,MATCH(A165,Settings!$C$13:$C$27,0)),0),G165))</f>
        <v/>
      </c>
      <c r="I165" s="30" t="str">
        <f aca="false">IF(H165="","",ROUND(E165*H165,2))</f>
        <v/>
      </c>
      <c r="J165" s="31" t="str">
        <f aca="false">IF(OR(A165="",B165=""),"",IF(YEAR(B165)=Settings!$C$7,MONTH(B165),""))</f>
        <v/>
      </c>
      <c r="K165" s="31" t="str">
        <f aca="false">IF(AND(A165&lt;&gt;"",A165=Statement!$C$6,J165=Statement!$K$7),COUNTIFS(A$6:A165,Statement!$C$6,J$6:J165,Statement!$K$7),"")</f>
        <v/>
      </c>
    </row>
    <row r="166" customFormat="false" ht="15" hidden="false" customHeight="false" outlineLevel="0" collapsed="false">
      <c r="A166" s="10"/>
      <c r="B166" s="28"/>
      <c r="C166" s="10"/>
      <c r="D166" s="10"/>
      <c r="E166" s="26"/>
      <c r="F166" s="10"/>
      <c r="G166" s="25"/>
      <c r="H166" s="29" t="str">
        <f aca="false">IF(OR(A166="",E166=""),"",IF(G166="",IFERROR(INDEX(Settings!$F$13:$F$27,MATCH(A166,Settings!$C$13:$C$27,0)),0),G166))</f>
        <v/>
      </c>
      <c r="I166" s="30" t="str">
        <f aca="false">IF(H166="","",ROUND(E166*H166,2))</f>
        <v/>
      </c>
      <c r="J166" s="31" t="str">
        <f aca="false">IF(OR(A166="",B166=""),"",IF(YEAR(B166)=Settings!$C$7,MONTH(B166),""))</f>
        <v/>
      </c>
      <c r="K166" s="31" t="str">
        <f aca="false">IF(AND(A166&lt;&gt;"",A166=Statement!$C$6,J166=Statement!$K$7),COUNTIFS(A$6:A166,Statement!$C$6,J$6:J166,Statement!$K$7),"")</f>
        <v/>
      </c>
    </row>
    <row r="167" customFormat="false" ht="15" hidden="false" customHeight="false" outlineLevel="0" collapsed="false">
      <c r="A167" s="10"/>
      <c r="B167" s="28"/>
      <c r="C167" s="10"/>
      <c r="D167" s="10"/>
      <c r="E167" s="26"/>
      <c r="F167" s="10"/>
      <c r="G167" s="25"/>
      <c r="H167" s="29" t="str">
        <f aca="false">IF(OR(A167="",E167=""),"",IF(G167="",IFERROR(INDEX(Settings!$F$13:$F$27,MATCH(A167,Settings!$C$13:$C$27,0)),0),G167))</f>
        <v/>
      </c>
      <c r="I167" s="30" t="str">
        <f aca="false">IF(H167="","",ROUND(E167*H167,2))</f>
        <v/>
      </c>
      <c r="J167" s="31" t="str">
        <f aca="false">IF(OR(A167="",B167=""),"",IF(YEAR(B167)=Settings!$C$7,MONTH(B167),""))</f>
        <v/>
      </c>
      <c r="K167" s="31" t="str">
        <f aca="false">IF(AND(A167&lt;&gt;"",A167=Statement!$C$6,J167=Statement!$K$7),COUNTIFS(A$6:A167,Statement!$C$6,J$6:J167,Statement!$K$7),"")</f>
        <v/>
      </c>
    </row>
    <row r="168" customFormat="false" ht="15" hidden="false" customHeight="false" outlineLevel="0" collapsed="false">
      <c r="A168" s="10"/>
      <c r="B168" s="28"/>
      <c r="C168" s="10"/>
      <c r="D168" s="10"/>
      <c r="E168" s="26"/>
      <c r="F168" s="10"/>
      <c r="G168" s="25"/>
      <c r="H168" s="29" t="str">
        <f aca="false">IF(OR(A168="",E168=""),"",IF(G168="",IFERROR(INDEX(Settings!$F$13:$F$27,MATCH(A168,Settings!$C$13:$C$27,0)),0),G168))</f>
        <v/>
      </c>
      <c r="I168" s="30" t="str">
        <f aca="false">IF(H168="","",ROUND(E168*H168,2))</f>
        <v/>
      </c>
      <c r="J168" s="31" t="str">
        <f aca="false">IF(OR(A168="",B168=""),"",IF(YEAR(B168)=Settings!$C$7,MONTH(B168),""))</f>
        <v/>
      </c>
      <c r="K168" s="31" t="str">
        <f aca="false">IF(AND(A168&lt;&gt;"",A168=Statement!$C$6,J168=Statement!$K$7),COUNTIFS(A$6:A168,Statement!$C$6,J$6:J168,Statement!$K$7),"")</f>
        <v/>
      </c>
    </row>
    <row r="169" customFormat="false" ht="15" hidden="false" customHeight="false" outlineLevel="0" collapsed="false">
      <c r="A169" s="10"/>
      <c r="B169" s="28"/>
      <c r="C169" s="10"/>
      <c r="D169" s="10"/>
      <c r="E169" s="26"/>
      <c r="F169" s="10"/>
      <c r="G169" s="25"/>
      <c r="H169" s="29" t="str">
        <f aca="false">IF(OR(A169="",E169=""),"",IF(G169="",IFERROR(INDEX(Settings!$F$13:$F$27,MATCH(A169,Settings!$C$13:$C$27,0)),0),G169))</f>
        <v/>
      </c>
      <c r="I169" s="30" t="str">
        <f aca="false">IF(H169="","",ROUND(E169*H169,2))</f>
        <v/>
      </c>
      <c r="J169" s="31" t="str">
        <f aca="false">IF(OR(A169="",B169=""),"",IF(YEAR(B169)=Settings!$C$7,MONTH(B169),""))</f>
        <v/>
      </c>
      <c r="K169" s="31" t="str">
        <f aca="false">IF(AND(A169&lt;&gt;"",A169=Statement!$C$6,J169=Statement!$K$7),COUNTIFS(A$6:A169,Statement!$C$6,J$6:J169,Statement!$K$7),"")</f>
        <v/>
      </c>
    </row>
    <row r="170" customFormat="false" ht="15" hidden="false" customHeight="false" outlineLevel="0" collapsed="false">
      <c r="A170" s="10"/>
      <c r="B170" s="28"/>
      <c r="C170" s="10"/>
      <c r="D170" s="10"/>
      <c r="E170" s="26"/>
      <c r="F170" s="10"/>
      <c r="G170" s="25"/>
      <c r="H170" s="29" t="str">
        <f aca="false">IF(OR(A170="",E170=""),"",IF(G170="",IFERROR(INDEX(Settings!$F$13:$F$27,MATCH(A170,Settings!$C$13:$C$27,0)),0),G170))</f>
        <v/>
      </c>
      <c r="I170" s="30" t="str">
        <f aca="false">IF(H170="","",ROUND(E170*H170,2))</f>
        <v/>
      </c>
      <c r="J170" s="31" t="str">
        <f aca="false">IF(OR(A170="",B170=""),"",IF(YEAR(B170)=Settings!$C$7,MONTH(B170),""))</f>
        <v/>
      </c>
      <c r="K170" s="31" t="str">
        <f aca="false">IF(AND(A170&lt;&gt;"",A170=Statement!$C$6,J170=Statement!$K$7),COUNTIFS(A$6:A170,Statement!$C$6,J$6:J170,Statement!$K$7),"")</f>
        <v/>
      </c>
    </row>
    <row r="171" customFormat="false" ht="15" hidden="false" customHeight="false" outlineLevel="0" collapsed="false">
      <c r="A171" s="10"/>
      <c r="B171" s="28"/>
      <c r="C171" s="10"/>
      <c r="D171" s="10"/>
      <c r="E171" s="26"/>
      <c r="F171" s="10"/>
      <c r="G171" s="25"/>
      <c r="H171" s="29" t="str">
        <f aca="false">IF(OR(A171="",E171=""),"",IF(G171="",IFERROR(INDEX(Settings!$F$13:$F$27,MATCH(A171,Settings!$C$13:$C$27,0)),0),G171))</f>
        <v/>
      </c>
      <c r="I171" s="30" t="str">
        <f aca="false">IF(H171="","",ROUND(E171*H171,2))</f>
        <v/>
      </c>
      <c r="J171" s="31" t="str">
        <f aca="false">IF(OR(A171="",B171=""),"",IF(YEAR(B171)=Settings!$C$7,MONTH(B171),""))</f>
        <v/>
      </c>
      <c r="K171" s="31" t="str">
        <f aca="false">IF(AND(A171&lt;&gt;"",A171=Statement!$C$6,J171=Statement!$K$7),COUNTIFS(A$6:A171,Statement!$C$6,J$6:J171,Statement!$K$7),"")</f>
        <v/>
      </c>
    </row>
    <row r="172" customFormat="false" ht="15" hidden="false" customHeight="false" outlineLevel="0" collapsed="false">
      <c r="A172" s="10"/>
      <c r="B172" s="28"/>
      <c r="C172" s="10"/>
      <c r="D172" s="10"/>
      <c r="E172" s="26"/>
      <c r="F172" s="10"/>
      <c r="G172" s="25"/>
      <c r="H172" s="29" t="str">
        <f aca="false">IF(OR(A172="",E172=""),"",IF(G172="",IFERROR(INDEX(Settings!$F$13:$F$27,MATCH(A172,Settings!$C$13:$C$27,0)),0),G172))</f>
        <v/>
      </c>
      <c r="I172" s="30" t="str">
        <f aca="false">IF(H172="","",ROUND(E172*H172,2))</f>
        <v/>
      </c>
      <c r="J172" s="31" t="str">
        <f aca="false">IF(OR(A172="",B172=""),"",IF(YEAR(B172)=Settings!$C$7,MONTH(B172),""))</f>
        <v/>
      </c>
      <c r="K172" s="31" t="str">
        <f aca="false">IF(AND(A172&lt;&gt;"",A172=Statement!$C$6,J172=Statement!$K$7),COUNTIFS(A$6:A172,Statement!$C$6,J$6:J172,Statement!$K$7),"")</f>
        <v/>
      </c>
    </row>
    <row r="173" customFormat="false" ht="15" hidden="false" customHeight="false" outlineLevel="0" collapsed="false">
      <c r="A173" s="10"/>
      <c r="B173" s="28"/>
      <c r="C173" s="10"/>
      <c r="D173" s="10"/>
      <c r="E173" s="26"/>
      <c r="F173" s="10"/>
      <c r="G173" s="25"/>
      <c r="H173" s="29" t="str">
        <f aca="false">IF(OR(A173="",E173=""),"",IF(G173="",IFERROR(INDEX(Settings!$F$13:$F$27,MATCH(A173,Settings!$C$13:$C$27,0)),0),G173))</f>
        <v/>
      </c>
      <c r="I173" s="30" t="str">
        <f aca="false">IF(H173="","",ROUND(E173*H173,2))</f>
        <v/>
      </c>
      <c r="J173" s="31" t="str">
        <f aca="false">IF(OR(A173="",B173=""),"",IF(YEAR(B173)=Settings!$C$7,MONTH(B173),""))</f>
        <v/>
      </c>
      <c r="K173" s="31" t="str">
        <f aca="false">IF(AND(A173&lt;&gt;"",A173=Statement!$C$6,J173=Statement!$K$7),COUNTIFS(A$6:A173,Statement!$C$6,J$6:J173,Statement!$K$7),"")</f>
        <v/>
      </c>
    </row>
    <row r="174" customFormat="false" ht="15" hidden="false" customHeight="false" outlineLevel="0" collapsed="false">
      <c r="A174" s="10"/>
      <c r="B174" s="28"/>
      <c r="C174" s="10"/>
      <c r="D174" s="10"/>
      <c r="E174" s="26"/>
      <c r="F174" s="10"/>
      <c r="G174" s="25"/>
      <c r="H174" s="29" t="str">
        <f aca="false">IF(OR(A174="",E174=""),"",IF(G174="",IFERROR(INDEX(Settings!$F$13:$F$27,MATCH(A174,Settings!$C$13:$C$27,0)),0),G174))</f>
        <v/>
      </c>
      <c r="I174" s="30" t="str">
        <f aca="false">IF(H174="","",ROUND(E174*H174,2))</f>
        <v/>
      </c>
      <c r="J174" s="31" t="str">
        <f aca="false">IF(OR(A174="",B174=""),"",IF(YEAR(B174)=Settings!$C$7,MONTH(B174),""))</f>
        <v/>
      </c>
      <c r="K174" s="31" t="str">
        <f aca="false">IF(AND(A174&lt;&gt;"",A174=Statement!$C$6,J174=Statement!$K$7),COUNTIFS(A$6:A174,Statement!$C$6,J$6:J174,Statement!$K$7),"")</f>
        <v/>
      </c>
    </row>
    <row r="175" customFormat="false" ht="15" hidden="false" customHeight="false" outlineLevel="0" collapsed="false">
      <c r="A175" s="10"/>
      <c r="B175" s="28"/>
      <c r="C175" s="10"/>
      <c r="D175" s="10"/>
      <c r="E175" s="26"/>
      <c r="F175" s="10"/>
      <c r="G175" s="25"/>
      <c r="H175" s="29" t="str">
        <f aca="false">IF(OR(A175="",E175=""),"",IF(G175="",IFERROR(INDEX(Settings!$F$13:$F$27,MATCH(A175,Settings!$C$13:$C$27,0)),0),G175))</f>
        <v/>
      </c>
      <c r="I175" s="30" t="str">
        <f aca="false">IF(H175="","",ROUND(E175*H175,2))</f>
        <v/>
      </c>
      <c r="J175" s="31" t="str">
        <f aca="false">IF(OR(A175="",B175=""),"",IF(YEAR(B175)=Settings!$C$7,MONTH(B175),""))</f>
        <v/>
      </c>
      <c r="K175" s="31" t="str">
        <f aca="false">IF(AND(A175&lt;&gt;"",A175=Statement!$C$6,J175=Statement!$K$7),COUNTIFS(A$6:A175,Statement!$C$6,J$6:J175,Statement!$K$7),"")</f>
        <v/>
      </c>
    </row>
    <row r="176" customFormat="false" ht="15" hidden="false" customHeight="false" outlineLevel="0" collapsed="false">
      <c r="A176" s="10"/>
      <c r="B176" s="28"/>
      <c r="C176" s="10"/>
      <c r="D176" s="10"/>
      <c r="E176" s="26"/>
      <c r="F176" s="10"/>
      <c r="G176" s="25"/>
      <c r="H176" s="29" t="str">
        <f aca="false">IF(OR(A176="",E176=""),"",IF(G176="",IFERROR(INDEX(Settings!$F$13:$F$27,MATCH(A176,Settings!$C$13:$C$27,0)),0),G176))</f>
        <v/>
      </c>
      <c r="I176" s="30" t="str">
        <f aca="false">IF(H176="","",ROUND(E176*H176,2))</f>
        <v/>
      </c>
      <c r="J176" s="31" t="str">
        <f aca="false">IF(OR(A176="",B176=""),"",IF(YEAR(B176)=Settings!$C$7,MONTH(B176),""))</f>
        <v/>
      </c>
      <c r="K176" s="31" t="str">
        <f aca="false">IF(AND(A176&lt;&gt;"",A176=Statement!$C$6,J176=Statement!$K$7),COUNTIFS(A$6:A176,Statement!$C$6,J$6:J176,Statement!$K$7),"")</f>
        <v/>
      </c>
    </row>
    <row r="177" customFormat="false" ht="15" hidden="false" customHeight="false" outlineLevel="0" collapsed="false">
      <c r="A177" s="10"/>
      <c r="B177" s="28"/>
      <c r="C177" s="10"/>
      <c r="D177" s="10"/>
      <c r="E177" s="26"/>
      <c r="F177" s="10"/>
      <c r="G177" s="25"/>
      <c r="H177" s="29" t="str">
        <f aca="false">IF(OR(A177="",E177=""),"",IF(G177="",IFERROR(INDEX(Settings!$F$13:$F$27,MATCH(A177,Settings!$C$13:$C$27,0)),0),G177))</f>
        <v/>
      </c>
      <c r="I177" s="30" t="str">
        <f aca="false">IF(H177="","",ROUND(E177*H177,2))</f>
        <v/>
      </c>
      <c r="J177" s="31" t="str">
        <f aca="false">IF(OR(A177="",B177=""),"",IF(YEAR(B177)=Settings!$C$7,MONTH(B177),""))</f>
        <v/>
      </c>
      <c r="K177" s="31" t="str">
        <f aca="false">IF(AND(A177&lt;&gt;"",A177=Statement!$C$6,J177=Statement!$K$7),COUNTIFS(A$6:A177,Statement!$C$6,J$6:J177,Statement!$K$7),"")</f>
        <v/>
      </c>
    </row>
    <row r="178" customFormat="false" ht="15" hidden="false" customHeight="false" outlineLevel="0" collapsed="false">
      <c r="A178" s="10"/>
      <c r="B178" s="28"/>
      <c r="C178" s="10"/>
      <c r="D178" s="10"/>
      <c r="E178" s="26"/>
      <c r="F178" s="10"/>
      <c r="G178" s="25"/>
      <c r="H178" s="29" t="str">
        <f aca="false">IF(OR(A178="",E178=""),"",IF(G178="",IFERROR(INDEX(Settings!$F$13:$F$27,MATCH(A178,Settings!$C$13:$C$27,0)),0),G178))</f>
        <v/>
      </c>
      <c r="I178" s="30" t="str">
        <f aca="false">IF(H178="","",ROUND(E178*H178,2))</f>
        <v/>
      </c>
      <c r="J178" s="31" t="str">
        <f aca="false">IF(OR(A178="",B178=""),"",IF(YEAR(B178)=Settings!$C$7,MONTH(B178),""))</f>
        <v/>
      </c>
      <c r="K178" s="31" t="str">
        <f aca="false">IF(AND(A178&lt;&gt;"",A178=Statement!$C$6,J178=Statement!$K$7),COUNTIFS(A$6:A178,Statement!$C$6,J$6:J178,Statement!$K$7),"")</f>
        <v/>
      </c>
    </row>
    <row r="179" customFormat="false" ht="15" hidden="false" customHeight="false" outlineLevel="0" collapsed="false">
      <c r="A179" s="10"/>
      <c r="B179" s="28"/>
      <c r="C179" s="10"/>
      <c r="D179" s="10"/>
      <c r="E179" s="26"/>
      <c r="F179" s="10"/>
      <c r="G179" s="25"/>
      <c r="H179" s="29" t="str">
        <f aca="false">IF(OR(A179="",E179=""),"",IF(G179="",IFERROR(INDEX(Settings!$F$13:$F$27,MATCH(A179,Settings!$C$13:$C$27,0)),0),G179))</f>
        <v/>
      </c>
      <c r="I179" s="30" t="str">
        <f aca="false">IF(H179="","",ROUND(E179*H179,2))</f>
        <v/>
      </c>
      <c r="J179" s="31" t="str">
        <f aca="false">IF(OR(A179="",B179=""),"",IF(YEAR(B179)=Settings!$C$7,MONTH(B179),""))</f>
        <v/>
      </c>
      <c r="K179" s="31" t="str">
        <f aca="false">IF(AND(A179&lt;&gt;"",A179=Statement!$C$6,J179=Statement!$K$7),COUNTIFS(A$6:A179,Statement!$C$6,J$6:J179,Statement!$K$7),"")</f>
        <v/>
      </c>
    </row>
    <row r="180" customFormat="false" ht="15" hidden="false" customHeight="false" outlineLevel="0" collapsed="false">
      <c r="A180" s="10"/>
      <c r="B180" s="28"/>
      <c r="C180" s="10"/>
      <c r="D180" s="10"/>
      <c r="E180" s="26"/>
      <c r="F180" s="10"/>
      <c r="G180" s="25"/>
      <c r="H180" s="29" t="str">
        <f aca="false">IF(OR(A180="",E180=""),"",IF(G180="",IFERROR(INDEX(Settings!$F$13:$F$27,MATCH(A180,Settings!$C$13:$C$27,0)),0),G180))</f>
        <v/>
      </c>
      <c r="I180" s="30" t="str">
        <f aca="false">IF(H180="","",ROUND(E180*H180,2))</f>
        <v/>
      </c>
      <c r="J180" s="31" t="str">
        <f aca="false">IF(OR(A180="",B180=""),"",IF(YEAR(B180)=Settings!$C$7,MONTH(B180),""))</f>
        <v/>
      </c>
      <c r="K180" s="31" t="str">
        <f aca="false">IF(AND(A180&lt;&gt;"",A180=Statement!$C$6,J180=Statement!$K$7),COUNTIFS(A$6:A180,Statement!$C$6,J$6:J180,Statement!$K$7),"")</f>
        <v/>
      </c>
    </row>
    <row r="181" customFormat="false" ht="15" hidden="false" customHeight="false" outlineLevel="0" collapsed="false">
      <c r="A181" s="10"/>
      <c r="B181" s="28"/>
      <c r="C181" s="10"/>
      <c r="D181" s="10"/>
      <c r="E181" s="26"/>
      <c r="F181" s="10"/>
      <c r="G181" s="25"/>
      <c r="H181" s="29" t="str">
        <f aca="false">IF(OR(A181="",E181=""),"",IF(G181="",IFERROR(INDEX(Settings!$F$13:$F$27,MATCH(A181,Settings!$C$13:$C$27,0)),0),G181))</f>
        <v/>
      </c>
      <c r="I181" s="30" t="str">
        <f aca="false">IF(H181="","",ROUND(E181*H181,2))</f>
        <v/>
      </c>
      <c r="J181" s="31" t="str">
        <f aca="false">IF(OR(A181="",B181=""),"",IF(YEAR(B181)=Settings!$C$7,MONTH(B181),""))</f>
        <v/>
      </c>
      <c r="K181" s="31" t="str">
        <f aca="false">IF(AND(A181&lt;&gt;"",A181=Statement!$C$6,J181=Statement!$K$7),COUNTIFS(A$6:A181,Statement!$C$6,J$6:J181,Statement!$K$7),"")</f>
        <v/>
      </c>
    </row>
    <row r="182" customFormat="false" ht="15" hidden="false" customHeight="false" outlineLevel="0" collapsed="false">
      <c r="A182" s="10"/>
      <c r="B182" s="28"/>
      <c r="C182" s="10"/>
      <c r="D182" s="10"/>
      <c r="E182" s="26"/>
      <c r="F182" s="10"/>
      <c r="G182" s="25"/>
      <c r="H182" s="29" t="str">
        <f aca="false">IF(OR(A182="",E182=""),"",IF(G182="",IFERROR(INDEX(Settings!$F$13:$F$27,MATCH(A182,Settings!$C$13:$C$27,0)),0),G182))</f>
        <v/>
      </c>
      <c r="I182" s="30" t="str">
        <f aca="false">IF(H182="","",ROUND(E182*H182,2))</f>
        <v/>
      </c>
      <c r="J182" s="31" t="str">
        <f aca="false">IF(OR(A182="",B182=""),"",IF(YEAR(B182)=Settings!$C$7,MONTH(B182),""))</f>
        <v/>
      </c>
      <c r="K182" s="31" t="str">
        <f aca="false">IF(AND(A182&lt;&gt;"",A182=Statement!$C$6,J182=Statement!$K$7),COUNTIFS(A$6:A182,Statement!$C$6,J$6:J182,Statement!$K$7),"")</f>
        <v/>
      </c>
    </row>
    <row r="183" customFormat="false" ht="15" hidden="false" customHeight="false" outlineLevel="0" collapsed="false">
      <c r="A183" s="10"/>
      <c r="B183" s="28"/>
      <c r="C183" s="10"/>
      <c r="D183" s="10"/>
      <c r="E183" s="26"/>
      <c r="F183" s="10"/>
      <c r="G183" s="25"/>
      <c r="H183" s="29" t="str">
        <f aca="false">IF(OR(A183="",E183=""),"",IF(G183="",IFERROR(INDEX(Settings!$F$13:$F$27,MATCH(A183,Settings!$C$13:$C$27,0)),0),G183))</f>
        <v/>
      </c>
      <c r="I183" s="30" t="str">
        <f aca="false">IF(H183="","",ROUND(E183*H183,2))</f>
        <v/>
      </c>
      <c r="J183" s="31" t="str">
        <f aca="false">IF(OR(A183="",B183=""),"",IF(YEAR(B183)=Settings!$C$7,MONTH(B183),""))</f>
        <v/>
      </c>
      <c r="K183" s="31" t="str">
        <f aca="false">IF(AND(A183&lt;&gt;"",A183=Statement!$C$6,J183=Statement!$K$7),COUNTIFS(A$6:A183,Statement!$C$6,J$6:J183,Statement!$K$7),"")</f>
        <v/>
      </c>
    </row>
    <row r="184" customFormat="false" ht="15" hidden="false" customHeight="false" outlineLevel="0" collapsed="false">
      <c r="A184" s="10"/>
      <c r="B184" s="28"/>
      <c r="C184" s="10"/>
      <c r="D184" s="10"/>
      <c r="E184" s="26"/>
      <c r="F184" s="10"/>
      <c r="G184" s="25"/>
      <c r="H184" s="29" t="str">
        <f aca="false">IF(OR(A184="",E184=""),"",IF(G184="",IFERROR(INDEX(Settings!$F$13:$F$27,MATCH(A184,Settings!$C$13:$C$27,0)),0),G184))</f>
        <v/>
      </c>
      <c r="I184" s="30" t="str">
        <f aca="false">IF(H184="","",ROUND(E184*H184,2))</f>
        <v/>
      </c>
      <c r="J184" s="31" t="str">
        <f aca="false">IF(OR(A184="",B184=""),"",IF(YEAR(B184)=Settings!$C$7,MONTH(B184),""))</f>
        <v/>
      </c>
      <c r="K184" s="31" t="str">
        <f aca="false">IF(AND(A184&lt;&gt;"",A184=Statement!$C$6,J184=Statement!$K$7),COUNTIFS(A$6:A184,Statement!$C$6,J$6:J184,Statement!$K$7),"")</f>
        <v/>
      </c>
    </row>
    <row r="185" customFormat="false" ht="15" hidden="false" customHeight="false" outlineLevel="0" collapsed="false">
      <c r="A185" s="10"/>
      <c r="B185" s="28"/>
      <c r="C185" s="10"/>
      <c r="D185" s="10"/>
      <c r="E185" s="26"/>
      <c r="F185" s="10"/>
      <c r="G185" s="25"/>
      <c r="H185" s="29" t="str">
        <f aca="false">IF(OR(A185="",E185=""),"",IF(G185="",IFERROR(INDEX(Settings!$F$13:$F$27,MATCH(A185,Settings!$C$13:$C$27,0)),0),G185))</f>
        <v/>
      </c>
      <c r="I185" s="30" t="str">
        <f aca="false">IF(H185="","",ROUND(E185*H185,2))</f>
        <v/>
      </c>
      <c r="J185" s="31" t="str">
        <f aca="false">IF(OR(A185="",B185=""),"",IF(YEAR(B185)=Settings!$C$7,MONTH(B185),""))</f>
        <v/>
      </c>
      <c r="K185" s="31" t="str">
        <f aca="false">IF(AND(A185&lt;&gt;"",A185=Statement!$C$6,J185=Statement!$K$7),COUNTIFS(A$6:A185,Statement!$C$6,J$6:J185,Statement!$K$7),"")</f>
        <v/>
      </c>
    </row>
    <row r="186" customFormat="false" ht="15" hidden="false" customHeight="false" outlineLevel="0" collapsed="false">
      <c r="A186" s="10"/>
      <c r="B186" s="28"/>
      <c r="C186" s="10"/>
      <c r="D186" s="10"/>
      <c r="E186" s="26"/>
      <c r="F186" s="10"/>
      <c r="G186" s="25"/>
      <c r="H186" s="29" t="str">
        <f aca="false">IF(OR(A186="",E186=""),"",IF(G186="",IFERROR(INDEX(Settings!$F$13:$F$27,MATCH(A186,Settings!$C$13:$C$27,0)),0),G186))</f>
        <v/>
      </c>
      <c r="I186" s="30" t="str">
        <f aca="false">IF(H186="","",ROUND(E186*H186,2))</f>
        <v/>
      </c>
      <c r="J186" s="31" t="str">
        <f aca="false">IF(OR(A186="",B186=""),"",IF(YEAR(B186)=Settings!$C$7,MONTH(B186),""))</f>
        <v/>
      </c>
      <c r="K186" s="31" t="str">
        <f aca="false">IF(AND(A186&lt;&gt;"",A186=Statement!$C$6,J186=Statement!$K$7),COUNTIFS(A$6:A186,Statement!$C$6,J$6:J186,Statement!$K$7),"")</f>
        <v/>
      </c>
    </row>
    <row r="187" customFormat="false" ht="15" hidden="false" customHeight="false" outlineLevel="0" collapsed="false">
      <c r="A187" s="10"/>
      <c r="B187" s="28"/>
      <c r="C187" s="10"/>
      <c r="D187" s="10"/>
      <c r="E187" s="26"/>
      <c r="F187" s="10"/>
      <c r="G187" s="25"/>
      <c r="H187" s="29" t="str">
        <f aca="false">IF(OR(A187="",E187=""),"",IF(G187="",IFERROR(INDEX(Settings!$F$13:$F$27,MATCH(A187,Settings!$C$13:$C$27,0)),0),G187))</f>
        <v/>
      </c>
      <c r="I187" s="30" t="str">
        <f aca="false">IF(H187="","",ROUND(E187*H187,2))</f>
        <v/>
      </c>
      <c r="J187" s="31" t="str">
        <f aca="false">IF(OR(A187="",B187=""),"",IF(YEAR(B187)=Settings!$C$7,MONTH(B187),""))</f>
        <v/>
      </c>
      <c r="K187" s="31" t="str">
        <f aca="false">IF(AND(A187&lt;&gt;"",A187=Statement!$C$6,J187=Statement!$K$7),COUNTIFS(A$6:A187,Statement!$C$6,J$6:J187,Statement!$K$7),"")</f>
        <v/>
      </c>
    </row>
    <row r="188" customFormat="false" ht="15" hidden="false" customHeight="false" outlineLevel="0" collapsed="false">
      <c r="A188" s="10"/>
      <c r="B188" s="28"/>
      <c r="C188" s="10"/>
      <c r="D188" s="10"/>
      <c r="E188" s="26"/>
      <c r="F188" s="10"/>
      <c r="G188" s="25"/>
      <c r="H188" s="29" t="str">
        <f aca="false">IF(OR(A188="",E188=""),"",IF(G188="",IFERROR(INDEX(Settings!$F$13:$F$27,MATCH(A188,Settings!$C$13:$C$27,0)),0),G188))</f>
        <v/>
      </c>
      <c r="I188" s="30" t="str">
        <f aca="false">IF(H188="","",ROUND(E188*H188,2))</f>
        <v/>
      </c>
      <c r="J188" s="31" t="str">
        <f aca="false">IF(OR(A188="",B188=""),"",IF(YEAR(B188)=Settings!$C$7,MONTH(B188),""))</f>
        <v/>
      </c>
      <c r="K188" s="31" t="str">
        <f aca="false">IF(AND(A188&lt;&gt;"",A188=Statement!$C$6,J188=Statement!$K$7),COUNTIFS(A$6:A188,Statement!$C$6,J$6:J188,Statement!$K$7),"")</f>
        <v/>
      </c>
    </row>
    <row r="189" customFormat="false" ht="15" hidden="false" customHeight="false" outlineLevel="0" collapsed="false">
      <c r="A189" s="10"/>
      <c r="B189" s="28"/>
      <c r="C189" s="10"/>
      <c r="D189" s="10"/>
      <c r="E189" s="26"/>
      <c r="F189" s="10"/>
      <c r="G189" s="25"/>
      <c r="H189" s="29" t="str">
        <f aca="false">IF(OR(A189="",E189=""),"",IF(G189="",IFERROR(INDEX(Settings!$F$13:$F$27,MATCH(A189,Settings!$C$13:$C$27,0)),0),G189))</f>
        <v/>
      </c>
      <c r="I189" s="30" t="str">
        <f aca="false">IF(H189="","",ROUND(E189*H189,2))</f>
        <v/>
      </c>
      <c r="J189" s="31" t="str">
        <f aca="false">IF(OR(A189="",B189=""),"",IF(YEAR(B189)=Settings!$C$7,MONTH(B189),""))</f>
        <v/>
      </c>
      <c r="K189" s="31" t="str">
        <f aca="false">IF(AND(A189&lt;&gt;"",A189=Statement!$C$6,J189=Statement!$K$7),COUNTIFS(A$6:A189,Statement!$C$6,J$6:J189,Statement!$K$7),"")</f>
        <v/>
      </c>
    </row>
    <row r="190" customFormat="false" ht="15" hidden="false" customHeight="false" outlineLevel="0" collapsed="false">
      <c r="A190" s="10"/>
      <c r="B190" s="28"/>
      <c r="C190" s="10"/>
      <c r="D190" s="10"/>
      <c r="E190" s="26"/>
      <c r="F190" s="10"/>
      <c r="G190" s="25"/>
      <c r="H190" s="29" t="str">
        <f aca="false">IF(OR(A190="",E190=""),"",IF(G190="",IFERROR(INDEX(Settings!$F$13:$F$27,MATCH(A190,Settings!$C$13:$C$27,0)),0),G190))</f>
        <v/>
      </c>
      <c r="I190" s="30" t="str">
        <f aca="false">IF(H190="","",ROUND(E190*H190,2))</f>
        <v/>
      </c>
      <c r="J190" s="31" t="str">
        <f aca="false">IF(OR(A190="",B190=""),"",IF(YEAR(B190)=Settings!$C$7,MONTH(B190),""))</f>
        <v/>
      </c>
      <c r="K190" s="31" t="str">
        <f aca="false">IF(AND(A190&lt;&gt;"",A190=Statement!$C$6,J190=Statement!$K$7),COUNTIFS(A$6:A190,Statement!$C$6,J$6:J190,Statement!$K$7),"")</f>
        <v/>
      </c>
    </row>
    <row r="191" customFormat="false" ht="15" hidden="false" customHeight="false" outlineLevel="0" collapsed="false">
      <c r="A191" s="10"/>
      <c r="B191" s="28"/>
      <c r="C191" s="10"/>
      <c r="D191" s="10"/>
      <c r="E191" s="26"/>
      <c r="F191" s="10"/>
      <c r="G191" s="25"/>
      <c r="H191" s="29" t="str">
        <f aca="false">IF(OR(A191="",E191=""),"",IF(G191="",IFERROR(INDEX(Settings!$F$13:$F$27,MATCH(A191,Settings!$C$13:$C$27,0)),0),G191))</f>
        <v/>
      </c>
      <c r="I191" s="30" t="str">
        <f aca="false">IF(H191="","",ROUND(E191*H191,2))</f>
        <v/>
      </c>
      <c r="J191" s="31" t="str">
        <f aca="false">IF(OR(A191="",B191=""),"",IF(YEAR(B191)=Settings!$C$7,MONTH(B191),""))</f>
        <v/>
      </c>
      <c r="K191" s="31" t="str">
        <f aca="false">IF(AND(A191&lt;&gt;"",A191=Statement!$C$6,J191=Statement!$K$7),COUNTIFS(A$6:A191,Statement!$C$6,J$6:J191,Statement!$K$7),"")</f>
        <v/>
      </c>
    </row>
    <row r="192" customFormat="false" ht="15" hidden="false" customHeight="false" outlineLevel="0" collapsed="false">
      <c r="A192" s="10"/>
      <c r="B192" s="28"/>
      <c r="C192" s="10"/>
      <c r="D192" s="10"/>
      <c r="E192" s="26"/>
      <c r="F192" s="10"/>
      <c r="G192" s="25"/>
      <c r="H192" s="29" t="str">
        <f aca="false">IF(OR(A192="",E192=""),"",IF(G192="",IFERROR(INDEX(Settings!$F$13:$F$27,MATCH(A192,Settings!$C$13:$C$27,0)),0),G192))</f>
        <v/>
      </c>
      <c r="I192" s="30" t="str">
        <f aca="false">IF(H192="","",ROUND(E192*H192,2))</f>
        <v/>
      </c>
      <c r="J192" s="31" t="str">
        <f aca="false">IF(OR(A192="",B192=""),"",IF(YEAR(B192)=Settings!$C$7,MONTH(B192),""))</f>
        <v/>
      </c>
      <c r="K192" s="31" t="str">
        <f aca="false">IF(AND(A192&lt;&gt;"",A192=Statement!$C$6,J192=Statement!$K$7),COUNTIFS(A$6:A192,Statement!$C$6,J$6:J192,Statement!$K$7),"")</f>
        <v/>
      </c>
    </row>
    <row r="193" customFormat="false" ht="15" hidden="false" customHeight="false" outlineLevel="0" collapsed="false">
      <c r="A193" s="10"/>
      <c r="B193" s="28"/>
      <c r="C193" s="10"/>
      <c r="D193" s="10"/>
      <c r="E193" s="26"/>
      <c r="F193" s="10"/>
      <c r="G193" s="25"/>
      <c r="H193" s="29" t="str">
        <f aca="false">IF(OR(A193="",E193=""),"",IF(G193="",IFERROR(INDEX(Settings!$F$13:$F$27,MATCH(A193,Settings!$C$13:$C$27,0)),0),G193))</f>
        <v/>
      </c>
      <c r="I193" s="30" t="str">
        <f aca="false">IF(H193="","",ROUND(E193*H193,2))</f>
        <v/>
      </c>
      <c r="J193" s="31" t="str">
        <f aca="false">IF(OR(A193="",B193=""),"",IF(YEAR(B193)=Settings!$C$7,MONTH(B193),""))</f>
        <v/>
      </c>
      <c r="K193" s="31" t="str">
        <f aca="false">IF(AND(A193&lt;&gt;"",A193=Statement!$C$6,J193=Statement!$K$7),COUNTIFS(A$6:A193,Statement!$C$6,J$6:J193,Statement!$K$7),"")</f>
        <v/>
      </c>
    </row>
    <row r="194" customFormat="false" ht="15" hidden="false" customHeight="false" outlineLevel="0" collapsed="false">
      <c r="A194" s="10"/>
      <c r="B194" s="28"/>
      <c r="C194" s="10"/>
      <c r="D194" s="10"/>
      <c r="E194" s="26"/>
      <c r="F194" s="10"/>
      <c r="G194" s="25"/>
      <c r="H194" s="29" t="str">
        <f aca="false">IF(OR(A194="",E194=""),"",IF(G194="",IFERROR(INDEX(Settings!$F$13:$F$27,MATCH(A194,Settings!$C$13:$C$27,0)),0),G194))</f>
        <v/>
      </c>
      <c r="I194" s="30" t="str">
        <f aca="false">IF(H194="","",ROUND(E194*H194,2))</f>
        <v/>
      </c>
      <c r="J194" s="31" t="str">
        <f aca="false">IF(OR(A194="",B194=""),"",IF(YEAR(B194)=Settings!$C$7,MONTH(B194),""))</f>
        <v/>
      </c>
      <c r="K194" s="31" t="str">
        <f aca="false">IF(AND(A194&lt;&gt;"",A194=Statement!$C$6,J194=Statement!$K$7),COUNTIFS(A$6:A194,Statement!$C$6,J$6:J194,Statement!$K$7),"")</f>
        <v/>
      </c>
    </row>
    <row r="195" customFormat="false" ht="15" hidden="false" customHeight="false" outlineLevel="0" collapsed="false">
      <c r="A195" s="10"/>
      <c r="B195" s="28"/>
      <c r="C195" s="10"/>
      <c r="D195" s="10"/>
      <c r="E195" s="26"/>
      <c r="F195" s="10"/>
      <c r="G195" s="25"/>
      <c r="H195" s="29" t="str">
        <f aca="false">IF(OR(A195="",E195=""),"",IF(G195="",IFERROR(INDEX(Settings!$F$13:$F$27,MATCH(A195,Settings!$C$13:$C$27,0)),0),G195))</f>
        <v/>
      </c>
      <c r="I195" s="30" t="str">
        <f aca="false">IF(H195="","",ROUND(E195*H195,2))</f>
        <v/>
      </c>
      <c r="J195" s="31" t="str">
        <f aca="false">IF(OR(A195="",B195=""),"",IF(YEAR(B195)=Settings!$C$7,MONTH(B195),""))</f>
        <v/>
      </c>
      <c r="K195" s="31" t="str">
        <f aca="false">IF(AND(A195&lt;&gt;"",A195=Statement!$C$6,J195=Statement!$K$7),COUNTIFS(A$6:A195,Statement!$C$6,J$6:J195,Statement!$K$7),"")</f>
        <v/>
      </c>
    </row>
    <row r="196" customFormat="false" ht="15" hidden="false" customHeight="false" outlineLevel="0" collapsed="false">
      <c r="A196" s="10"/>
      <c r="B196" s="28"/>
      <c r="C196" s="10"/>
      <c r="D196" s="10"/>
      <c r="E196" s="26"/>
      <c r="F196" s="10"/>
      <c r="G196" s="25"/>
      <c r="H196" s="29" t="str">
        <f aca="false">IF(OR(A196="",E196=""),"",IF(G196="",IFERROR(INDEX(Settings!$F$13:$F$27,MATCH(A196,Settings!$C$13:$C$27,0)),0),G196))</f>
        <v/>
      </c>
      <c r="I196" s="30" t="str">
        <f aca="false">IF(H196="","",ROUND(E196*H196,2))</f>
        <v/>
      </c>
      <c r="J196" s="31" t="str">
        <f aca="false">IF(OR(A196="",B196=""),"",IF(YEAR(B196)=Settings!$C$7,MONTH(B196),""))</f>
        <v/>
      </c>
      <c r="K196" s="31" t="str">
        <f aca="false">IF(AND(A196&lt;&gt;"",A196=Statement!$C$6,J196=Statement!$K$7),COUNTIFS(A$6:A196,Statement!$C$6,J$6:J196,Statement!$K$7),"")</f>
        <v/>
      </c>
    </row>
    <row r="197" customFormat="false" ht="15" hidden="false" customHeight="false" outlineLevel="0" collapsed="false">
      <c r="A197" s="10"/>
      <c r="B197" s="28"/>
      <c r="C197" s="10"/>
      <c r="D197" s="10"/>
      <c r="E197" s="26"/>
      <c r="F197" s="10"/>
      <c r="G197" s="25"/>
      <c r="H197" s="29" t="str">
        <f aca="false">IF(OR(A197="",E197=""),"",IF(G197="",IFERROR(INDEX(Settings!$F$13:$F$27,MATCH(A197,Settings!$C$13:$C$27,0)),0),G197))</f>
        <v/>
      </c>
      <c r="I197" s="30" t="str">
        <f aca="false">IF(H197="","",ROUND(E197*H197,2))</f>
        <v/>
      </c>
      <c r="J197" s="31" t="str">
        <f aca="false">IF(OR(A197="",B197=""),"",IF(YEAR(B197)=Settings!$C$7,MONTH(B197),""))</f>
        <v/>
      </c>
      <c r="K197" s="31" t="str">
        <f aca="false">IF(AND(A197&lt;&gt;"",A197=Statement!$C$6,J197=Statement!$K$7),COUNTIFS(A$6:A197,Statement!$C$6,J$6:J197,Statement!$K$7),"")</f>
        <v/>
      </c>
    </row>
    <row r="198" customFormat="false" ht="15" hidden="false" customHeight="false" outlineLevel="0" collapsed="false">
      <c r="A198" s="10"/>
      <c r="B198" s="28"/>
      <c r="C198" s="10"/>
      <c r="D198" s="10"/>
      <c r="E198" s="26"/>
      <c r="F198" s="10"/>
      <c r="G198" s="25"/>
      <c r="H198" s="29" t="str">
        <f aca="false">IF(OR(A198="",E198=""),"",IF(G198="",IFERROR(INDEX(Settings!$F$13:$F$27,MATCH(A198,Settings!$C$13:$C$27,0)),0),G198))</f>
        <v/>
      </c>
      <c r="I198" s="30" t="str">
        <f aca="false">IF(H198="","",ROUND(E198*H198,2))</f>
        <v/>
      </c>
      <c r="J198" s="31" t="str">
        <f aca="false">IF(OR(A198="",B198=""),"",IF(YEAR(B198)=Settings!$C$7,MONTH(B198),""))</f>
        <v/>
      </c>
      <c r="K198" s="31" t="str">
        <f aca="false">IF(AND(A198&lt;&gt;"",A198=Statement!$C$6,J198=Statement!$K$7),COUNTIFS(A$6:A198,Statement!$C$6,J$6:J198,Statement!$K$7),"")</f>
        <v/>
      </c>
    </row>
    <row r="199" customFormat="false" ht="15" hidden="false" customHeight="false" outlineLevel="0" collapsed="false">
      <c r="A199" s="10"/>
      <c r="B199" s="28"/>
      <c r="C199" s="10"/>
      <c r="D199" s="10"/>
      <c r="E199" s="26"/>
      <c r="F199" s="10"/>
      <c r="G199" s="25"/>
      <c r="H199" s="29" t="str">
        <f aca="false">IF(OR(A199="",E199=""),"",IF(G199="",IFERROR(INDEX(Settings!$F$13:$F$27,MATCH(A199,Settings!$C$13:$C$27,0)),0),G199))</f>
        <v/>
      </c>
      <c r="I199" s="30" t="str">
        <f aca="false">IF(H199="","",ROUND(E199*H199,2))</f>
        <v/>
      </c>
      <c r="J199" s="31" t="str">
        <f aca="false">IF(OR(A199="",B199=""),"",IF(YEAR(B199)=Settings!$C$7,MONTH(B199),""))</f>
        <v/>
      </c>
      <c r="K199" s="31" t="str">
        <f aca="false">IF(AND(A199&lt;&gt;"",A199=Statement!$C$6,J199=Statement!$K$7),COUNTIFS(A$6:A199,Statement!$C$6,J$6:J199,Statement!$K$7),"")</f>
        <v/>
      </c>
    </row>
    <row r="200" customFormat="false" ht="15" hidden="false" customHeight="false" outlineLevel="0" collapsed="false">
      <c r="A200" s="10"/>
      <c r="B200" s="28"/>
      <c r="C200" s="10"/>
      <c r="D200" s="10"/>
      <c r="E200" s="26"/>
      <c r="F200" s="10"/>
      <c r="G200" s="25"/>
      <c r="H200" s="29" t="str">
        <f aca="false">IF(OR(A200="",E200=""),"",IF(G200="",IFERROR(INDEX(Settings!$F$13:$F$27,MATCH(A200,Settings!$C$13:$C$27,0)),0),G200))</f>
        <v/>
      </c>
      <c r="I200" s="30" t="str">
        <f aca="false">IF(H200="","",ROUND(E200*H200,2))</f>
        <v/>
      </c>
      <c r="J200" s="31" t="str">
        <f aca="false">IF(OR(A200="",B200=""),"",IF(YEAR(B200)=Settings!$C$7,MONTH(B200),""))</f>
        <v/>
      </c>
      <c r="K200" s="31" t="str">
        <f aca="false">IF(AND(A200&lt;&gt;"",A200=Statement!$C$6,J200=Statement!$K$7),COUNTIFS(A$6:A200,Statement!$C$6,J$6:J200,Statement!$K$7),"")</f>
        <v/>
      </c>
    </row>
    <row r="201" customFormat="false" ht="15" hidden="false" customHeight="false" outlineLevel="0" collapsed="false">
      <c r="A201" s="10"/>
      <c r="B201" s="28"/>
      <c r="C201" s="10"/>
      <c r="D201" s="10"/>
      <c r="E201" s="26"/>
      <c r="F201" s="10"/>
      <c r="G201" s="25"/>
      <c r="H201" s="29" t="str">
        <f aca="false">IF(OR(A201="",E201=""),"",IF(G201="",IFERROR(INDEX(Settings!$F$13:$F$27,MATCH(A201,Settings!$C$13:$C$27,0)),0),G201))</f>
        <v/>
      </c>
      <c r="I201" s="30" t="str">
        <f aca="false">IF(H201="","",ROUND(E201*H201,2))</f>
        <v/>
      </c>
      <c r="J201" s="31" t="str">
        <f aca="false">IF(OR(A201="",B201=""),"",IF(YEAR(B201)=Settings!$C$7,MONTH(B201),""))</f>
        <v/>
      </c>
      <c r="K201" s="31" t="str">
        <f aca="false">IF(AND(A201&lt;&gt;"",A201=Statement!$C$6,J201=Statement!$K$7),COUNTIFS(A$6:A201,Statement!$C$6,J$6:J201,Statement!$K$7),"")</f>
        <v/>
      </c>
    </row>
    <row r="202" customFormat="false" ht="15" hidden="false" customHeight="false" outlineLevel="0" collapsed="false">
      <c r="A202" s="10"/>
      <c r="B202" s="28"/>
      <c r="C202" s="10"/>
      <c r="D202" s="10"/>
      <c r="E202" s="26"/>
      <c r="F202" s="10"/>
      <c r="G202" s="25"/>
      <c r="H202" s="29" t="str">
        <f aca="false">IF(OR(A202="",E202=""),"",IF(G202="",IFERROR(INDEX(Settings!$F$13:$F$27,MATCH(A202,Settings!$C$13:$C$27,0)),0),G202))</f>
        <v/>
      </c>
      <c r="I202" s="30" t="str">
        <f aca="false">IF(H202="","",ROUND(E202*H202,2))</f>
        <v/>
      </c>
      <c r="J202" s="31" t="str">
        <f aca="false">IF(OR(A202="",B202=""),"",IF(YEAR(B202)=Settings!$C$7,MONTH(B202),""))</f>
        <v/>
      </c>
      <c r="K202" s="31" t="str">
        <f aca="false">IF(AND(A202&lt;&gt;"",A202=Statement!$C$6,J202=Statement!$K$7),COUNTIFS(A$6:A202,Statement!$C$6,J$6:J202,Statement!$K$7),"")</f>
        <v/>
      </c>
    </row>
    <row r="203" customFormat="false" ht="15" hidden="false" customHeight="false" outlineLevel="0" collapsed="false">
      <c r="A203" s="10"/>
      <c r="B203" s="28"/>
      <c r="C203" s="10"/>
      <c r="D203" s="10"/>
      <c r="E203" s="26"/>
      <c r="F203" s="10"/>
      <c r="G203" s="25"/>
      <c r="H203" s="29" t="str">
        <f aca="false">IF(OR(A203="",E203=""),"",IF(G203="",IFERROR(INDEX(Settings!$F$13:$F$27,MATCH(A203,Settings!$C$13:$C$27,0)),0),G203))</f>
        <v/>
      </c>
      <c r="I203" s="30" t="str">
        <f aca="false">IF(H203="","",ROUND(E203*H203,2))</f>
        <v/>
      </c>
      <c r="J203" s="31" t="str">
        <f aca="false">IF(OR(A203="",B203=""),"",IF(YEAR(B203)=Settings!$C$7,MONTH(B203),""))</f>
        <v/>
      </c>
      <c r="K203" s="31" t="str">
        <f aca="false">IF(AND(A203&lt;&gt;"",A203=Statement!$C$6,J203=Statement!$K$7),COUNTIFS(A$6:A203,Statement!$C$6,J$6:J203,Statement!$K$7),"")</f>
        <v/>
      </c>
    </row>
    <row r="204" customFormat="false" ht="15" hidden="false" customHeight="false" outlineLevel="0" collapsed="false">
      <c r="A204" s="10"/>
      <c r="B204" s="28"/>
      <c r="C204" s="10"/>
      <c r="D204" s="10"/>
      <c r="E204" s="26"/>
      <c r="F204" s="10"/>
      <c r="G204" s="25"/>
      <c r="H204" s="29" t="str">
        <f aca="false">IF(OR(A204="",E204=""),"",IF(G204="",IFERROR(INDEX(Settings!$F$13:$F$27,MATCH(A204,Settings!$C$13:$C$27,0)),0),G204))</f>
        <v/>
      </c>
      <c r="I204" s="30" t="str">
        <f aca="false">IF(H204="","",ROUND(E204*H204,2))</f>
        <v/>
      </c>
      <c r="J204" s="31" t="str">
        <f aca="false">IF(OR(A204="",B204=""),"",IF(YEAR(B204)=Settings!$C$7,MONTH(B204),""))</f>
        <v/>
      </c>
      <c r="K204" s="31" t="str">
        <f aca="false">IF(AND(A204&lt;&gt;"",A204=Statement!$C$6,J204=Statement!$K$7),COUNTIFS(A$6:A204,Statement!$C$6,J$6:J204,Statement!$K$7),"")</f>
        <v/>
      </c>
    </row>
    <row r="205" customFormat="false" ht="15" hidden="false" customHeight="false" outlineLevel="0" collapsed="false">
      <c r="A205" s="10"/>
      <c r="B205" s="28"/>
      <c r="C205" s="10"/>
      <c r="D205" s="10"/>
      <c r="E205" s="26"/>
      <c r="F205" s="10"/>
      <c r="G205" s="25"/>
      <c r="H205" s="29" t="str">
        <f aca="false">IF(OR(A205="",E205=""),"",IF(G205="",IFERROR(INDEX(Settings!$F$13:$F$27,MATCH(A205,Settings!$C$13:$C$27,0)),0),G205))</f>
        <v/>
      </c>
      <c r="I205" s="30" t="str">
        <f aca="false">IF(H205="","",ROUND(E205*H205,2))</f>
        <v/>
      </c>
      <c r="J205" s="31" t="str">
        <f aca="false">IF(OR(A205="",B205=""),"",IF(YEAR(B205)=Settings!$C$7,MONTH(B205),""))</f>
        <v/>
      </c>
      <c r="K205" s="31" t="str">
        <f aca="false">IF(AND(A205&lt;&gt;"",A205=Statement!$C$6,J205=Statement!$K$7),COUNTIFS(A$6:A205,Statement!$C$6,J$6:J205,Statement!$K$7),"")</f>
        <v/>
      </c>
    </row>
    <row r="206" customFormat="false" ht="15" hidden="false" customHeight="false" outlineLevel="0" collapsed="false">
      <c r="A206" s="10"/>
      <c r="B206" s="28"/>
      <c r="C206" s="10"/>
      <c r="D206" s="10"/>
      <c r="E206" s="26"/>
      <c r="F206" s="10"/>
      <c r="G206" s="25"/>
      <c r="H206" s="29" t="str">
        <f aca="false">IF(OR(A206="",E206=""),"",IF(G206="",IFERROR(INDEX(Settings!$F$13:$F$27,MATCH(A206,Settings!$C$13:$C$27,0)),0),G206))</f>
        <v/>
      </c>
      <c r="I206" s="30" t="str">
        <f aca="false">IF(H206="","",ROUND(E206*H206,2))</f>
        <v/>
      </c>
      <c r="J206" s="31" t="str">
        <f aca="false">IF(OR(A206="",B206=""),"",IF(YEAR(B206)=Settings!$C$7,MONTH(B206),""))</f>
        <v/>
      </c>
      <c r="K206" s="31" t="str">
        <f aca="false">IF(AND(A206&lt;&gt;"",A206=Statement!$C$6,J206=Statement!$K$7),COUNTIFS(A$6:A206,Statement!$C$6,J$6:J206,Statement!$K$7),"")</f>
        <v/>
      </c>
    </row>
    <row r="207" customFormat="false" ht="15" hidden="false" customHeight="false" outlineLevel="0" collapsed="false">
      <c r="A207" s="10"/>
      <c r="B207" s="28"/>
      <c r="C207" s="10"/>
      <c r="D207" s="10"/>
      <c r="E207" s="26"/>
      <c r="F207" s="10"/>
      <c r="G207" s="25"/>
      <c r="H207" s="29" t="str">
        <f aca="false">IF(OR(A207="",E207=""),"",IF(G207="",IFERROR(INDEX(Settings!$F$13:$F$27,MATCH(A207,Settings!$C$13:$C$27,0)),0),G207))</f>
        <v/>
      </c>
      <c r="I207" s="30" t="str">
        <f aca="false">IF(H207="","",ROUND(E207*H207,2))</f>
        <v/>
      </c>
      <c r="J207" s="31" t="str">
        <f aca="false">IF(OR(A207="",B207=""),"",IF(YEAR(B207)=Settings!$C$7,MONTH(B207),""))</f>
        <v/>
      </c>
      <c r="K207" s="31" t="str">
        <f aca="false">IF(AND(A207&lt;&gt;"",A207=Statement!$C$6,J207=Statement!$K$7),COUNTIFS(A$6:A207,Statement!$C$6,J$6:J207,Statement!$K$7),"")</f>
        <v/>
      </c>
    </row>
    <row r="208" customFormat="false" ht="15" hidden="false" customHeight="false" outlineLevel="0" collapsed="false">
      <c r="A208" s="10"/>
      <c r="B208" s="28"/>
      <c r="C208" s="10"/>
      <c r="D208" s="10"/>
      <c r="E208" s="26"/>
      <c r="F208" s="10"/>
      <c r="G208" s="25"/>
      <c r="H208" s="29" t="str">
        <f aca="false">IF(OR(A208="",E208=""),"",IF(G208="",IFERROR(INDEX(Settings!$F$13:$F$27,MATCH(A208,Settings!$C$13:$C$27,0)),0),G208))</f>
        <v/>
      </c>
      <c r="I208" s="30" t="str">
        <f aca="false">IF(H208="","",ROUND(E208*H208,2))</f>
        <v/>
      </c>
      <c r="J208" s="31" t="str">
        <f aca="false">IF(OR(A208="",B208=""),"",IF(YEAR(B208)=Settings!$C$7,MONTH(B208),""))</f>
        <v/>
      </c>
      <c r="K208" s="31" t="str">
        <f aca="false">IF(AND(A208&lt;&gt;"",A208=Statement!$C$6,J208=Statement!$K$7),COUNTIFS(A$6:A208,Statement!$C$6,J$6:J208,Statement!$K$7),"")</f>
        <v/>
      </c>
    </row>
    <row r="209" customFormat="false" ht="15" hidden="false" customHeight="false" outlineLevel="0" collapsed="false">
      <c r="A209" s="10"/>
      <c r="B209" s="28"/>
      <c r="C209" s="10"/>
      <c r="D209" s="10"/>
      <c r="E209" s="26"/>
      <c r="F209" s="10"/>
      <c r="G209" s="25"/>
      <c r="H209" s="29" t="str">
        <f aca="false">IF(OR(A209="",E209=""),"",IF(G209="",IFERROR(INDEX(Settings!$F$13:$F$27,MATCH(A209,Settings!$C$13:$C$27,0)),0),G209))</f>
        <v/>
      </c>
      <c r="I209" s="30" t="str">
        <f aca="false">IF(H209="","",ROUND(E209*H209,2))</f>
        <v/>
      </c>
      <c r="J209" s="31" t="str">
        <f aca="false">IF(OR(A209="",B209=""),"",IF(YEAR(B209)=Settings!$C$7,MONTH(B209),""))</f>
        <v/>
      </c>
      <c r="K209" s="31" t="str">
        <f aca="false">IF(AND(A209&lt;&gt;"",A209=Statement!$C$6,J209=Statement!$K$7),COUNTIFS(A$6:A209,Statement!$C$6,J$6:J209,Statement!$K$7),"")</f>
        <v/>
      </c>
    </row>
    <row r="210" customFormat="false" ht="15" hidden="false" customHeight="false" outlineLevel="0" collapsed="false">
      <c r="A210" s="10"/>
      <c r="B210" s="28"/>
      <c r="C210" s="10"/>
      <c r="D210" s="10"/>
      <c r="E210" s="26"/>
      <c r="F210" s="10"/>
      <c r="G210" s="25"/>
      <c r="H210" s="29" t="str">
        <f aca="false">IF(OR(A210="",E210=""),"",IF(G210="",IFERROR(INDEX(Settings!$F$13:$F$27,MATCH(A210,Settings!$C$13:$C$27,0)),0),G210))</f>
        <v/>
      </c>
      <c r="I210" s="30" t="str">
        <f aca="false">IF(H210="","",ROUND(E210*H210,2))</f>
        <v/>
      </c>
      <c r="J210" s="31" t="str">
        <f aca="false">IF(OR(A210="",B210=""),"",IF(YEAR(B210)=Settings!$C$7,MONTH(B210),""))</f>
        <v/>
      </c>
      <c r="K210" s="31" t="str">
        <f aca="false">IF(AND(A210&lt;&gt;"",A210=Statement!$C$6,J210=Statement!$K$7),COUNTIFS(A$6:A210,Statement!$C$6,J$6:J210,Statement!$K$7),"")</f>
        <v/>
      </c>
    </row>
    <row r="211" customFormat="false" ht="15" hidden="false" customHeight="false" outlineLevel="0" collapsed="false">
      <c r="A211" s="10"/>
      <c r="B211" s="28"/>
      <c r="C211" s="10"/>
      <c r="D211" s="10"/>
      <c r="E211" s="26"/>
      <c r="F211" s="10"/>
      <c r="G211" s="25"/>
      <c r="H211" s="29" t="str">
        <f aca="false">IF(OR(A211="",E211=""),"",IF(G211="",IFERROR(INDEX(Settings!$F$13:$F$27,MATCH(A211,Settings!$C$13:$C$27,0)),0),G211))</f>
        <v/>
      </c>
      <c r="I211" s="30" t="str">
        <f aca="false">IF(H211="","",ROUND(E211*H211,2))</f>
        <v/>
      </c>
      <c r="J211" s="31" t="str">
        <f aca="false">IF(OR(A211="",B211=""),"",IF(YEAR(B211)=Settings!$C$7,MONTH(B211),""))</f>
        <v/>
      </c>
      <c r="K211" s="31" t="str">
        <f aca="false">IF(AND(A211&lt;&gt;"",A211=Statement!$C$6,J211=Statement!$K$7),COUNTIFS(A$6:A211,Statement!$C$6,J$6:J211,Statement!$K$7),"")</f>
        <v/>
      </c>
    </row>
    <row r="212" customFormat="false" ht="15" hidden="false" customHeight="false" outlineLevel="0" collapsed="false">
      <c r="A212" s="10"/>
      <c r="B212" s="28"/>
      <c r="C212" s="10"/>
      <c r="D212" s="10"/>
      <c r="E212" s="26"/>
      <c r="F212" s="10"/>
      <c r="G212" s="25"/>
      <c r="H212" s="29" t="str">
        <f aca="false">IF(OR(A212="",E212=""),"",IF(G212="",IFERROR(INDEX(Settings!$F$13:$F$27,MATCH(A212,Settings!$C$13:$C$27,0)),0),G212))</f>
        <v/>
      </c>
      <c r="I212" s="30" t="str">
        <f aca="false">IF(H212="","",ROUND(E212*H212,2))</f>
        <v/>
      </c>
      <c r="J212" s="31" t="str">
        <f aca="false">IF(OR(A212="",B212=""),"",IF(YEAR(B212)=Settings!$C$7,MONTH(B212),""))</f>
        <v/>
      </c>
      <c r="K212" s="31" t="str">
        <f aca="false">IF(AND(A212&lt;&gt;"",A212=Statement!$C$6,J212=Statement!$K$7),COUNTIFS(A$6:A212,Statement!$C$6,J$6:J212,Statement!$K$7),"")</f>
        <v/>
      </c>
    </row>
    <row r="213" customFormat="false" ht="15" hidden="false" customHeight="false" outlineLevel="0" collapsed="false">
      <c r="A213" s="10"/>
      <c r="B213" s="28"/>
      <c r="C213" s="10"/>
      <c r="D213" s="10"/>
      <c r="E213" s="26"/>
      <c r="F213" s="10"/>
      <c r="G213" s="25"/>
      <c r="H213" s="29" t="str">
        <f aca="false">IF(OR(A213="",E213=""),"",IF(G213="",IFERROR(INDEX(Settings!$F$13:$F$27,MATCH(A213,Settings!$C$13:$C$27,0)),0),G213))</f>
        <v/>
      </c>
      <c r="I213" s="30" t="str">
        <f aca="false">IF(H213="","",ROUND(E213*H213,2))</f>
        <v/>
      </c>
      <c r="J213" s="31" t="str">
        <f aca="false">IF(OR(A213="",B213=""),"",IF(YEAR(B213)=Settings!$C$7,MONTH(B213),""))</f>
        <v/>
      </c>
      <c r="K213" s="31" t="str">
        <f aca="false">IF(AND(A213&lt;&gt;"",A213=Statement!$C$6,J213=Statement!$K$7),COUNTIFS(A$6:A213,Statement!$C$6,J$6:J213,Statement!$K$7),"")</f>
        <v/>
      </c>
    </row>
    <row r="214" customFormat="false" ht="15" hidden="false" customHeight="false" outlineLevel="0" collapsed="false">
      <c r="A214" s="10"/>
      <c r="B214" s="28"/>
      <c r="C214" s="10"/>
      <c r="D214" s="10"/>
      <c r="E214" s="26"/>
      <c r="F214" s="10"/>
      <c r="G214" s="25"/>
      <c r="H214" s="29" t="str">
        <f aca="false">IF(OR(A214="",E214=""),"",IF(G214="",IFERROR(INDEX(Settings!$F$13:$F$27,MATCH(A214,Settings!$C$13:$C$27,0)),0),G214))</f>
        <v/>
      </c>
      <c r="I214" s="30" t="str">
        <f aca="false">IF(H214="","",ROUND(E214*H214,2))</f>
        <v/>
      </c>
      <c r="J214" s="31" t="str">
        <f aca="false">IF(OR(A214="",B214=""),"",IF(YEAR(B214)=Settings!$C$7,MONTH(B214),""))</f>
        <v/>
      </c>
      <c r="K214" s="31" t="str">
        <f aca="false">IF(AND(A214&lt;&gt;"",A214=Statement!$C$6,J214=Statement!$K$7),COUNTIFS(A$6:A214,Statement!$C$6,J$6:J214,Statement!$K$7),"")</f>
        <v/>
      </c>
    </row>
    <row r="215" customFormat="false" ht="15" hidden="false" customHeight="false" outlineLevel="0" collapsed="false">
      <c r="A215" s="10"/>
      <c r="B215" s="28"/>
      <c r="C215" s="10"/>
      <c r="D215" s="10"/>
      <c r="E215" s="26"/>
      <c r="F215" s="10"/>
      <c r="G215" s="25"/>
      <c r="H215" s="29" t="str">
        <f aca="false">IF(OR(A215="",E215=""),"",IF(G215="",IFERROR(INDEX(Settings!$F$13:$F$27,MATCH(A215,Settings!$C$13:$C$27,0)),0),G215))</f>
        <v/>
      </c>
      <c r="I215" s="30" t="str">
        <f aca="false">IF(H215="","",ROUND(E215*H215,2))</f>
        <v/>
      </c>
      <c r="J215" s="31" t="str">
        <f aca="false">IF(OR(A215="",B215=""),"",IF(YEAR(B215)=Settings!$C$7,MONTH(B215),""))</f>
        <v/>
      </c>
      <c r="K215" s="31" t="str">
        <f aca="false">IF(AND(A215&lt;&gt;"",A215=Statement!$C$6,J215=Statement!$K$7),COUNTIFS(A$6:A215,Statement!$C$6,J$6:J215,Statement!$K$7),"")</f>
        <v/>
      </c>
    </row>
    <row r="216" customFormat="false" ht="15" hidden="false" customHeight="false" outlineLevel="0" collapsed="false">
      <c r="A216" s="10"/>
      <c r="B216" s="28"/>
      <c r="C216" s="10"/>
      <c r="D216" s="10"/>
      <c r="E216" s="26"/>
      <c r="F216" s="10"/>
      <c r="G216" s="25"/>
      <c r="H216" s="29" t="str">
        <f aca="false">IF(OR(A216="",E216=""),"",IF(G216="",IFERROR(INDEX(Settings!$F$13:$F$27,MATCH(A216,Settings!$C$13:$C$27,0)),0),G216))</f>
        <v/>
      </c>
      <c r="I216" s="30" t="str">
        <f aca="false">IF(H216="","",ROUND(E216*H216,2))</f>
        <v/>
      </c>
      <c r="J216" s="31" t="str">
        <f aca="false">IF(OR(A216="",B216=""),"",IF(YEAR(B216)=Settings!$C$7,MONTH(B216),""))</f>
        <v/>
      </c>
      <c r="K216" s="31" t="str">
        <f aca="false">IF(AND(A216&lt;&gt;"",A216=Statement!$C$6,J216=Statement!$K$7),COUNTIFS(A$6:A216,Statement!$C$6,J$6:J216,Statement!$K$7),"")</f>
        <v/>
      </c>
    </row>
    <row r="217" customFormat="false" ht="15" hidden="false" customHeight="false" outlineLevel="0" collapsed="false">
      <c r="A217" s="10"/>
      <c r="B217" s="28"/>
      <c r="C217" s="10"/>
      <c r="D217" s="10"/>
      <c r="E217" s="26"/>
      <c r="F217" s="10"/>
      <c r="G217" s="25"/>
      <c r="H217" s="29" t="str">
        <f aca="false">IF(OR(A217="",E217=""),"",IF(G217="",IFERROR(INDEX(Settings!$F$13:$F$27,MATCH(A217,Settings!$C$13:$C$27,0)),0),G217))</f>
        <v/>
      </c>
      <c r="I217" s="30" t="str">
        <f aca="false">IF(H217="","",ROUND(E217*H217,2))</f>
        <v/>
      </c>
      <c r="J217" s="31" t="str">
        <f aca="false">IF(OR(A217="",B217=""),"",IF(YEAR(B217)=Settings!$C$7,MONTH(B217),""))</f>
        <v/>
      </c>
      <c r="K217" s="31" t="str">
        <f aca="false">IF(AND(A217&lt;&gt;"",A217=Statement!$C$6,J217=Statement!$K$7),COUNTIFS(A$6:A217,Statement!$C$6,J$6:J217,Statement!$K$7),"")</f>
        <v/>
      </c>
    </row>
    <row r="218" customFormat="false" ht="15" hidden="false" customHeight="false" outlineLevel="0" collapsed="false">
      <c r="A218" s="10"/>
      <c r="B218" s="28"/>
      <c r="C218" s="10"/>
      <c r="D218" s="10"/>
      <c r="E218" s="26"/>
      <c r="F218" s="10"/>
      <c r="G218" s="25"/>
      <c r="H218" s="29" t="str">
        <f aca="false">IF(OR(A218="",E218=""),"",IF(G218="",IFERROR(INDEX(Settings!$F$13:$F$27,MATCH(A218,Settings!$C$13:$C$27,0)),0),G218))</f>
        <v/>
      </c>
      <c r="I218" s="30" t="str">
        <f aca="false">IF(H218="","",ROUND(E218*H218,2))</f>
        <v/>
      </c>
      <c r="J218" s="31" t="str">
        <f aca="false">IF(OR(A218="",B218=""),"",IF(YEAR(B218)=Settings!$C$7,MONTH(B218),""))</f>
        <v/>
      </c>
      <c r="K218" s="31" t="str">
        <f aca="false">IF(AND(A218&lt;&gt;"",A218=Statement!$C$6,J218=Statement!$K$7),COUNTIFS(A$6:A218,Statement!$C$6,J$6:J218,Statement!$K$7),"")</f>
        <v/>
      </c>
    </row>
    <row r="219" customFormat="false" ht="15" hidden="false" customHeight="false" outlineLevel="0" collapsed="false">
      <c r="A219" s="10"/>
      <c r="B219" s="28"/>
      <c r="C219" s="10"/>
      <c r="D219" s="10"/>
      <c r="E219" s="26"/>
      <c r="F219" s="10"/>
      <c r="G219" s="25"/>
      <c r="H219" s="29" t="str">
        <f aca="false">IF(OR(A219="",E219=""),"",IF(G219="",IFERROR(INDEX(Settings!$F$13:$F$27,MATCH(A219,Settings!$C$13:$C$27,0)),0),G219))</f>
        <v/>
      </c>
      <c r="I219" s="30" t="str">
        <f aca="false">IF(H219="","",ROUND(E219*H219,2))</f>
        <v/>
      </c>
      <c r="J219" s="31" t="str">
        <f aca="false">IF(OR(A219="",B219=""),"",IF(YEAR(B219)=Settings!$C$7,MONTH(B219),""))</f>
        <v/>
      </c>
      <c r="K219" s="31" t="str">
        <f aca="false">IF(AND(A219&lt;&gt;"",A219=Statement!$C$6,J219=Statement!$K$7),COUNTIFS(A$6:A219,Statement!$C$6,J$6:J219,Statement!$K$7),"")</f>
        <v/>
      </c>
    </row>
    <row r="220" customFormat="false" ht="15" hidden="false" customHeight="false" outlineLevel="0" collapsed="false">
      <c r="A220" s="10"/>
      <c r="B220" s="28"/>
      <c r="C220" s="10"/>
      <c r="D220" s="10"/>
      <c r="E220" s="26"/>
      <c r="F220" s="10"/>
      <c r="G220" s="25"/>
      <c r="H220" s="29" t="str">
        <f aca="false">IF(OR(A220="",E220=""),"",IF(G220="",IFERROR(INDEX(Settings!$F$13:$F$27,MATCH(A220,Settings!$C$13:$C$27,0)),0),G220))</f>
        <v/>
      </c>
      <c r="I220" s="30" t="str">
        <f aca="false">IF(H220="","",ROUND(E220*H220,2))</f>
        <v/>
      </c>
      <c r="J220" s="31" t="str">
        <f aca="false">IF(OR(A220="",B220=""),"",IF(YEAR(B220)=Settings!$C$7,MONTH(B220),""))</f>
        <v/>
      </c>
      <c r="K220" s="31" t="str">
        <f aca="false">IF(AND(A220&lt;&gt;"",A220=Statement!$C$6,J220=Statement!$K$7),COUNTIFS(A$6:A220,Statement!$C$6,J$6:J220,Statement!$K$7),"")</f>
        <v/>
      </c>
    </row>
    <row r="221" customFormat="false" ht="15" hidden="false" customHeight="false" outlineLevel="0" collapsed="false">
      <c r="A221" s="10"/>
      <c r="B221" s="28"/>
      <c r="C221" s="10"/>
      <c r="D221" s="10"/>
      <c r="E221" s="26"/>
      <c r="F221" s="10"/>
      <c r="G221" s="25"/>
      <c r="H221" s="29" t="str">
        <f aca="false">IF(OR(A221="",E221=""),"",IF(G221="",IFERROR(INDEX(Settings!$F$13:$F$27,MATCH(A221,Settings!$C$13:$C$27,0)),0),G221))</f>
        <v/>
      </c>
      <c r="I221" s="30" t="str">
        <f aca="false">IF(H221="","",ROUND(E221*H221,2))</f>
        <v/>
      </c>
      <c r="J221" s="31" t="str">
        <f aca="false">IF(OR(A221="",B221=""),"",IF(YEAR(B221)=Settings!$C$7,MONTH(B221),""))</f>
        <v/>
      </c>
      <c r="K221" s="31" t="str">
        <f aca="false">IF(AND(A221&lt;&gt;"",A221=Statement!$C$6,J221=Statement!$K$7),COUNTIFS(A$6:A221,Statement!$C$6,J$6:J221,Statement!$K$7),"")</f>
        <v/>
      </c>
    </row>
    <row r="222" customFormat="false" ht="15" hidden="false" customHeight="false" outlineLevel="0" collapsed="false">
      <c r="A222" s="10"/>
      <c r="B222" s="28"/>
      <c r="C222" s="10"/>
      <c r="D222" s="10"/>
      <c r="E222" s="26"/>
      <c r="F222" s="10"/>
      <c r="G222" s="25"/>
      <c r="H222" s="29" t="str">
        <f aca="false">IF(OR(A222="",E222=""),"",IF(G222="",IFERROR(INDEX(Settings!$F$13:$F$27,MATCH(A222,Settings!$C$13:$C$27,0)),0),G222))</f>
        <v/>
      </c>
      <c r="I222" s="30" t="str">
        <f aca="false">IF(H222="","",ROUND(E222*H222,2))</f>
        <v/>
      </c>
      <c r="J222" s="31" t="str">
        <f aca="false">IF(OR(A222="",B222=""),"",IF(YEAR(B222)=Settings!$C$7,MONTH(B222),""))</f>
        <v/>
      </c>
      <c r="K222" s="31" t="str">
        <f aca="false">IF(AND(A222&lt;&gt;"",A222=Statement!$C$6,J222=Statement!$K$7),COUNTIFS(A$6:A222,Statement!$C$6,J$6:J222,Statement!$K$7),"")</f>
        <v/>
      </c>
    </row>
    <row r="223" customFormat="false" ht="15" hidden="false" customHeight="false" outlineLevel="0" collapsed="false">
      <c r="A223" s="10"/>
      <c r="B223" s="28"/>
      <c r="C223" s="10"/>
      <c r="D223" s="10"/>
      <c r="E223" s="26"/>
      <c r="F223" s="10"/>
      <c r="G223" s="25"/>
      <c r="H223" s="29" t="str">
        <f aca="false">IF(OR(A223="",E223=""),"",IF(G223="",IFERROR(INDEX(Settings!$F$13:$F$27,MATCH(A223,Settings!$C$13:$C$27,0)),0),G223))</f>
        <v/>
      </c>
      <c r="I223" s="30" t="str">
        <f aca="false">IF(H223="","",ROUND(E223*H223,2))</f>
        <v/>
      </c>
      <c r="J223" s="31" t="str">
        <f aca="false">IF(OR(A223="",B223=""),"",IF(YEAR(B223)=Settings!$C$7,MONTH(B223),""))</f>
        <v/>
      </c>
      <c r="K223" s="31" t="str">
        <f aca="false">IF(AND(A223&lt;&gt;"",A223=Statement!$C$6,J223=Statement!$K$7),COUNTIFS(A$6:A223,Statement!$C$6,J$6:J223,Statement!$K$7),"")</f>
        <v/>
      </c>
    </row>
    <row r="224" customFormat="false" ht="15" hidden="false" customHeight="false" outlineLevel="0" collapsed="false">
      <c r="A224" s="10"/>
      <c r="B224" s="28"/>
      <c r="C224" s="10"/>
      <c r="D224" s="10"/>
      <c r="E224" s="26"/>
      <c r="F224" s="10"/>
      <c r="G224" s="25"/>
      <c r="H224" s="29" t="str">
        <f aca="false">IF(OR(A224="",E224=""),"",IF(G224="",IFERROR(INDEX(Settings!$F$13:$F$27,MATCH(A224,Settings!$C$13:$C$27,0)),0),G224))</f>
        <v/>
      </c>
      <c r="I224" s="30" t="str">
        <f aca="false">IF(H224="","",ROUND(E224*H224,2))</f>
        <v/>
      </c>
      <c r="J224" s="31" t="str">
        <f aca="false">IF(OR(A224="",B224=""),"",IF(YEAR(B224)=Settings!$C$7,MONTH(B224),""))</f>
        <v/>
      </c>
      <c r="K224" s="31" t="str">
        <f aca="false">IF(AND(A224&lt;&gt;"",A224=Statement!$C$6,J224=Statement!$K$7),COUNTIFS(A$6:A224,Statement!$C$6,J$6:J224,Statement!$K$7),"")</f>
        <v/>
      </c>
    </row>
    <row r="225" customFormat="false" ht="15" hidden="false" customHeight="false" outlineLevel="0" collapsed="false">
      <c r="A225" s="10"/>
      <c r="B225" s="28"/>
      <c r="C225" s="10"/>
      <c r="D225" s="10"/>
      <c r="E225" s="26"/>
      <c r="F225" s="10"/>
      <c r="G225" s="25"/>
      <c r="H225" s="29" t="str">
        <f aca="false">IF(OR(A225="",E225=""),"",IF(G225="",IFERROR(INDEX(Settings!$F$13:$F$27,MATCH(A225,Settings!$C$13:$C$27,0)),0),G225))</f>
        <v/>
      </c>
      <c r="I225" s="30" t="str">
        <f aca="false">IF(H225="","",ROUND(E225*H225,2))</f>
        <v/>
      </c>
      <c r="J225" s="31" t="str">
        <f aca="false">IF(OR(A225="",B225=""),"",IF(YEAR(B225)=Settings!$C$7,MONTH(B225),""))</f>
        <v/>
      </c>
      <c r="K225" s="31" t="str">
        <f aca="false">IF(AND(A225&lt;&gt;"",A225=Statement!$C$6,J225=Statement!$K$7),COUNTIFS(A$6:A225,Statement!$C$6,J$6:J225,Statement!$K$7),"")</f>
        <v/>
      </c>
    </row>
    <row r="226" customFormat="false" ht="15" hidden="false" customHeight="false" outlineLevel="0" collapsed="false">
      <c r="A226" s="10"/>
      <c r="B226" s="28"/>
      <c r="C226" s="10"/>
      <c r="D226" s="10"/>
      <c r="E226" s="26"/>
      <c r="F226" s="10"/>
      <c r="G226" s="25"/>
      <c r="H226" s="29" t="str">
        <f aca="false">IF(OR(A226="",E226=""),"",IF(G226="",IFERROR(INDEX(Settings!$F$13:$F$27,MATCH(A226,Settings!$C$13:$C$27,0)),0),G226))</f>
        <v/>
      </c>
      <c r="I226" s="30" t="str">
        <f aca="false">IF(H226="","",ROUND(E226*H226,2))</f>
        <v/>
      </c>
      <c r="J226" s="31" t="str">
        <f aca="false">IF(OR(A226="",B226=""),"",IF(YEAR(B226)=Settings!$C$7,MONTH(B226),""))</f>
        <v/>
      </c>
      <c r="K226" s="31" t="str">
        <f aca="false">IF(AND(A226&lt;&gt;"",A226=Statement!$C$6,J226=Statement!$K$7),COUNTIFS(A$6:A226,Statement!$C$6,J$6:J226,Statement!$K$7),"")</f>
        <v/>
      </c>
    </row>
    <row r="227" customFormat="false" ht="15" hidden="false" customHeight="false" outlineLevel="0" collapsed="false">
      <c r="A227" s="10"/>
      <c r="B227" s="28"/>
      <c r="C227" s="10"/>
      <c r="D227" s="10"/>
      <c r="E227" s="26"/>
      <c r="F227" s="10"/>
      <c r="G227" s="25"/>
      <c r="H227" s="29" t="str">
        <f aca="false">IF(OR(A227="",E227=""),"",IF(G227="",IFERROR(INDEX(Settings!$F$13:$F$27,MATCH(A227,Settings!$C$13:$C$27,0)),0),G227))</f>
        <v/>
      </c>
      <c r="I227" s="30" t="str">
        <f aca="false">IF(H227="","",ROUND(E227*H227,2))</f>
        <v/>
      </c>
      <c r="J227" s="31" t="str">
        <f aca="false">IF(OR(A227="",B227=""),"",IF(YEAR(B227)=Settings!$C$7,MONTH(B227),""))</f>
        <v/>
      </c>
      <c r="K227" s="31" t="str">
        <f aca="false">IF(AND(A227&lt;&gt;"",A227=Statement!$C$6,J227=Statement!$K$7),COUNTIFS(A$6:A227,Statement!$C$6,J$6:J227,Statement!$K$7),"")</f>
        <v/>
      </c>
    </row>
    <row r="228" customFormat="false" ht="15" hidden="false" customHeight="false" outlineLevel="0" collapsed="false">
      <c r="A228" s="10"/>
      <c r="B228" s="28"/>
      <c r="C228" s="10"/>
      <c r="D228" s="10"/>
      <c r="E228" s="26"/>
      <c r="F228" s="10"/>
      <c r="G228" s="25"/>
      <c r="H228" s="29" t="str">
        <f aca="false">IF(OR(A228="",E228=""),"",IF(G228="",IFERROR(INDEX(Settings!$F$13:$F$27,MATCH(A228,Settings!$C$13:$C$27,0)),0),G228))</f>
        <v/>
      </c>
      <c r="I228" s="30" t="str">
        <f aca="false">IF(H228="","",ROUND(E228*H228,2))</f>
        <v/>
      </c>
      <c r="J228" s="31" t="str">
        <f aca="false">IF(OR(A228="",B228=""),"",IF(YEAR(B228)=Settings!$C$7,MONTH(B228),""))</f>
        <v/>
      </c>
      <c r="K228" s="31" t="str">
        <f aca="false">IF(AND(A228&lt;&gt;"",A228=Statement!$C$6,J228=Statement!$K$7),COUNTIFS(A$6:A228,Statement!$C$6,J$6:J228,Statement!$K$7),"")</f>
        <v/>
      </c>
    </row>
    <row r="229" customFormat="false" ht="15" hidden="false" customHeight="false" outlineLevel="0" collapsed="false">
      <c r="A229" s="10"/>
      <c r="B229" s="28"/>
      <c r="C229" s="10"/>
      <c r="D229" s="10"/>
      <c r="E229" s="26"/>
      <c r="F229" s="10"/>
      <c r="G229" s="25"/>
      <c r="H229" s="29" t="str">
        <f aca="false">IF(OR(A229="",E229=""),"",IF(G229="",IFERROR(INDEX(Settings!$F$13:$F$27,MATCH(A229,Settings!$C$13:$C$27,0)),0),G229))</f>
        <v/>
      </c>
      <c r="I229" s="30" t="str">
        <f aca="false">IF(H229="","",ROUND(E229*H229,2))</f>
        <v/>
      </c>
      <c r="J229" s="31" t="str">
        <f aca="false">IF(OR(A229="",B229=""),"",IF(YEAR(B229)=Settings!$C$7,MONTH(B229),""))</f>
        <v/>
      </c>
      <c r="K229" s="31" t="str">
        <f aca="false">IF(AND(A229&lt;&gt;"",A229=Statement!$C$6,J229=Statement!$K$7),COUNTIFS(A$6:A229,Statement!$C$6,J$6:J229,Statement!$K$7),"")</f>
        <v/>
      </c>
    </row>
    <row r="230" customFormat="false" ht="15" hidden="false" customHeight="false" outlineLevel="0" collapsed="false">
      <c r="A230" s="10"/>
      <c r="B230" s="28"/>
      <c r="C230" s="10"/>
      <c r="D230" s="10"/>
      <c r="E230" s="26"/>
      <c r="F230" s="10"/>
      <c r="G230" s="25"/>
      <c r="H230" s="29" t="str">
        <f aca="false">IF(OR(A230="",E230=""),"",IF(G230="",IFERROR(INDEX(Settings!$F$13:$F$27,MATCH(A230,Settings!$C$13:$C$27,0)),0),G230))</f>
        <v/>
      </c>
      <c r="I230" s="30" t="str">
        <f aca="false">IF(H230="","",ROUND(E230*H230,2))</f>
        <v/>
      </c>
      <c r="J230" s="31" t="str">
        <f aca="false">IF(OR(A230="",B230=""),"",IF(YEAR(B230)=Settings!$C$7,MONTH(B230),""))</f>
        <v/>
      </c>
      <c r="K230" s="31" t="str">
        <f aca="false">IF(AND(A230&lt;&gt;"",A230=Statement!$C$6,J230=Statement!$K$7),COUNTIFS(A$6:A230,Statement!$C$6,J$6:J230,Statement!$K$7),"")</f>
        <v/>
      </c>
    </row>
    <row r="231" customFormat="false" ht="15" hidden="false" customHeight="false" outlineLevel="0" collapsed="false">
      <c r="A231" s="10"/>
      <c r="B231" s="28"/>
      <c r="C231" s="10"/>
      <c r="D231" s="10"/>
      <c r="E231" s="26"/>
      <c r="F231" s="10"/>
      <c r="G231" s="25"/>
      <c r="H231" s="29" t="str">
        <f aca="false">IF(OR(A231="",E231=""),"",IF(G231="",IFERROR(INDEX(Settings!$F$13:$F$27,MATCH(A231,Settings!$C$13:$C$27,0)),0),G231))</f>
        <v/>
      </c>
      <c r="I231" s="30" t="str">
        <f aca="false">IF(H231="","",ROUND(E231*H231,2))</f>
        <v/>
      </c>
      <c r="J231" s="31" t="str">
        <f aca="false">IF(OR(A231="",B231=""),"",IF(YEAR(B231)=Settings!$C$7,MONTH(B231),""))</f>
        <v/>
      </c>
      <c r="K231" s="31" t="str">
        <f aca="false">IF(AND(A231&lt;&gt;"",A231=Statement!$C$6,J231=Statement!$K$7),COUNTIFS(A$6:A231,Statement!$C$6,J$6:J231,Statement!$K$7),"")</f>
        <v/>
      </c>
    </row>
    <row r="232" customFormat="false" ht="15" hidden="false" customHeight="false" outlineLevel="0" collapsed="false">
      <c r="A232" s="10"/>
      <c r="B232" s="28"/>
      <c r="C232" s="10"/>
      <c r="D232" s="10"/>
      <c r="E232" s="26"/>
      <c r="F232" s="10"/>
      <c r="G232" s="25"/>
      <c r="H232" s="29" t="str">
        <f aca="false">IF(OR(A232="",E232=""),"",IF(G232="",IFERROR(INDEX(Settings!$F$13:$F$27,MATCH(A232,Settings!$C$13:$C$27,0)),0),G232))</f>
        <v/>
      </c>
      <c r="I232" s="30" t="str">
        <f aca="false">IF(H232="","",ROUND(E232*H232,2))</f>
        <v/>
      </c>
      <c r="J232" s="31" t="str">
        <f aca="false">IF(OR(A232="",B232=""),"",IF(YEAR(B232)=Settings!$C$7,MONTH(B232),""))</f>
        <v/>
      </c>
      <c r="K232" s="31" t="str">
        <f aca="false">IF(AND(A232&lt;&gt;"",A232=Statement!$C$6,J232=Statement!$K$7),COUNTIFS(A$6:A232,Statement!$C$6,J$6:J232,Statement!$K$7),"")</f>
        <v/>
      </c>
    </row>
    <row r="233" customFormat="false" ht="15" hidden="false" customHeight="false" outlineLevel="0" collapsed="false">
      <c r="A233" s="10"/>
      <c r="B233" s="28"/>
      <c r="C233" s="10"/>
      <c r="D233" s="10"/>
      <c r="E233" s="26"/>
      <c r="F233" s="10"/>
      <c r="G233" s="25"/>
      <c r="H233" s="29" t="str">
        <f aca="false">IF(OR(A233="",E233=""),"",IF(G233="",IFERROR(INDEX(Settings!$F$13:$F$27,MATCH(A233,Settings!$C$13:$C$27,0)),0),G233))</f>
        <v/>
      </c>
      <c r="I233" s="30" t="str">
        <f aca="false">IF(H233="","",ROUND(E233*H233,2))</f>
        <v/>
      </c>
      <c r="J233" s="31" t="str">
        <f aca="false">IF(OR(A233="",B233=""),"",IF(YEAR(B233)=Settings!$C$7,MONTH(B233),""))</f>
        <v/>
      </c>
      <c r="K233" s="31" t="str">
        <f aca="false">IF(AND(A233&lt;&gt;"",A233=Statement!$C$6,J233=Statement!$K$7),COUNTIFS(A$6:A233,Statement!$C$6,J$6:J233,Statement!$K$7),"")</f>
        <v/>
      </c>
    </row>
    <row r="234" customFormat="false" ht="15" hidden="false" customHeight="false" outlineLevel="0" collapsed="false">
      <c r="A234" s="10"/>
      <c r="B234" s="28"/>
      <c r="C234" s="10"/>
      <c r="D234" s="10"/>
      <c r="E234" s="26"/>
      <c r="F234" s="10"/>
      <c r="G234" s="25"/>
      <c r="H234" s="29" t="str">
        <f aca="false">IF(OR(A234="",E234=""),"",IF(G234="",IFERROR(INDEX(Settings!$F$13:$F$27,MATCH(A234,Settings!$C$13:$C$27,0)),0),G234))</f>
        <v/>
      </c>
      <c r="I234" s="30" t="str">
        <f aca="false">IF(H234="","",ROUND(E234*H234,2))</f>
        <v/>
      </c>
      <c r="J234" s="31" t="str">
        <f aca="false">IF(OR(A234="",B234=""),"",IF(YEAR(B234)=Settings!$C$7,MONTH(B234),""))</f>
        <v/>
      </c>
      <c r="K234" s="31" t="str">
        <f aca="false">IF(AND(A234&lt;&gt;"",A234=Statement!$C$6,J234=Statement!$K$7),COUNTIFS(A$6:A234,Statement!$C$6,J$6:J234,Statement!$K$7),"")</f>
        <v/>
      </c>
    </row>
    <row r="235" customFormat="false" ht="15" hidden="false" customHeight="false" outlineLevel="0" collapsed="false">
      <c r="A235" s="10"/>
      <c r="B235" s="28"/>
      <c r="C235" s="10"/>
      <c r="D235" s="10"/>
      <c r="E235" s="26"/>
      <c r="F235" s="10"/>
      <c r="G235" s="25"/>
      <c r="H235" s="29" t="str">
        <f aca="false">IF(OR(A235="",E235=""),"",IF(G235="",IFERROR(INDEX(Settings!$F$13:$F$27,MATCH(A235,Settings!$C$13:$C$27,0)),0),G235))</f>
        <v/>
      </c>
      <c r="I235" s="30" t="str">
        <f aca="false">IF(H235="","",ROUND(E235*H235,2))</f>
        <v/>
      </c>
      <c r="J235" s="31" t="str">
        <f aca="false">IF(OR(A235="",B235=""),"",IF(YEAR(B235)=Settings!$C$7,MONTH(B235),""))</f>
        <v/>
      </c>
      <c r="K235" s="31" t="str">
        <f aca="false">IF(AND(A235&lt;&gt;"",A235=Statement!$C$6,J235=Statement!$K$7),COUNTIFS(A$6:A235,Statement!$C$6,J$6:J235,Statement!$K$7),"")</f>
        <v/>
      </c>
    </row>
    <row r="236" customFormat="false" ht="15" hidden="false" customHeight="false" outlineLevel="0" collapsed="false">
      <c r="A236" s="10"/>
      <c r="B236" s="28"/>
      <c r="C236" s="10"/>
      <c r="D236" s="10"/>
      <c r="E236" s="26"/>
      <c r="F236" s="10"/>
      <c r="G236" s="25"/>
      <c r="H236" s="29" t="str">
        <f aca="false">IF(OR(A236="",E236=""),"",IF(G236="",IFERROR(INDEX(Settings!$F$13:$F$27,MATCH(A236,Settings!$C$13:$C$27,0)),0),G236))</f>
        <v/>
      </c>
      <c r="I236" s="30" t="str">
        <f aca="false">IF(H236="","",ROUND(E236*H236,2))</f>
        <v/>
      </c>
      <c r="J236" s="31" t="str">
        <f aca="false">IF(OR(A236="",B236=""),"",IF(YEAR(B236)=Settings!$C$7,MONTH(B236),""))</f>
        <v/>
      </c>
      <c r="K236" s="31" t="str">
        <f aca="false">IF(AND(A236&lt;&gt;"",A236=Statement!$C$6,J236=Statement!$K$7),COUNTIFS(A$6:A236,Statement!$C$6,J$6:J236,Statement!$K$7),"")</f>
        <v/>
      </c>
    </row>
    <row r="237" customFormat="false" ht="15" hidden="false" customHeight="false" outlineLevel="0" collapsed="false">
      <c r="A237" s="10"/>
      <c r="B237" s="28"/>
      <c r="C237" s="10"/>
      <c r="D237" s="10"/>
      <c r="E237" s="26"/>
      <c r="F237" s="10"/>
      <c r="G237" s="25"/>
      <c r="H237" s="29" t="str">
        <f aca="false">IF(OR(A237="",E237=""),"",IF(G237="",IFERROR(INDEX(Settings!$F$13:$F$27,MATCH(A237,Settings!$C$13:$C$27,0)),0),G237))</f>
        <v/>
      </c>
      <c r="I237" s="30" t="str">
        <f aca="false">IF(H237="","",ROUND(E237*H237,2))</f>
        <v/>
      </c>
      <c r="J237" s="31" t="str">
        <f aca="false">IF(OR(A237="",B237=""),"",IF(YEAR(B237)=Settings!$C$7,MONTH(B237),""))</f>
        <v/>
      </c>
      <c r="K237" s="31" t="str">
        <f aca="false">IF(AND(A237&lt;&gt;"",A237=Statement!$C$6,J237=Statement!$K$7),COUNTIFS(A$6:A237,Statement!$C$6,J$6:J237,Statement!$K$7),"")</f>
        <v/>
      </c>
    </row>
    <row r="238" customFormat="false" ht="15" hidden="false" customHeight="false" outlineLevel="0" collapsed="false">
      <c r="A238" s="10"/>
      <c r="B238" s="28"/>
      <c r="C238" s="10"/>
      <c r="D238" s="10"/>
      <c r="E238" s="26"/>
      <c r="F238" s="10"/>
      <c r="G238" s="25"/>
      <c r="H238" s="29" t="str">
        <f aca="false">IF(OR(A238="",E238=""),"",IF(G238="",IFERROR(INDEX(Settings!$F$13:$F$27,MATCH(A238,Settings!$C$13:$C$27,0)),0),G238))</f>
        <v/>
      </c>
      <c r="I238" s="30" t="str">
        <f aca="false">IF(H238="","",ROUND(E238*H238,2))</f>
        <v/>
      </c>
      <c r="J238" s="31" t="str">
        <f aca="false">IF(OR(A238="",B238=""),"",IF(YEAR(B238)=Settings!$C$7,MONTH(B238),""))</f>
        <v/>
      </c>
      <c r="K238" s="31" t="str">
        <f aca="false">IF(AND(A238&lt;&gt;"",A238=Statement!$C$6,J238=Statement!$K$7),COUNTIFS(A$6:A238,Statement!$C$6,J$6:J238,Statement!$K$7),"")</f>
        <v/>
      </c>
    </row>
    <row r="239" customFormat="false" ht="15" hidden="false" customHeight="false" outlineLevel="0" collapsed="false">
      <c r="A239" s="10"/>
      <c r="B239" s="28"/>
      <c r="C239" s="10"/>
      <c r="D239" s="10"/>
      <c r="E239" s="26"/>
      <c r="F239" s="10"/>
      <c r="G239" s="25"/>
      <c r="H239" s="29" t="str">
        <f aca="false">IF(OR(A239="",E239=""),"",IF(G239="",IFERROR(INDEX(Settings!$F$13:$F$27,MATCH(A239,Settings!$C$13:$C$27,0)),0),G239))</f>
        <v/>
      </c>
      <c r="I239" s="30" t="str">
        <f aca="false">IF(H239="","",ROUND(E239*H239,2))</f>
        <v/>
      </c>
      <c r="J239" s="31" t="str">
        <f aca="false">IF(OR(A239="",B239=""),"",IF(YEAR(B239)=Settings!$C$7,MONTH(B239),""))</f>
        <v/>
      </c>
      <c r="K239" s="31" t="str">
        <f aca="false">IF(AND(A239&lt;&gt;"",A239=Statement!$C$6,J239=Statement!$K$7),COUNTIFS(A$6:A239,Statement!$C$6,J$6:J239,Statement!$K$7),"")</f>
        <v/>
      </c>
    </row>
    <row r="240" customFormat="false" ht="15" hidden="false" customHeight="false" outlineLevel="0" collapsed="false">
      <c r="A240" s="10"/>
      <c r="B240" s="28"/>
      <c r="C240" s="10"/>
      <c r="D240" s="10"/>
      <c r="E240" s="26"/>
      <c r="F240" s="10"/>
      <c r="G240" s="25"/>
      <c r="H240" s="29" t="str">
        <f aca="false">IF(OR(A240="",E240=""),"",IF(G240="",IFERROR(INDEX(Settings!$F$13:$F$27,MATCH(A240,Settings!$C$13:$C$27,0)),0),G240))</f>
        <v/>
      </c>
      <c r="I240" s="30" t="str">
        <f aca="false">IF(H240="","",ROUND(E240*H240,2))</f>
        <v/>
      </c>
      <c r="J240" s="31" t="str">
        <f aca="false">IF(OR(A240="",B240=""),"",IF(YEAR(B240)=Settings!$C$7,MONTH(B240),""))</f>
        <v/>
      </c>
      <c r="K240" s="31" t="str">
        <f aca="false">IF(AND(A240&lt;&gt;"",A240=Statement!$C$6,J240=Statement!$K$7),COUNTIFS(A$6:A240,Statement!$C$6,J$6:J240,Statement!$K$7),"")</f>
        <v/>
      </c>
    </row>
    <row r="241" customFormat="false" ht="15" hidden="false" customHeight="false" outlineLevel="0" collapsed="false">
      <c r="A241" s="10"/>
      <c r="B241" s="28"/>
      <c r="C241" s="10"/>
      <c r="D241" s="10"/>
      <c r="E241" s="26"/>
      <c r="F241" s="10"/>
      <c r="G241" s="25"/>
      <c r="H241" s="29" t="str">
        <f aca="false">IF(OR(A241="",E241=""),"",IF(G241="",IFERROR(INDEX(Settings!$F$13:$F$27,MATCH(A241,Settings!$C$13:$C$27,0)),0),G241))</f>
        <v/>
      </c>
      <c r="I241" s="30" t="str">
        <f aca="false">IF(H241="","",ROUND(E241*H241,2))</f>
        <v/>
      </c>
      <c r="J241" s="31" t="str">
        <f aca="false">IF(OR(A241="",B241=""),"",IF(YEAR(B241)=Settings!$C$7,MONTH(B241),""))</f>
        <v/>
      </c>
      <c r="K241" s="31" t="str">
        <f aca="false">IF(AND(A241&lt;&gt;"",A241=Statement!$C$6,J241=Statement!$K$7),COUNTIFS(A$6:A241,Statement!$C$6,J$6:J241,Statement!$K$7),"")</f>
        <v/>
      </c>
    </row>
    <row r="242" customFormat="false" ht="15" hidden="false" customHeight="false" outlineLevel="0" collapsed="false">
      <c r="A242" s="10"/>
      <c r="B242" s="28"/>
      <c r="C242" s="10"/>
      <c r="D242" s="10"/>
      <c r="E242" s="26"/>
      <c r="F242" s="10"/>
      <c r="G242" s="25"/>
      <c r="H242" s="29" t="str">
        <f aca="false">IF(OR(A242="",E242=""),"",IF(G242="",IFERROR(INDEX(Settings!$F$13:$F$27,MATCH(A242,Settings!$C$13:$C$27,0)),0),G242))</f>
        <v/>
      </c>
      <c r="I242" s="30" t="str">
        <f aca="false">IF(H242="","",ROUND(E242*H242,2))</f>
        <v/>
      </c>
      <c r="J242" s="31" t="str">
        <f aca="false">IF(OR(A242="",B242=""),"",IF(YEAR(B242)=Settings!$C$7,MONTH(B242),""))</f>
        <v/>
      </c>
      <c r="K242" s="31" t="str">
        <f aca="false">IF(AND(A242&lt;&gt;"",A242=Statement!$C$6,J242=Statement!$K$7),COUNTIFS(A$6:A242,Statement!$C$6,J$6:J242,Statement!$K$7),"")</f>
        <v/>
      </c>
    </row>
    <row r="243" customFormat="false" ht="15" hidden="false" customHeight="false" outlineLevel="0" collapsed="false">
      <c r="A243" s="10"/>
      <c r="B243" s="28"/>
      <c r="C243" s="10"/>
      <c r="D243" s="10"/>
      <c r="E243" s="26"/>
      <c r="F243" s="10"/>
      <c r="G243" s="25"/>
      <c r="H243" s="29" t="str">
        <f aca="false">IF(OR(A243="",E243=""),"",IF(G243="",IFERROR(INDEX(Settings!$F$13:$F$27,MATCH(A243,Settings!$C$13:$C$27,0)),0),G243))</f>
        <v/>
      </c>
      <c r="I243" s="30" t="str">
        <f aca="false">IF(H243="","",ROUND(E243*H243,2))</f>
        <v/>
      </c>
      <c r="J243" s="31" t="str">
        <f aca="false">IF(OR(A243="",B243=""),"",IF(YEAR(B243)=Settings!$C$7,MONTH(B243),""))</f>
        <v/>
      </c>
      <c r="K243" s="31" t="str">
        <f aca="false">IF(AND(A243&lt;&gt;"",A243=Statement!$C$6,J243=Statement!$K$7),COUNTIFS(A$6:A243,Statement!$C$6,J$6:J243,Statement!$K$7),"")</f>
        <v/>
      </c>
    </row>
    <row r="244" customFormat="false" ht="15" hidden="false" customHeight="false" outlineLevel="0" collapsed="false">
      <c r="A244" s="10"/>
      <c r="B244" s="28"/>
      <c r="C244" s="10"/>
      <c r="D244" s="10"/>
      <c r="E244" s="26"/>
      <c r="F244" s="10"/>
      <c r="G244" s="25"/>
      <c r="H244" s="29" t="str">
        <f aca="false">IF(OR(A244="",E244=""),"",IF(G244="",IFERROR(INDEX(Settings!$F$13:$F$27,MATCH(A244,Settings!$C$13:$C$27,0)),0),G244))</f>
        <v/>
      </c>
      <c r="I244" s="30" t="str">
        <f aca="false">IF(H244="","",ROUND(E244*H244,2))</f>
        <v/>
      </c>
      <c r="J244" s="31" t="str">
        <f aca="false">IF(OR(A244="",B244=""),"",IF(YEAR(B244)=Settings!$C$7,MONTH(B244),""))</f>
        <v/>
      </c>
      <c r="K244" s="31" t="str">
        <f aca="false">IF(AND(A244&lt;&gt;"",A244=Statement!$C$6,J244=Statement!$K$7),COUNTIFS(A$6:A244,Statement!$C$6,J$6:J244,Statement!$K$7),"")</f>
        <v/>
      </c>
    </row>
    <row r="245" customFormat="false" ht="15" hidden="false" customHeight="false" outlineLevel="0" collapsed="false">
      <c r="A245" s="10"/>
      <c r="B245" s="28"/>
      <c r="C245" s="10"/>
      <c r="D245" s="10"/>
      <c r="E245" s="26"/>
      <c r="F245" s="10"/>
      <c r="G245" s="25"/>
      <c r="H245" s="29" t="str">
        <f aca="false">IF(OR(A245="",E245=""),"",IF(G245="",IFERROR(INDEX(Settings!$F$13:$F$27,MATCH(A245,Settings!$C$13:$C$27,0)),0),G245))</f>
        <v/>
      </c>
      <c r="I245" s="30" t="str">
        <f aca="false">IF(H245="","",ROUND(E245*H245,2))</f>
        <v/>
      </c>
      <c r="J245" s="31" t="str">
        <f aca="false">IF(OR(A245="",B245=""),"",IF(YEAR(B245)=Settings!$C$7,MONTH(B245),""))</f>
        <v/>
      </c>
      <c r="K245" s="31" t="str">
        <f aca="false">IF(AND(A245&lt;&gt;"",A245=Statement!$C$6,J245=Statement!$K$7),COUNTIFS(A$6:A245,Statement!$C$6,J$6:J245,Statement!$K$7),"")</f>
        <v/>
      </c>
    </row>
    <row r="246" customFormat="false" ht="15" hidden="false" customHeight="false" outlineLevel="0" collapsed="false">
      <c r="A246" s="10"/>
      <c r="B246" s="28"/>
      <c r="C246" s="10"/>
      <c r="D246" s="10"/>
      <c r="E246" s="26"/>
      <c r="F246" s="10"/>
      <c r="G246" s="25"/>
      <c r="H246" s="29" t="str">
        <f aca="false">IF(OR(A246="",E246=""),"",IF(G246="",IFERROR(INDEX(Settings!$F$13:$F$27,MATCH(A246,Settings!$C$13:$C$27,0)),0),G246))</f>
        <v/>
      </c>
      <c r="I246" s="30" t="str">
        <f aca="false">IF(H246="","",ROUND(E246*H246,2))</f>
        <v/>
      </c>
      <c r="J246" s="31" t="str">
        <f aca="false">IF(OR(A246="",B246=""),"",IF(YEAR(B246)=Settings!$C$7,MONTH(B246),""))</f>
        <v/>
      </c>
      <c r="K246" s="31" t="str">
        <f aca="false">IF(AND(A246&lt;&gt;"",A246=Statement!$C$6,J246=Statement!$K$7),COUNTIFS(A$6:A246,Statement!$C$6,J$6:J246,Statement!$K$7),"")</f>
        <v/>
      </c>
    </row>
    <row r="247" customFormat="false" ht="15" hidden="false" customHeight="false" outlineLevel="0" collapsed="false">
      <c r="A247" s="10"/>
      <c r="B247" s="28"/>
      <c r="C247" s="10"/>
      <c r="D247" s="10"/>
      <c r="E247" s="26"/>
      <c r="F247" s="10"/>
      <c r="G247" s="25"/>
      <c r="H247" s="29" t="str">
        <f aca="false">IF(OR(A247="",E247=""),"",IF(G247="",IFERROR(INDEX(Settings!$F$13:$F$27,MATCH(A247,Settings!$C$13:$C$27,0)),0),G247))</f>
        <v/>
      </c>
      <c r="I247" s="30" t="str">
        <f aca="false">IF(H247="","",ROUND(E247*H247,2))</f>
        <v/>
      </c>
      <c r="J247" s="31" t="str">
        <f aca="false">IF(OR(A247="",B247=""),"",IF(YEAR(B247)=Settings!$C$7,MONTH(B247),""))</f>
        <v/>
      </c>
      <c r="K247" s="31" t="str">
        <f aca="false">IF(AND(A247&lt;&gt;"",A247=Statement!$C$6,J247=Statement!$K$7),COUNTIFS(A$6:A247,Statement!$C$6,J$6:J247,Statement!$K$7),"")</f>
        <v/>
      </c>
    </row>
    <row r="248" customFormat="false" ht="15" hidden="false" customHeight="false" outlineLevel="0" collapsed="false">
      <c r="A248" s="10"/>
      <c r="B248" s="28"/>
      <c r="C248" s="10"/>
      <c r="D248" s="10"/>
      <c r="E248" s="26"/>
      <c r="F248" s="10"/>
      <c r="G248" s="25"/>
      <c r="H248" s="29" t="str">
        <f aca="false">IF(OR(A248="",E248=""),"",IF(G248="",IFERROR(INDEX(Settings!$F$13:$F$27,MATCH(A248,Settings!$C$13:$C$27,0)),0),G248))</f>
        <v/>
      </c>
      <c r="I248" s="30" t="str">
        <f aca="false">IF(H248="","",ROUND(E248*H248,2))</f>
        <v/>
      </c>
      <c r="J248" s="31" t="str">
        <f aca="false">IF(OR(A248="",B248=""),"",IF(YEAR(B248)=Settings!$C$7,MONTH(B248),""))</f>
        <v/>
      </c>
      <c r="K248" s="31" t="str">
        <f aca="false">IF(AND(A248&lt;&gt;"",A248=Statement!$C$6,J248=Statement!$K$7),COUNTIFS(A$6:A248,Statement!$C$6,J$6:J248,Statement!$K$7),"")</f>
        <v/>
      </c>
    </row>
    <row r="249" customFormat="false" ht="15" hidden="false" customHeight="false" outlineLevel="0" collapsed="false">
      <c r="A249" s="10"/>
      <c r="B249" s="28"/>
      <c r="C249" s="10"/>
      <c r="D249" s="10"/>
      <c r="E249" s="26"/>
      <c r="F249" s="10"/>
      <c r="G249" s="25"/>
      <c r="H249" s="29" t="str">
        <f aca="false">IF(OR(A249="",E249=""),"",IF(G249="",IFERROR(INDEX(Settings!$F$13:$F$27,MATCH(A249,Settings!$C$13:$C$27,0)),0),G249))</f>
        <v/>
      </c>
      <c r="I249" s="30" t="str">
        <f aca="false">IF(H249="","",ROUND(E249*H249,2))</f>
        <v/>
      </c>
      <c r="J249" s="31" t="str">
        <f aca="false">IF(OR(A249="",B249=""),"",IF(YEAR(B249)=Settings!$C$7,MONTH(B249),""))</f>
        <v/>
      </c>
      <c r="K249" s="31" t="str">
        <f aca="false">IF(AND(A249&lt;&gt;"",A249=Statement!$C$6,J249=Statement!$K$7),COUNTIFS(A$6:A249,Statement!$C$6,J$6:J249,Statement!$K$7),"")</f>
        <v/>
      </c>
    </row>
    <row r="250" customFormat="false" ht="15" hidden="false" customHeight="false" outlineLevel="0" collapsed="false">
      <c r="A250" s="10"/>
      <c r="B250" s="28"/>
      <c r="C250" s="10"/>
      <c r="D250" s="10"/>
      <c r="E250" s="26"/>
      <c r="F250" s="10"/>
      <c r="G250" s="25"/>
      <c r="H250" s="29" t="str">
        <f aca="false">IF(OR(A250="",E250=""),"",IF(G250="",IFERROR(INDEX(Settings!$F$13:$F$27,MATCH(A250,Settings!$C$13:$C$27,0)),0),G250))</f>
        <v/>
      </c>
      <c r="I250" s="30" t="str">
        <f aca="false">IF(H250="","",ROUND(E250*H250,2))</f>
        <v/>
      </c>
      <c r="J250" s="31" t="str">
        <f aca="false">IF(OR(A250="",B250=""),"",IF(YEAR(B250)=Settings!$C$7,MONTH(B250),""))</f>
        <v/>
      </c>
      <c r="K250" s="31" t="str">
        <f aca="false">IF(AND(A250&lt;&gt;"",A250=Statement!$C$6,J250=Statement!$K$7),COUNTIFS(A$6:A250,Statement!$C$6,J$6:J250,Statement!$K$7),"")</f>
        <v/>
      </c>
    </row>
    <row r="251" customFormat="false" ht="15" hidden="false" customHeight="false" outlineLevel="0" collapsed="false">
      <c r="A251" s="10"/>
      <c r="B251" s="28"/>
      <c r="C251" s="10"/>
      <c r="D251" s="10"/>
      <c r="E251" s="26"/>
      <c r="F251" s="10"/>
      <c r="G251" s="25"/>
      <c r="H251" s="29" t="str">
        <f aca="false">IF(OR(A251="",E251=""),"",IF(G251="",IFERROR(INDEX(Settings!$F$13:$F$27,MATCH(A251,Settings!$C$13:$C$27,0)),0),G251))</f>
        <v/>
      </c>
      <c r="I251" s="30" t="str">
        <f aca="false">IF(H251="","",ROUND(E251*H251,2))</f>
        <v/>
      </c>
      <c r="J251" s="31" t="str">
        <f aca="false">IF(OR(A251="",B251=""),"",IF(YEAR(B251)=Settings!$C$7,MONTH(B251),""))</f>
        <v/>
      </c>
      <c r="K251" s="31" t="str">
        <f aca="false">IF(AND(A251&lt;&gt;"",A251=Statement!$C$6,J251=Statement!$K$7),COUNTIFS(A$6:A251,Statement!$C$6,J$6:J251,Statement!$K$7),"")</f>
        <v/>
      </c>
    </row>
    <row r="252" customFormat="false" ht="15" hidden="false" customHeight="false" outlineLevel="0" collapsed="false">
      <c r="A252" s="10"/>
      <c r="B252" s="28"/>
      <c r="C252" s="10"/>
      <c r="D252" s="10"/>
      <c r="E252" s="26"/>
      <c r="F252" s="10"/>
      <c r="G252" s="25"/>
      <c r="H252" s="29" t="str">
        <f aca="false">IF(OR(A252="",E252=""),"",IF(G252="",IFERROR(INDEX(Settings!$F$13:$F$27,MATCH(A252,Settings!$C$13:$C$27,0)),0),G252))</f>
        <v/>
      </c>
      <c r="I252" s="30" t="str">
        <f aca="false">IF(H252="","",ROUND(E252*H252,2))</f>
        <v/>
      </c>
      <c r="J252" s="31" t="str">
        <f aca="false">IF(OR(A252="",B252=""),"",IF(YEAR(B252)=Settings!$C$7,MONTH(B252),""))</f>
        <v/>
      </c>
      <c r="K252" s="31" t="str">
        <f aca="false">IF(AND(A252&lt;&gt;"",A252=Statement!$C$6,J252=Statement!$K$7),COUNTIFS(A$6:A252,Statement!$C$6,J$6:J252,Statement!$K$7),"")</f>
        <v/>
      </c>
    </row>
    <row r="253" customFormat="false" ht="15" hidden="false" customHeight="false" outlineLevel="0" collapsed="false">
      <c r="A253" s="10"/>
      <c r="B253" s="28"/>
      <c r="C253" s="10"/>
      <c r="D253" s="10"/>
      <c r="E253" s="26"/>
      <c r="F253" s="10"/>
      <c r="G253" s="25"/>
      <c r="H253" s="29" t="str">
        <f aca="false">IF(OR(A253="",E253=""),"",IF(G253="",IFERROR(INDEX(Settings!$F$13:$F$27,MATCH(A253,Settings!$C$13:$C$27,0)),0),G253))</f>
        <v/>
      </c>
      <c r="I253" s="30" t="str">
        <f aca="false">IF(H253="","",ROUND(E253*H253,2))</f>
        <v/>
      </c>
      <c r="J253" s="31" t="str">
        <f aca="false">IF(OR(A253="",B253=""),"",IF(YEAR(B253)=Settings!$C$7,MONTH(B253),""))</f>
        <v/>
      </c>
      <c r="K253" s="31" t="str">
        <f aca="false">IF(AND(A253&lt;&gt;"",A253=Statement!$C$6,J253=Statement!$K$7),COUNTIFS(A$6:A253,Statement!$C$6,J$6:J253,Statement!$K$7),"")</f>
        <v/>
      </c>
    </row>
    <row r="254" customFormat="false" ht="15" hidden="false" customHeight="false" outlineLevel="0" collapsed="false">
      <c r="A254" s="10"/>
      <c r="B254" s="28"/>
      <c r="C254" s="10"/>
      <c r="D254" s="10"/>
      <c r="E254" s="26"/>
      <c r="F254" s="10"/>
      <c r="G254" s="25"/>
      <c r="H254" s="29" t="str">
        <f aca="false">IF(OR(A254="",E254=""),"",IF(G254="",IFERROR(INDEX(Settings!$F$13:$F$27,MATCH(A254,Settings!$C$13:$C$27,0)),0),G254))</f>
        <v/>
      </c>
      <c r="I254" s="30" t="str">
        <f aca="false">IF(H254="","",ROUND(E254*H254,2))</f>
        <v/>
      </c>
      <c r="J254" s="31" t="str">
        <f aca="false">IF(OR(A254="",B254=""),"",IF(YEAR(B254)=Settings!$C$7,MONTH(B254),""))</f>
        <v/>
      </c>
      <c r="K254" s="31" t="str">
        <f aca="false">IF(AND(A254&lt;&gt;"",A254=Statement!$C$6,J254=Statement!$K$7),COUNTIFS(A$6:A254,Statement!$C$6,J$6:J254,Statement!$K$7),"")</f>
        <v/>
      </c>
    </row>
    <row r="255" customFormat="false" ht="15" hidden="false" customHeight="false" outlineLevel="0" collapsed="false">
      <c r="A255" s="10"/>
      <c r="B255" s="28"/>
      <c r="C255" s="10"/>
      <c r="D255" s="10"/>
      <c r="E255" s="26"/>
      <c r="F255" s="10"/>
      <c r="G255" s="25"/>
      <c r="H255" s="29" t="str">
        <f aca="false">IF(OR(A255="",E255=""),"",IF(G255="",IFERROR(INDEX(Settings!$F$13:$F$27,MATCH(A255,Settings!$C$13:$C$27,0)),0),G255))</f>
        <v/>
      </c>
      <c r="I255" s="30" t="str">
        <f aca="false">IF(H255="","",ROUND(E255*H255,2))</f>
        <v/>
      </c>
      <c r="J255" s="31" t="str">
        <f aca="false">IF(OR(A255="",B255=""),"",IF(YEAR(B255)=Settings!$C$7,MONTH(B255),""))</f>
        <v/>
      </c>
      <c r="K255" s="31" t="str">
        <f aca="false">IF(AND(A255&lt;&gt;"",A255=Statement!$C$6,J255=Statement!$K$7),COUNTIFS(A$6:A255,Statement!$C$6,J$6:J255,Statement!$K$7),"")</f>
        <v/>
      </c>
    </row>
    <row r="256" customFormat="false" ht="15" hidden="false" customHeight="false" outlineLevel="0" collapsed="false">
      <c r="A256" s="10"/>
      <c r="B256" s="28"/>
      <c r="C256" s="10"/>
      <c r="D256" s="10"/>
      <c r="E256" s="26"/>
      <c r="F256" s="10"/>
      <c r="G256" s="25"/>
      <c r="H256" s="29" t="str">
        <f aca="false">IF(OR(A256="",E256=""),"",IF(G256="",IFERROR(INDEX(Settings!$F$13:$F$27,MATCH(A256,Settings!$C$13:$C$27,0)),0),G256))</f>
        <v/>
      </c>
      <c r="I256" s="30" t="str">
        <f aca="false">IF(H256="","",ROUND(E256*H256,2))</f>
        <v/>
      </c>
      <c r="J256" s="31" t="str">
        <f aca="false">IF(OR(A256="",B256=""),"",IF(YEAR(B256)=Settings!$C$7,MONTH(B256),""))</f>
        <v/>
      </c>
      <c r="K256" s="31" t="str">
        <f aca="false">IF(AND(A256&lt;&gt;"",A256=Statement!$C$6,J256=Statement!$K$7),COUNTIFS(A$6:A256,Statement!$C$6,J$6:J256,Statement!$K$7),"")</f>
        <v/>
      </c>
    </row>
    <row r="257" customFormat="false" ht="15" hidden="false" customHeight="false" outlineLevel="0" collapsed="false">
      <c r="A257" s="10"/>
      <c r="B257" s="28"/>
      <c r="C257" s="10"/>
      <c r="D257" s="10"/>
      <c r="E257" s="26"/>
      <c r="F257" s="10"/>
      <c r="G257" s="25"/>
      <c r="H257" s="29" t="str">
        <f aca="false">IF(OR(A257="",E257=""),"",IF(G257="",IFERROR(INDEX(Settings!$F$13:$F$27,MATCH(A257,Settings!$C$13:$C$27,0)),0),G257))</f>
        <v/>
      </c>
      <c r="I257" s="30" t="str">
        <f aca="false">IF(H257="","",ROUND(E257*H257,2))</f>
        <v/>
      </c>
      <c r="J257" s="31" t="str">
        <f aca="false">IF(OR(A257="",B257=""),"",IF(YEAR(B257)=Settings!$C$7,MONTH(B257),""))</f>
        <v/>
      </c>
      <c r="K257" s="31" t="str">
        <f aca="false">IF(AND(A257&lt;&gt;"",A257=Statement!$C$6,J257=Statement!$K$7),COUNTIFS(A$6:A257,Statement!$C$6,J$6:J257,Statement!$K$7),"")</f>
        <v/>
      </c>
    </row>
    <row r="258" customFormat="false" ht="15" hidden="false" customHeight="false" outlineLevel="0" collapsed="false">
      <c r="A258" s="10"/>
      <c r="B258" s="28"/>
      <c r="C258" s="10"/>
      <c r="D258" s="10"/>
      <c r="E258" s="26"/>
      <c r="F258" s="10"/>
      <c r="G258" s="25"/>
      <c r="H258" s="29" t="str">
        <f aca="false">IF(OR(A258="",E258=""),"",IF(G258="",IFERROR(INDEX(Settings!$F$13:$F$27,MATCH(A258,Settings!$C$13:$C$27,0)),0),G258))</f>
        <v/>
      </c>
      <c r="I258" s="30" t="str">
        <f aca="false">IF(H258="","",ROUND(E258*H258,2))</f>
        <v/>
      </c>
      <c r="J258" s="31" t="str">
        <f aca="false">IF(OR(A258="",B258=""),"",IF(YEAR(B258)=Settings!$C$7,MONTH(B258),""))</f>
        <v/>
      </c>
      <c r="K258" s="31" t="str">
        <f aca="false">IF(AND(A258&lt;&gt;"",A258=Statement!$C$6,J258=Statement!$K$7),COUNTIFS(A$6:A258,Statement!$C$6,J$6:J258,Statement!$K$7),"")</f>
        <v/>
      </c>
    </row>
    <row r="259" customFormat="false" ht="15" hidden="false" customHeight="false" outlineLevel="0" collapsed="false">
      <c r="A259" s="10"/>
      <c r="B259" s="28"/>
      <c r="C259" s="10"/>
      <c r="D259" s="10"/>
      <c r="E259" s="26"/>
      <c r="F259" s="10"/>
      <c r="G259" s="25"/>
      <c r="H259" s="29" t="str">
        <f aca="false">IF(OR(A259="",E259=""),"",IF(G259="",IFERROR(INDEX(Settings!$F$13:$F$27,MATCH(A259,Settings!$C$13:$C$27,0)),0),G259))</f>
        <v/>
      </c>
      <c r="I259" s="30" t="str">
        <f aca="false">IF(H259="","",ROUND(E259*H259,2))</f>
        <v/>
      </c>
      <c r="J259" s="31" t="str">
        <f aca="false">IF(OR(A259="",B259=""),"",IF(YEAR(B259)=Settings!$C$7,MONTH(B259),""))</f>
        <v/>
      </c>
      <c r="K259" s="31" t="str">
        <f aca="false">IF(AND(A259&lt;&gt;"",A259=Statement!$C$6,J259=Statement!$K$7),COUNTIFS(A$6:A259,Statement!$C$6,J$6:J259,Statement!$K$7),"")</f>
        <v/>
      </c>
    </row>
    <row r="260" customFormat="false" ht="15" hidden="false" customHeight="false" outlineLevel="0" collapsed="false">
      <c r="A260" s="10"/>
      <c r="B260" s="28"/>
      <c r="C260" s="10"/>
      <c r="D260" s="10"/>
      <c r="E260" s="26"/>
      <c r="F260" s="10"/>
      <c r="G260" s="25"/>
      <c r="H260" s="29" t="str">
        <f aca="false">IF(OR(A260="",E260=""),"",IF(G260="",IFERROR(INDEX(Settings!$F$13:$F$27,MATCH(A260,Settings!$C$13:$C$27,0)),0),G260))</f>
        <v/>
      </c>
      <c r="I260" s="30" t="str">
        <f aca="false">IF(H260="","",ROUND(E260*H260,2))</f>
        <v/>
      </c>
      <c r="J260" s="31" t="str">
        <f aca="false">IF(OR(A260="",B260=""),"",IF(YEAR(B260)=Settings!$C$7,MONTH(B260),""))</f>
        <v/>
      </c>
      <c r="K260" s="31" t="str">
        <f aca="false">IF(AND(A260&lt;&gt;"",A260=Statement!$C$6,J260=Statement!$K$7),COUNTIFS(A$6:A260,Statement!$C$6,J$6:J260,Statement!$K$7),"")</f>
        <v/>
      </c>
    </row>
    <row r="261" customFormat="false" ht="15" hidden="false" customHeight="false" outlineLevel="0" collapsed="false">
      <c r="A261" s="10"/>
      <c r="B261" s="28"/>
      <c r="C261" s="10"/>
      <c r="D261" s="10"/>
      <c r="E261" s="26"/>
      <c r="F261" s="10"/>
      <c r="G261" s="25"/>
      <c r="H261" s="29" t="str">
        <f aca="false">IF(OR(A261="",E261=""),"",IF(G261="",IFERROR(INDEX(Settings!$F$13:$F$27,MATCH(A261,Settings!$C$13:$C$27,0)),0),G261))</f>
        <v/>
      </c>
      <c r="I261" s="30" t="str">
        <f aca="false">IF(H261="","",ROUND(E261*H261,2))</f>
        <v/>
      </c>
      <c r="J261" s="31" t="str">
        <f aca="false">IF(OR(A261="",B261=""),"",IF(YEAR(B261)=Settings!$C$7,MONTH(B261),""))</f>
        <v/>
      </c>
      <c r="K261" s="31" t="str">
        <f aca="false">IF(AND(A261&lt;&gt;"",A261=Statement!$C$6,J261=Statement!$K$7),COUNTIFS(A$6:A261,Statement!$C$6,J$6:J261,Statement!$K$7),"")</f>
        <v/>
      </c>
    </row>
    <row r="262" customFormat="false" ht="15" hidden="false" customHeight="false" outlineLevel="0" collapsed="false">
      <c r="A262" s="10"/>
      <c r="B262" s="28"/>
      <c r="C262" s="10"/>
      <c r="D262" s="10"/>
      <c r="E262" s="26"/>
      <c r="F262" s="10"/>
      <c r="G262" s="25"/>
      <c r="H262" s="29" t="str">
        <f aca="false">IF(OR(A262="",E262=""),"",IF(G262="",IFERROR(INDEX(Settings!$F$13:$F$27,MATCH(A262,Settings!$C$13:$C$27,0)),0),G262))</f>
        <v/>
      </c>
      <c r="I262" s="30" t="str">
        <f aca="false">IF(H262="","",ROUND(E262*H262,2))</f>
        <v/>
      </c>
      <c r="J262" s="31" t="str">
        <f aca="false">IF(OR(A262="",B262=""),"",IF(YEAR(B262)=Settings!$C$7,MONTH(B262),""))</f>
        <v/>
      </c>
      <c r="K262" s="31" t="str">
        <f aca="false">IF(AND(A262&lt;&gt;"",A262=Statement!$C$6,J262=Statement!$K$7),COUNTIFS(A$6:A262,Statement!$C$6,J$6:J262,Statement!$K$7),"")</f>
        <v/>
      </c>
    </row>
    <row r="263" customFormat="false" ht="15" hidden="false" customHeight="false" outlineLevel="0" collapsed="false">
      <c r="A263" s="10"/>
      <c r="B263" s="28"/>
      <c r="C263" s="10"/>
      <c r="D263" s="10"/>
      <c r="E263" s="26"/>
      <c r="F263" s="10"/>
      <c r="G263" s="25"/>
      <c r="H263" s="29" t="str">
        <f aca="false">IF(OR(A263="",E263=""),"",IF(G263="",IFERROR(INDEX(Settings!$F$13:$F$27,MATCH(A263,Settings!$C$13:$C$27,0)),0),G263))</f>
        <v/>
      </c>
      <c r="I263" s="30" t="str">
        <f aca="false">IF(H263="","",ROUND(E263*H263,2))</f>
        <v/>
      </c>
      <c r="J263" s="31" t="str">
        <f aca="false">IF(OR(A263="",B263=""),"",IF(YEAR(B263)=Settings!$C$7,MONTH(B263),""))</f>
        <v/>
      </c>
      <c r="K263" s="31" t="str">
        <f aca="false">IF(AND(A263&lt;&gt;"",A263=Statement!$C$6,J263=Statement!$K$7),COUNTIFS(A$6:A263,Statement!$C$6,J$6:J263,Statement!$K$7),"")</f>
        <v/>
      </c>
    </row>
    <row r="264" customFormat="false" ht="15" hidden="false" customHeight="false" outlineLevel="0" collapsed="false">
      <c r="A264" s="10"/>
      <c r="B264" s="28"/>
      <c r="C264" s="10"/>
      <c r="D264" s="10"/>
      <c r="E264" s="26"/>
      <c r="F264" s="10"/>
      <c r="G264" s="25"/>
      <c r="H264" s="29" t="str">
        <f aca="false">IF(OR(A264="",E264=""),"",IF(G264="",IFERROR(INDEX(Settings!$F$13:$F$27,MATCH(A264,Settings!$C$13:$C$27,0)),0),G264))</f>
        <v/>
      </c>
      <c r="I264" s="30" t="str">
        <f aca="false">IF(H264="","",ROUND(E264*H264,2))</f>
        <v/>
      </c>
      <c r="J264" s="31" t="str">
        <f aca="false">IF(OR(A264="",B264=""),"",IF(YEAR(B264)=Settings!$C$7,MONTH(B264),""))</f>
        <v/>
      </c>
      <c r="K264" s="31" t="str">
        <f aca="false">IF(AND(A264&lt;&gt;"",A264=Statement!$C$6,J264=Statement!$K$7),COUNTIFS(A$6:A264,Statement!$C$6,J$6:J264,Statement!$K$7),"")</f>
        <v/>
      </c>
    </row>
    <row r="265" customFormat="false" ht="15" hidden="false" customHeight="false" outlineLevel="0" collapsed="false">
      <c r="A265" s="10"/>
      <c r="B265" s="28"/>
      <c r="C265" s="10"/>
      <c r="D265" s="10"/>
      <c r="E265" s="26"/>
      <c r="F265" s="10"/>
      <c r="G265" s="25"/>
      <c r="H265" s="29" t="str">
        <f aca="false">IF(OR(A265="",E265=""),"",IF(G265="",IFERROR(INDEX(Settings!$F$13:$F$27,MATCH(A265,Settings!$C$13:$C$27,0)),0),G265))</f>
        <v/>
      </c>
      <c r="I265" s="30" t="str">
        <f aca="false">IF(H265="","",ROUND(E265*H265,2))</f>
        <v/>
      </c>
      <c r="J265" s="31" t="str">
        <f aca="false">IF(OR(A265="",B265=""),"",IF(YEAR(B265)=Settings!$C$7,MONTH(B265),""))</f>
        <v/>
      </c>
      <c r="K265" s="31" t="str">
        <f aca="false">IF(AND(A265&lt;&gt;"",A265=Statement!$C$6,J265=Statement!$K$7),COUNTIFS(A$6:A265,Statement!$C$6,J$6:J265,Statement!$K$7),"")</f>
        <v/>
      </c>
    </row>
    <row r="266" customFormat="false" ht="15" hidden="false" customHeight="false" outlineLevel="0" collapsed="false">
      <c r="A266" s="10"/>
      <c r="B266" s="28"/>
      <c r="C266" s="10"/>
      <c r="D266" s="10"/>
      <c r="E266" s="26"/>
      <c r="F266" s="10"/>
      <c r="G266" s="25"/>
      <c r="H266" s="29" t="str">
        <f aca="false">IF(OR(A266="",E266=""),"",IF(G266="",IFERROR(INDEX(Settings!$F$13:$F$27,MATCH(A266,Settings!$C$13:$C$27,0)),0),G266))</f>
        <v/>
      </c>
      <c r="I266" s="30" t="str">
        <f aca="false">IF(H266="","",ROUND(E266*H266,2))</f>
        <v/>
      </c>
      <c r="J266" s="31" t="str">
        <f aca="false">IF(OR(A266="",B266=""),"",IF(YEAR(B266)=Settings!$C$7,MONTH(B266),""))</f>
        <v/>
      </c>
      <c r="K266" s="31" t="str">
        <f aca="false">IF(AND(A266&lt;&gt;"",A266=Statement!$C$6,J266=Statement!$K$7),COUNTIFS(A$6:A266,Statement!$C$6,J$6:J266,Statement!$K$7),"")</f>
        <v/>
      </c>
    </row>
    <row r="267" customFormat="false" ht="15" hidden="false" customHeight="false" outlineLevel="0" collapsed="false">
      <c r="A267" s="10"/>
      <c r="B267" s="28"/>
      <c r="C267" s="10"/>
      <c r="D267" s="10"/>
      <c r="E267" s="26"/>
      <c r="F267" s="10"/>
      <c r="G267" s="25"/>
      <c r="H267" s="29" t="str">
        <f aca="false">IF(OR(A267="",E267=""),"",IF(G267="",IFERROR(INDEX(Settings!$F$13:$F$27,MATCH(A267,Settings!$C$13:$C$27,0)),0),G267))</f>
        <v/>
      </c>
      <c r="I267" s="30" t="str">
        <f aca="false">IF(H267="","",ROUND(E267*H267,2))</f>
        <v/>
      </c>
      <c r="J267" s="31" t="str">
        <f aca="false">IF(OR(A267="",B267=""),"",IF(YEAR(B267)=Settings!$C$7,MONTH(B267),""))</f>
        <v/>
      </c>
      <c r="K267" s="31" t="str">
        <f aca="false">IF(AND(A267&lt;&gt;"",A267=Statement!$C$6,J267=Statement!$K$7),COUNTIFS(A$6:A267,Statement!$C$6,J$6:J267,Statement!$K$7),"")</f>
        <v/>
      </c>
    </row>
    <row r="268" customFormat="false" ht="15" hidden="false" customHeight="false" outlineLevel="0" collapsed="false">
      <c r="A268" s="10"/>
      <c r="B268" s="28"/>
      <c r="C268" s="10"/>
      <c r="D268" s="10"/>
      <c r="E268" s="26"/>
      <c r="F268" s="10"/>
      <c r="G268" s="25"/>
      <c r="H268" s="29" t="str">
        <f aca="false">IF(OR(A268="",E268=""),"",IF(G268="",IFERROR(INDEX(Settings!$F$13:$F$27,MATCH(A268,Settings!$C$13:$C$27,0)),0),G268))</f>
        <v/>
      </c>
      <c r="I268" s="30" t="str">
        <f aca="false">IF(H268="","",ROUND(E268*H268,2))</f>
        <v/>
      </c>
      <c r="J268" s="31" t="str">
        <f aca="false">IF(OR(A268="",B268=""),"",IF(YEAR(B268)=Settings!$C$7,MONTH(B268),""))</f>
        <v/>
      </c>
      <c r="K268" s="31" t="str">
        <f aca="false">IF(AND(A268&lt;&gt;"",A268=Statement!$C$6,J268=Statement!$K$7),COUNTIFS(A$6:A268,Statement!$C$6,J$6:J268,Statement!$K$7),"")</f>
        <v/>
      </c>
    </row>
    <row r="269" customFormat="false" ht="15" hidden="false" customHeight="false" outlineLevel="0" collapsed="false">
      <c r="A269" s="10"/>
      <c r="B269" s="28"/>
      <c r="C269" s="10"/>
      <c r="D269" s="10"/>
      <c r="E269" s="26"/>
      <c r="F269" s="10"/>
      <c r="G269" s="25"/>
      <c r="H269" s="29" t="str">
        <f aca="false">IF(OR(A269="",E269=""),"",IF(G269="",IFERROR(INDEX(Settings!$F$13:$F$27,MATCH(A269,Settings!$C$13:$C$27,0)),0),G269))</f>
        <v/>
      </c>
      <c r="I269" s="30" t="str">
        <f aca="false">IF(H269="","",ROUND(E269*H269,2))</f>
        <v/>
      </c>
      <c r="J269" s="31" t="str">
        <f aca="false">IF(OR(A269="",B269=""),"",IF(YEAR(B269)=Settings!$C$7,MONTH(B269),""))</f>
        <v/>
      </c>
      <c r="K269" s="31" t="str">
        <f aca="false">IF(AND(A269&lt;&gt;"",A269=Statement!$C$6,J269=Statement!$K$7),COUNTIFS(A$6:A269,Statement!$C$6,J$6:J269,Statement!$K$7),"")</f>
        <v/>
      </c>
    </row>
    <row r="270" customFormat="false" ht="15" hidden="false" customHeight="false" outlineLevel="0" collapsed="false">
      <c r="A270" s="10"/>
      <c r="B270" s="28"/>
      <c r="C270" s="10"/>
      <c r="D270" s="10"/>
      <c r="E270" s="26"/>
      <c r="F270" s="10"/>
      <c r="G270" s="25"/>
      <c r="H270" s="29" t="str">
        <f aca="false">IF(OR(A270="",E270=""),"",IF(G270="",IFERROR(INDEX(Settings!$F$13:$F$27,MATCH(A270,Settings!$C$13:$C$27,0)),0),G270))</f>
        <v/>
      </c>
      <c r="I270" s="30" t="str">
        <f aca="false">IF(H270="","",ROUND(E270*H270,2))</f>
        <v/>
      </c>
      <c r="J270" s="31" t="str">
        <f aca="false">IF(OR(A270="",B270=""),"",IF(YEAR(B270)=Settings!$C$7,MONTH(B270),""))</f>
        <v/>
      </c>
      <c r="K270" s="31" t="str">
        <f aca="false">IF(AND(A270&lt;&gt;"",A270=Statement!$C$6,J270=Statement!$K$7),COUNTIFS(A$6:A270,Statement!$C$6,J$6:J270,Statement!$K$7),"")</f>
        <v/>
      </c>
    </row>
    <row r="271" customFormat="false" ht="15" hidden="false" customHeight="false" outlineLevel="0" collapsed="false">
      <c r="A271" s="10"/>
      <c r="B271" s="28"/>
      <c r="C271" s="10"/>
      <c r="D271" s="10"/>
      <c r="E271" s="26"/>
      <c r="F271" s="10"/>
      <c r="G271" s="25"/>
      <c r="H271" s="29" t="str">
        <f aca="false">IF(OR(A271="",E271=""),"",IF(G271="",IFERROR(INDEX(Settings!$F$13:$F$27,MATCH(A271,Settings!$C$13:$C$27,0)),0),G271))</f>
        <v/>
      </c>
      <c r="I271" s="30" t="str">
        <f aca="false">IF(H271="","",ROUND(E271*H271,2))</f>
        <v/>
      </c>
      <c r="J271" s="31" t="str">
        <f aca="false">IF(OR(A271="",B271=""),"",IF(YEAR(B271)=Settings!$C$7,MONTH(B271),""))</f>
        <v/>
      </c>
      <c r="K271" s="31" t="str">
        <f aca="false">IF(AND(A271&lt;&gt;"",A271=Statement!$C$6,J271=Statement!$K$7),COUNTIFS(A$6:A271,Statement!$C$6,J$6:J271,Statement!$K$7),"")</f>
        <v/>
      </c>
    </row>
    <row r="272" customFormat="false" ht="15" hidden="false" customHeight="false" outlineLevel="0" collapsed="false">
      <c r="A272" s="10"/>
      <c r="B272" s="28"/>
      <c r="C272" s="10"/>
      <c r="D272" s="10"/>
      <c r="E272" s="26"/>
      <c r="F272" s="10"/>
      <c r="G272" s="25"/>
      <c r="H272" s="29" t="str">
        <f aca="false">IF(OR(A272="",E272=""),"",IF(G272="",IFERROR(INDEX(Settings!$F$13:$F$27,MATCH(A272,Settings!$C$13:$C$27,0)),0),G272))</f>
        <v/>
      </c>
      <c r="I272" s="30" t="str">
        <f aca="false">IF(H272="","",ROUND(E272*H272,2))</f>
        <v/>
      </c>
      <c r="J272" s="31" t="str">
        <f aca="false">IF(OR(A272="",B272=""),"",IF(YEAR(B272)=Settings!$C$7,MONTH(B272),""))</f>
        <v/>
      </c>
      <c r="K272" s="31" t="str">
        <f aca="false">IF(AND(A272&lt;&gt;"",A272=Statement!$C$6,J272=Statement!$K$7),COUNTIFS(A$6:A272,Statement!$C$6,J$6:J272,Statement!$K$7),"")</f>
        <v/>
      </c>
    </row>
    <row r="273" customFormat="false" ht="15" hidden="false" customHeight="false" outlineLevel="0" collapsed="false">
      <c r="A273" s="10"/>
      <c r="B273" s="28"/>
      <c r="C273" s="10"/>
      <c r="D273" s="10"/>
      <c r="E273" s="26"/>
      <c r="F273" s="10"/>
      <c r="G273" s="25"/>
      <c r="H273" s="29" t="str">
        <f aca="false">IF(OR(A273="",E273=""),"",IF(G273="",IFERROR(INDEX(Settings!$F$13:$F$27,MATCH(A273,Settings!$C$13:$C$27,0)),0),G273))</f>
        <v/>
      </c>
      <c r="I273" s="30" t="str">
        <f aca="false">IF(H273="","",ROUND(E273*H273,2))</f>
        <v/>
      </c>
      <c r="J273" s="31" t="str">
        <f aca="false">IF(OR(A273="",B273=""),"",IF(YEAR(B273)=Settings!$C$7,MONTH(B273),""))</f>
        <v/>
      </c>
      <c r="K273" s="31" t="str">
        <f aca="false">IF(AND(A273&lt;&gt;"",A273=Statement!$C$6,J273=Statement!$K$7),COUNTIFS(A$6:A273,Statement!$C$6,J$6:J273,Statement!$K$7),"")</f>
        <v/>
      </c>
    </row>
    <row r="274" customFormat="false" ht="15" hidden="false" customHeight="false" outlineLevel="0" collapsed="false">
      <c r="A274" s="10"/>
      <c r="B274" s="28"/>
      <c r="C274" s="10"/>
      <c r="D274" s="10"/>
      <c r="E274" s="26"/>
      <c r="F274" s="10"/>
      <c r="G274" s="25"/>
      <c r="H274" s="29" t="str">
        <f aca="false">IF(OR(A274="",E274=""),"",IF(G274="",IFERROR(INDEX(Settings!$F$13:$F$27,MATCH(A274,Settings!$C$13:$C$27,0)),0),G274))</f>
        <v/>
      </c>
      <c r="I274" s="30" t="str">
        <f aca="false">IF(H274="","",ROUND(E274*H274,2))</f>
        <v/>
      </c>
      <c r="J274" s="31" t="str">
        <f aca="false">IF(OR(A274="",B274=""),"",IF(YEAR(B274)=Settings!$C$7,MONTH(B274),""))</f>
        <v/>
      </c>
      <c r="K274" s="31" t="str">
        <f aca="false">IF(AND(A274&lt;&gt;"",A274=Statement!$C$6,J274=Statement!$K$7),COUNTIFS(A$6:A274,Statement!$C$6,J$6:J274,Statement!$K$7),"")</f>
        <v/>
      </c>
    </row>
    <row r="275" customFormat="false" ht="15" hidden="false" customHeight="false" outlineLevel="0" collapsed="false">
      <c r="A275" s="10"/>
      <c r="B275" s="28"/>
      <c r="C275" s="10"/>
      <c r="D275" s="10"/>
      <c r="E275" s="26"/>
      <c r="F275" s="10"/>
      <c r="G275" s="25"/>
      <c r="H275" s="29" t="str">
        <f aca="false">IF(OR(A275="",E275=""),"",IF(G275="",IFERROR(INDEX(Settings!$F$13:$F$27,MATCH(A275,Settings!$C$13:$C$27,0)),0),G275))</f>
        <v/>
      </c>
      <c r="I275" s="30" t="str">
        <f aca="false">IF(H275="","",ROUND(E275*H275,2))</f>
        <v/>
      </c>
      <c r="J275" s="31" t="str">
        <f aca="false">IF(OR(A275="",B275=""),"",IF(YEAR(B275)=Settings!$C$7,MONTH(B275),""))</f>
        <v/>
      </c>
      <c r="K275" s="31" t="str">
        <f aca="false">IF(AND(A275&lt;&gt;"",A275=Statement!$C$6,J275=Statement!$K$7),COUNTIFS(A$6:A275,Statement!$C$6,J$6:J275,Statement!$K$7),"")</f>
        <v/>
      </c>
    </row>
    <row r="276" customFormat="false" ht="15" hidden="false" customHeight="false" outlineLevel="0" collapsed="false">
      <c r="A276" s="10"/>
      <c r="B276" s="28"/>
      <c r="C276" s="10"/>
      <c r="D276" s="10"/>
      <c r="E276" s="26"/>
      <c r="F276" s="10"/>
      <c r="G276" s="25"/>
      <c r="H276" s="29" t="str">
        <f aca="false">IF(OR(A276="",E276=""),"",IF(G276="",IFERROR(INDEX(Settings!$F$13:$F$27,MATCH(A276,Settings!$C$13:$C$27,0)),0),G276))</f>
        <v/>
      </c>
      <c r="I276" s="30" t="str">
        <f aca="false">IF(H276="","",ROUND(E276*H276,2))</f>
        <v/>
      </c>
      <c r="J276" s="31" t="str">
        <f aca="false">IF(OR(A276="",B276=""),"",IF(YEAR(B276)=Settings!$C$7,MONTH(B276),""))</f>
        <v/>
      </c>
      <c r="K276" s="31" t="str">
        <f aca="false">IF(AND(A276&lt;&gt;"",A276=Statement!$C$6,J276=Statement!$K$7),COUNTIFS(A$6:A276,Statement!$C$6,J$6:J276,Statement!$K$7),"")</f>
        <v/>
      </c>
    </row>
    <row r="277" customFormat="false" ht="15" hidden="false" customHeight="false" outlineLevel="0" collapsed="false">
      <c r="A277" s="10"/>
      <c r="B277" s="28"/>
      <c r="C277" s="10"/>
      <c r="D277" s="10"/>
      <c r="E277" s="26"/>
      <c r="F277" s="10"/>
      <c r="G277" s="25"/>
      <c r="H277" s="29" t="str">
        <f aca="false">IF(OR(A277="",E277=""),"",IF(G277="",IFERROR(INDEX(Settings!$F$13:$F$27,MATCH(A277,Settings!$C$13:$C$27,0)),0),G277))</f>
        <v/>
      </c>
      <c r="I277" s="30" t="str">
        <f aca="false">IF(H277="","",ROUND(E277*H277,2))</f>
        <v/>
      </c>
      <c r="J277" s="31" t="str">
        <f aca="false">IF(OR(A277="",B277=""),"",IF(YEAR(B277)=Settings!$C$7,MONTH(B277),""))</f>
        <v/>
      </c>
      <c r="K277" s="31" t="str">
        <f aca="false">IF(AND(A277&lt;&gt;"",A277=Statement!$C$6,J277=Statement!$K$7),COUNTIFS(A$6:A277,Statement!$C$6,J$6:J277,Statement!$K$7),"")</f>
        <v/>
      </c>
    </row>
    <row r="278" customFormat="false" ht="15" hidden="false" customHeight="false" outlineLevel="0" collapsed="false">
      <c r="A278" s="10"/>
      <c r="B278" s="28"/>
      <c r="C278" s="10"/>
      <c r="D278" s="10"/>
      <c r="E278" s="26"/>
      <c r="F278" s="10"/>
      <c r="G278" s="25"/>
      <c r="H278" s="29" t="str">
        <f aca="false">IF(OR(A278="",E278=""),"",IF(G278="",IFERROR(INDEX(Settings!$F$13:$F$27,MATCH(A278,Settings!$C$13:$C$27,0)),0),G278))</f>
        <v/>
      </c>
      <c r="I278" s="30" t="str">
        <f aca="false">IF(H278="","",ROUND(E278*H278,2))</f>
        <v/>
      </c>
      <c r="J278" s="31" t="str">
        <f aca="false">IF(OR(A278="",B278=""),"",IF(YEAR(B278)=Settings!$C$7,MONTH(B278),""))</f>
        <v/>
      </c>
      <c r="K278" s="31" t="str">
        <f aca="false">IF(AND(A278&lt;&gt;"",A278=Statement!$C$6,J278=Statement!$K$7),COUNTIFS(A$6:A278,Statement!$C$6,J$6:J278,Statement!$K$7),"")</f>
        <v/>
      </c>
    </row>
    <row r="279" customFormat="false" ht="15" hidden="false" customHeight="false" outlineLevel="0" collapsed="false">
      <c r="A279" s="10"/>
      <c r="B279" s="28"/>
      <c r="C279" s="10"/>
      <c r="D279" s="10"/>
      <c r="E279" s="26"/>
      <c r="F279" s="10"/>
      <c r="G279" s="25"/>
      <c r="H279" s="29" t="str">
        <f aca="false">IF(OR(A279="",E279=""),"",IF(G279="",IFERROR(INDEX(Settings!$F$13:$F$27,MATCH(A279,Settings!$C$13:$C$27,0)),0),G279))</f>
        <v/>
      </c>
      <c r="I279" s="30" t="str">
        <f aca="false">IF(H279="","",ROUND(E279*H279,2))</f>
        <v/>
      </c>
      <c r="J279" s="31" t="str">
        <f aca="false">IF(OR(A279="",B279=""),"",IF(YEAR(B279)=Settings!$C$7,MONTH(B279),""))</f>
        <v/>
      </c>
      <c r="K279" s="31" t="str">
        <f aca="false">IF(AND(A279&lt;&gt;"",A279=Statement!$C$6,J279=Statement!$K$7),COUNTIFS(A$6:A279,Statement!$C$6,J$6:J279,Statement!$K$7),"")</f>
        <v/>
      </c>
    </row>
    <row r="280" customFormat="false" ht="15" hidden="false" customHeight="false" outlineLevel="0" collapsed="false">
      <c r="A280" s="10"/>
      <c r="B280" s="28"/>
      <c r="C280" s="10"/>
      <c r="D280" s="10"/>
      <c r="E280" s="26"/>
      <c r="F280" s="10"/>
      <c r="G280" s="25"/>
      <c r="H280" s="29" t="str">
        <f aca="false">IF(OR(A280="",E280=""),"",IF(G280="",IFERROR(INDEX(Settings!$F$13:$F$27,MATCH(A280,Settings!$C$13:$C$27,0)),0),G280))</f>
        <v/>
      </c>
      <c r="I280" s="30" t="str">
        <f aca="false">IF(H280="","",ROUND(E280*H280,2))</f>
        <v/>
      </c>
      <c r="J280" s="31" t="str">
        <f aca="false">IF(OR(A280="",B280=""),"",IF(YEAR(B280)=Settings!$C$7,MONTH(B280),""))</f>
        <v/>
      </c>
      <c r="K280" s="31" t="str">
        <f aca="false">IF(AND(A280&lt;&gt;"",A280=Statement!$C$6,J280=Statement!$K$7),COUNTIFS(A$6:A280,Statement!$C$6,J$6:J280,Statement!$K$7),"")</f>
        <v/>
      </c>
    </row>
    <row r="281" customFormat="false" ht="15" hidden="false" customHeight="false" outlineLevel="0" collapsed="false">
      <c r="A281" s="10"/>
      <c r="B281" s="28"/>
      <c r="C281" s="10"/>
      <c r="D281" s="10"/>
      <c r="E281" s="26"/>
      <c r="F281" s="10"/>
      <c r="G281" s="25"/>
      <c r="H281" s="29" t="str">
        <f aca="false">IF(OR(A281="",E281=""),"",IF(G281="",IFERROR(INDEX(Settings!$F$13:$F$27,MATCH(A281,Settings!$C$13:$C$27,0)),0),G281))</f>
        <v/>
      </c>
      <c r="I281" s="30" t="str">
        <f aca="false">IF(H281="","",ROUND(E281*H281,2))</f>
        <v/>
      </c>
      <c r="J281" s="31" t="str">
        <f aca="false">IF(OR(A281="",B281=""),"",IF(YEAR(B281)=Settings!$C$7,MONTH(B281),""))</f>
        <v/>
      </c>
      <c r="K281" s="31" t="str">
        <f aca="false">IF(AND(A281&lt;&gt;"",A281=Statement!$C$6,J281=Statement!$K$7),COUNTIFS(A$6:A281,Statement!$C$6,J$6:J281,Statement!$K$7),"")</f>
        <v/>
      </c>
    </row>
    <row r="282" customFormat="false" ht="15" hidden="false" customHeight="false" outlineLevel="0" collapsed="false">
      <c r="A282" s="10"/>
      <c r="B282" s="28"/>
      <c r="C282" s="10"/>
      <c r="D282" s="10"/>
      <c r="E282" s="26"/>
      <c r="F282" s="10"/>
      <c r="G282" s="25"/>
      <c r="H282" s="29" t="str">
        <f aca="false">IF(OR(A282="",E282=""),"",IF(G282="",IFERROR(INDEX(Settings!$F$13:$F$27,MATCH(A282,Settings!$C$13:$C$27,0)),0),G282))</f>
        <v/>
      </c>
      <c r="I282" s="30" t="str">
        <f aca="false">IF(H282="","",ROUND(E282*H282,2))</f>
        <v/>
      </c>
      <c r="J282" s="31" t="str">
        <f aca="false">IF(OR(A282="",B282=""),"",IF(YEAR(B282)=Settings!$C$7,MONTH(B282),""))</f>
        <v/>
      </c>
      <c r="K282" s="31" t="str">
        <f aca="false">IF(AND(A282&lt;&gt;"",A282=Statement!$C$6,J282=Statement!$K$7),COUNTIFS(A$6:A282,Statement!$C$6,J$6:J282,Statement!$K$7),"")</f>
        <v/>
      </c>
    </row>
    <row r="283" customFormat="false" ht="15" hidden="false" customHeight="false" outlineLevel="0" collapsed="false">
      <c r="A283" s="10"/>
      <c r="B283" s="28"/>
      <c r="C283" s="10"/>
      <c r="D283" s="10"/>
      <c r="E283" s="26"/>
      <c r="F283" s="10"/>
      <c r="G283" s="25"/>
      <c r="H283" s="29" t="str">
        <f aca="false">IF(OR(A283="",E283=""),"",IF(G283="",IFERROR(INDEX(Settings!$F$13:$F$27,MATCH(A283,Settings!$C$13:$C$27,0)),0),G283))</f>
        <v/>
      </c>
      <c r="I283" s="30" t="str">
        <f aca="false">IF(H283="","",ROUND(E283*H283,2))</f>
        <v/>
      </c>
      <c r="J283" s="31" t="str">
        <f aca="false">IF(OR(A283="",B283=""),"",IF(YEAR(B283)=Settings!$C$7,MONTH(B283),""))</f>
        <v/>
      </c>
      <c r="K283" s="31" t="str">
        <f aca="false">IF(AND(A283&lt;&gt;"",A283=Statement!$C$6,J283=Statement!$K$7),COUNTIFS(A$6:A283,Statement!$C$6,J$6:J283,Statement!$K$7),"")</f>
        <v/>
      </c>
    </row>
    <row r="284" customFormat="false" ht="15" hidden="false" customHeight="false" outlineLevel="0" collapsed="false">
      <c r="A284" s="10"/>
      <c r="B284" s="28"/>
      <c r="C284" s="10"/>
      <c r="D284" s="10"/>
      <c r="E284" s="26"/>
      <c r="F284" s="10"/>
      <c r="G284" s="25"/>
      <c r="H284" s="29" t="str">
        <f aca="false">IF(OR(A284="",E284=""),"",IF(G284="",IFERROR(INDEX(Settings!$F$13:$F$27,MATCH(A284,Settings!$C$13:$C$27,0)),0),G284))</f>
        <v/>
      </c>
      <c r="I284" s="30" t="str">
        <f aca="false">IF(H284="","",ROUND(E284*H284,2))</f>
        <v/>
      </c>
      <c r="J284" s="31" t="str">
        <f aca="false">IF(OR(A284="",B284=""),"",IF(YEAR(B284)=Settings!$C$7,MONTH(B284),""))</f>
        <v/>
      </c>
      <c r="K284" s="31" t="str">
        <f aca="false">IF(AND(A284&lt;&gt;"",A284=Statement!$C$6,J284=Statement!$K$7),COUNTIFS(A$6:A284,Statement!$C$6,J$6:J284,Statement!$K$7),"")</f>
        <v/>
      </c>
    </row>
    <row r="285" customFormat="false" ht="15" hidden="false" customHeight="false" outlineLevel="0" collapsed="false">
      <c r="A285" s="10"/>
      <c r="B285" s="28"/>
      <c r="C285" s="10"/>
      <c r="D285" s="10"/>
      <c r="E285" s="26"/>
      <c r="F285" s="10"/>
      <c r="G285" s="25"/>
      <c r="H285" s="29" t="str">
        <f aca="false">IF(OR(A285="",E285=""),"",IF(G285="",IFERROR(INDEX(Settings!$F$13:$F$27,MATCH(A285,Settings!$C$13:$C$27,0)),0),G285))</f>
        <v/>
      </c>
      <c r="I285" s="30" t="str">
        <f aca="false">IF(H285="","",ROUND(E285*H285,2))</f>
        <v/>
      </c>
      <c r="J285" s="31" t="str">
        <f aca="false">IF(OR(A285="",B285=""),"",IF(YEAR(B285)=Settings!$C$7,MONTH(B285),""))</f>
        <v/>
      </c>
      <c r="K285" s="31" t="str">
        <f aca="false">IF(AND(A285&lt;&gt;"",A285=Statement!$C$6,J285=Statement!$K$7),COUNTIFS(A$6:A285,Statement!$C$6,J$6:J285,Statement!$K$7),"")</f>
        <v/>
      </c>
    </row>
    <row r="286" customFormat="false" ht="15" hidden="false" customHeight="false" outlineLevel="0" collapsed="false">
      <c r="A286" s="10"/>
      <c r="B286" s="28"/>
      <c r="C286" s="10"/>
      <c r="D286" s="10"/>
      <c r="E286" s="26"/>
      <c r="F286" s="10"/>
      <c r="G286" s="25"/>
      <c r="H286" s="29" t="str">
        <f aca="false">IF(OR(A286="",E286=""),"",IF(G286="",IFERROR(INDEX(Settings!$F$13:$F$27,MATCH(A286,Settings!$C$13:$C$27,0)),0),G286))</f>
        <v/>
      </c>
      <c r="I286" s="30" t="str">
        <f aca="false">IF(H286="","",ROUND(E286*H286,2))</f>
        <v/>
      </c>
      <c r="J286" s="31" t="str">
        <f aca="false">IF(OR(A286="",B286=""),"",IF(YEAR(B286)=Settings!$C$7,MONTH(B286),""))</f>
        <v/>
      </c>
      <c r="K286" s="31" t="str">
        <f aca="false">IF(AND(A286&lt;&gt;"",A286=Statement!$C$6,J286=Statement!$K$7),COUNTIFS(A$6:A286,Statement!$C$6,J$6:J286,Statement!$K$7),"")</f>
        <v/>
      </c>
    </row>
    <row r="287" customFormat="false" ht="15" hidden="false" customHeight="false" outlineLevel="0" collapsed="false">
      <c r="A287" s="10"/>
      <c r="B287" s="28"/>
      <c r="C287" s="10"/>
      <c r="D287" s="10"/>
      <c r="E287" s="26"/>
      <c r="F287" s="10"/>
      <c r="G287" s="25"/>
      <c r="H287" s="29" t="str">
        <f aca="false">IF(OR(A287="",E287=""),"",IF(G287="",IFERROR(INDEX(Settings!$F$13:$F$27,MATCH(A287,Settings!$C$13:$C$27,0)),0),G287))</f>
        <v/>
      </c>
      <c r="I287" s="30" t="str">
        <f aca="false">IF(H287="","",ROUND(E287*H287,2))</f>
        <v/>
      </c>
      <c r="J287" s="31" t="str">
        <f aca="false">IF(OR(A287="",B287=""),"",IF(YEAR(B287)=Settings!$C$7,MONTH(B287),""))</f>
        <v/>
      </c>
      <c r="K287" s="31" t="str">
        <f aca="false">IF(AND(A287&lt;&gt;"",A287=Statement!$C$6,J287=Statement!$K$7),COUNTIFS(A$6:A287,Statement!$C$6,J$6:J287,Statement!$K$7),"")</f>
        <v/>
      </c>
    </row>
    <row r="288" customFormat="false" ht="15" hidden="false" customHeight="false" outlineLevel="0" collapsed="false">
      <c r="A288" s="10"/>
      <c r="B288" s="28"/>
      <c r="C288" s="10"/>
      <c r="D288" s="10"/>
      <c r="E288" s="26"/>
      <c r="F288" s="10"/>
      <c r="G288" s="25"/>
      <c r="H288" s="29" t="str">
        <f aca="false">IF(OR(A288="",E288=""),"",IF(G288="",IFERROR(INDEX(Settings!$F$13:$F$27,MATCH(A288,Settings!$C$13:$C$27,0)),0),G288))</f>
        <v/>
      </c>
      <c r="I288" s="30" t="str">
        <f aca="false">IF(H288="","",ROUND(E288*H288,2))</f>
        <v/>
      </c>
      <c r="J288" s="31" t="str">
        <f aca="false">IF(OR(A288="",B288=""),"",IF(YEAR(B288)=Settings!$C$7,MONTH(B288),""))</f>
        <v/>
      </c>
      <c r="K288" s="31" t="str">
        <f aca="false">IF(AND(A288&lt;&gt;"",A288=Statement!$C$6,J288=Statement!$K$7),COUNTIFS(A$6:A288,Statement!$C$6,J$6:J288,Statement!$K$7),"")</f>
        <v/>
      </c>
    </row>
    <row r="289" customFormat="false" ht="15" hidden="false" customHeight="false" outlineLevel="0" collapsed="false">
      <c r="A289" s="10"/>
      <c r="B289" s="28"/>
      <c r="C289" s="10"/>
      <c r="D289" s="10"/>
      <c r="E289" s="26"/>
      <c r="F289" s="10"/>
      <c r="G289" s="25"/>
      <c r="H289" s="29" t="str">
        <f aca="false">IF(OR(A289="",E289=""),"",IF(G289="",IFERROR(INDEX(Settings!$F$13:$F$27,MATCH(A289,Settings!$C$13:$C$27,0)),0),G289))</f>
        <v/>
      </c>
      <c r="I289" s="30" t="str">
        <f aca="false">IF(H289="","",ROUND(E289*H289,2))</f>
        <v/>
      </c>
      <c r="J289" s="31" t="str">
        <f aca="false">IF(OR(A289="",B289=""),"",IF(YEAR(B289)=Settings!$C$7,MONTH(B289),""))</f>
        <v/>
      </c>
      <c r="K289" s="31" t="str">
        <f aca="false">IF(AND(A289&lt;&gt;"",A289=Statement!$C$6,J289=Statement!$K$7),COUNTIFS(A$6:A289,Statement!$C$6,J$6:J289,Statement!$K$7),"")</f>
        <v/>
      </c>
    </row>
    <row r="290" customFormat="false" ht="15" hidden="false" customHeight="false" outlineLevel="0" collapsed="false">
      <c r="A290" s="10"/>
      <c r="B290" s="28"/>
      <c r="C290" s="10"/>
      <c r="D290" s="10"/>
      <c r="E290" s="26"/>
      <c r="F290" s="10"/>
      <c r="G290" s="25"/>
      <c r="H290" s="29" t="str">
        <f aca="false">IF(OR(A290="",E290=""),"",IF(G290="",IFERROR(INDEX(Settings!$F$13:$F$27,MATCH(A290,Settings!$C$13:$C$27,0)),0),G290))</f>
        <v/>
      </c>
      <c r="I290" s="30" t="str">
        <f aca="false">IF(H290="","",ROUND(E290*H290,2))</f>
        <v/>
      </c>
      <c r="J290" s="31" t="str">
        <f aca="false">IF(OR(A290="",B290=""),"",IF(YEAR(B290)=Settings!$C$7,MONTH(B290),""))</f>
        <v/>
      </c>
      <c r="K290" s="31" t="str">
        <f aca="false">IF(AND(A290&lt;&gt;"",A290=Statement!$C$6,J290=Statement!$K$7),COUNTIFS(A$6:A290,Statement!$C$6,J$6:J290,Statement!$K$7),"")</f>
        <v/>
      </c>
    </row>
    <row r="291" customFormat="false" ht="15" hidden="false" customHeight="false" outlineLevel="0" collapsed="false">
      <c r="A291" s="10"/>
      <c r="B291" s="28"/>
      <c r="C291" s="10"/>
      <c r="D291" s="10"/>
      <c r="E291" s="26"/>
      <c r="F291" s="10"/>
      <c r="G291" s="25"/>
      <c r="H291" s="29" t="str">
        <f aca="false">IF(OR(A291="",E291=""),"",IF(G291="",IFERROR(INDEX(Settings!$F$13:$F$27,MATCH(A291,Settings!$C$13:$C$27,0)),0),G291))</f>
        <v/>
      </c>
      <c r="I291" s="30" t="str">
        <f aca="false">IF(H291="","",ROUND(E291*H291,2))</f>
        <v/>
      </c>
      <c r="J291" s="31" t="str">
        <f aca="false">IF(OR(A291="",B291=""),"",IF(YEAR(B291)=Settings!$C$7,MONTH(B291),""))</f>
        <v/>
      </c>
      <c r="K291" s="31" t="str">
        <f aca="false">IF(AND(A291&lt;&gt;"",A291=Statement!$C$6,J291=Statement!$K$7),COUNTIFS(A$6:A291,Statement!$C$6,J$6:J291,Statement!$K$7),"")</f>
        <v/>
      </c>
    </row>
    <row r="292" customFormat="false" ht="15" hidden="false" customHeight="false" outlineLevel="0" collapsed="false">
      <c r="A292" s="10"/>
      <c r="B292" s="28"/>
      <c r="C292" s="10"/>
      <c r="D292" s="10"/>
      <c r="E292" s="26"/>
      <c r="F292" s="10"/>
      <c r="G292" s="25"/>
      <c r="H292" s="29" t="str">
        <f aca="false">IF(OR(A292="",E292=""),"",IF(G292="",IFERROR(INDEX(Settings!$F$13:$F$27,MATCH(A292,Settings!$C$13:$C$27,0)),0),G292))</f>
        <v/>
      </c>
      <c r="I292" s="30" t="str">
        <f aca="false">IF(H292="","",ROUND(E292*H292,2))</f>
        <v/>
      </c>
      <c r="J292" s="31" t="str">
        <f aca="false">IF(OR(A292="",B292=""),"",IF(YEAR(B292)=Settings!$C$7,MONTH(B292),""))</f>
        <v/>
      </c>
      <c r="K292" s="31" t="str">
        <f aca="false">IF(AND(A292&lt;&gt;"",A292=Statement!$C$6,J292=Statement!$K$7),COUNTIFS(A$6:A292,Statement!$C$6,J$6:J292,Statement!$K$7),"")</f>
        <v/>
      </c>
    </row>
    <row r="293" customFormat="false" ht="15" hidden="false" customHeight="false" outlineLevel="0" collapsed="false">
      <c r="A293" s="10"/>
      <c r="B293" s="28"/>
      <c r="C293" s="10"/>
      <c r="D293" s="10"/>
      <c r="E293" s="26"/>
      <c r="F293" s="10"/>
      <c r="G293" s="25"/>
      <c r="H293" s="29" t="str">
        <f aca="false">IF(OR(A293="",E293=""),"",IF(G293="",IFERROR(INDEX(Settings!$F$13:$F$27,MATCH(A293,Settings!$C$13:$C$27,0)),0),G293))</f>
        <v/>
      </c>
      <c r="I293" s="30" t="str">
        <f aca="false">IF(H293="","",ROUND(E293*H293,2))</f>
        <v/>
      </c>
      <c r="J293" s="31" t="str">
        <f aca="false">IF(OR(A293="",B293=""),"",IF(YEAR(B293)=Settings!$C$7,MONTH(B293),""))</f>
        <v/>
      </c>
      <c r="K293" s="31" t="str">
        <f aca="false">IF(AND(A293&lt;&gt;"",A293=Statement!$C$6,J293=Statement!$K$7),COUNTIFS(A$6:A293,Statement!$C$6,J$6:J293,Statement!$K$7),"")</f>
        <v/>
      </c>
    </row>
    <row r="294" customFormat="false" ht="15" hidden="false" customHeight="false" outlineLevel="0" collapsed="false">
      <c r="A294" s="10"/>
      <c r="B294" s="28"/>
      <c r="C294" s="10"/>
      <c r="D294" s="10"/>
      <c r="E294" s="26"/>
      <c r="F294" s="10"/>
      <c r="G294" s="25"/>
      <c r="H294" s="29" t="str">
        <f aca="false">IF(OR(A294="",E294=""),"",IF(G294="",IFERROR(INDEX(Settings!$F$13:$F$27,MATCH(A294,Settings!$C$13:$C$27,0)),0),G294))</f>
        <v/>
      </c>
      <c r="I294" s="30" t="str">
        <f aca="false">IF(H294="","",ROUND(E294*H294,2))</f>
        <v/>
      </c>
      <c r="J294" s="31" t="str">
        <f aca="false">IF(OR(A294="",B294=""),"",IF(YEAR(B294)=Settings!$C$7,MONTH(B294),""))</f>
        <v/>
      </c>
      <c r="K294" s="31" t="str">
        <f aca="false">IF(AND(A294&lt;&gt;"",A294=Statement!$C$6,J294=Statement!$K$7),COUNTIFS(A$6:A294,Statement!$C$6,J$6:J294,Statement!$K$7),"")</f>
        <v/>
      </c>
    </row>
    <row r="295" customFormat="false" ht="15" hidden="false" customHeight="false" outlineLevel="0" collapsed="false">
      <c r="A295" s="10"/>
      <c r="B295" s="28"/>
      <c r="C295" s="10"/>
      <c r="D295" s="10"/>
      <c r="E295" s="26"/>
      <c r="F295" s="10"/>
      <c r="G295" s="25"/>
      <c r="H295" s="29" t="str">
        <f aca="false">IF(OR(A295="",E295=""),"",IF(G295="",IFERROR(INDEX(Settings!$F$13:$F$27,MATCH(A295,Settings!$C$13:$C$27,0)),0),G295))</f>
        <v/>
      </c>
      <c r="I295" s="30" t="str">
        <f aca="false">IF(H295="","",ROUND(E295*H295,2))</f>
        <v/>
      </c>
      <c r="J295" s="31" t="str">
        <f aca="false">IF(OR(A295="",B295=""),"",IF(YEAR(B295)=Settings!$C$7,MONTH(B295),""))</f>
        <v/>
      </c>
      <c r="K295" s="31" t="str">
        <f aca="false">IF(AND(A295&lt;&gt;"",A295=Statement!$C$6,J295=Statement!$K$7),COUNTIFS(A$6:A295,Statement!$C$6,J$6:J295,Statement!$K$7),"")</f>
        <v/>
      </c>
    </row>
    <row r="296" customFormat="false" ht="15" hidden="false" customHeight="false" outlineLevel="0" collapsed="false">
      <c r="A296" s="10"/>
      <c r="B296" s="28"/>
      <c r="C296" s="10"/>
      <c r="D296" s="10"/>
      <c r="E296" s="26"/>
      <c r="F296" s="10"/>
      <c r="G296" s="25"/>
      <c r="H296" s="29" t="str">
        <f aca="false">IF(OR(A296="",E296=""),"",IF(G296="",IFERROR(INDEX(Settings!$F$13:$F$27,MATCH(A296,Settings!$C$13:$C$27,0)),0),G296))</f>
        <v/>
      </c>
      <c r="I296" s="30" t="str">
        <f aca="false">IF(H296="","",ROUND(E296*H296,2))</f>
        <v/>
      </c>
      <c r="J296" s="31" t="str">
        <f aca="false">IF(OR(A296="",B296=""),"",IF(YEAR(B296)=Settings!$C$7,MONTH(B296),""))</f>
        <v/>
      </c>
      <c r="K296" s="31" t="str">
        <f aca="false">IF(AND(A296&lt;&gt;"",A296=Statement!$C$6,J296=Statement!$K$7),COUNTIFS(A$6:A296,Statement!$C$6,J$6:J296,Statement!$K$7),"")</f>
        <v/>
      </c>
    </row>
    <row r="297" customFormat="false" ht="15" hidden="false" customHeight="false" outlineLevel="0" collapsed="false">
      <c r="A297" s="10"/>
      <c r="B297" s="28"/>
      <c r="C297" s="10"/>
      <c r="D297" s="10"/>
      <c r="E297" s="26"/>
      <c r="F297" s="10"/>
      <c r="G297" s="25"/>
      <c r="H297" s="29" t="str">
        <f aca="false">IF(OR(A297="",E297=""),"",IF(G297="",IFERROR(INDEX(Settings!$F$13:$F$27,MATCH(A297,Settings!$C$13:$C$27,0)),0),G297))</f>
        <v/>
      </c>
      <c r="I297" s="30" t="str">
        <f aca="false">IF(H297="","",ROUND(E297*H297,2))</f>
        <v/>
      </c>
      <c r="J297" s="31" t="str">
        <f aca="false">IF(OR(A297="",B297=""),"",IF(YEAR(B297)=Settings!$C$7,MONTH(B297),""))</f>
        <v/>
      </c>
      <c r="K297" s="31" t="str">
        <f aca="false">IF(AND(A297&lt;&gt;"",A297=Statement!$C$6,J297=Statement!$K$7),COUNTIFS(A$6:A297,Statement!$C$6,J$6:J297,Statement!$K$7),"")</f>
        <v/>
      </c>
    </row>
    <row r="298" customFormat="false" ht="15" hidden="false" customHeight="false" outlineLevel="0" collapsed="false">
      <c r="A298" s="10"/>
      <c r="B298" s="28"/>
      <c r="C298" s="10"/>
      <c r="D298" s="10"/>
      <c r="E298" s="26"/>
      <c r="F298" s="10"/>
      <c r="G298" s="25"/>
      <c r="H298" s="29" t="str">
        <f aca="false">IF(OR(A298="",E298=""),"",IF(G298="",IFERROR(INDEX(Settings!$F$13:$F$27,MATCH(A298,Settings!$C$13:$C$27,0)),0),G298))</f>
        <v/>
      </c>
      <c r="I298" s="30" t="str">
        <f aca="false">IF(H298="","",ROUND(E298*H298,2))</f>
        <v/>
      </c>
      <c r="J298" s="31" t="str">
        <f aca="false">IF(OR(A298="",B298=""),"",IF(YEAR(B298)=Settings!$C$7,MONTH(B298),""))</f>
        <v/>
      </c>
      <c r="K298" s="31" t="str">
        <f aca="false">IF(AND(A298&lt;&gt;"",A298=Statement!$C$6,J298=Statement!$K$7),COUNTIFS(A$6:A298,Statement!$C$6,J$6:J298,Statement!$K$7),"")</f>
        <v/>
      </c>
    </row>
    <row r="299" customFormat="false" ht="15" hidden="false" customHeight="false" outlineLevel="0" collapsed="false">
      <c r="A299" s="10"/>
      <c r="B299" s="28"/>
      <c r="C299" s="10"/>
      <c r="D299" s="10"/>
      <c r="E299" s="26"/>
      <c r="F299" s="10"/>
      <c r="G299" s="25"/>
      <c r="H299" s="29" t="str">
        <f aca="false">IF(OR(A299="",E299=""),"",IF(G299="",IFERROR(INDEX(Settings!$F$13:$F$27,MATCH(A299,Settings!$C$13:$C$27,0)),0),G299))</f>
        <v/>
      </c>
      <c r="I299" s="30" t="str">
        <f aca="false">IF(H299="","",ROUND(E299*H299,2))</f>
        <v/>
      </c>
      <c r="J299" s="31" t="str">
        <f aca="false">IF(OR(A299="",B299=""),"",IF(YEAR(B299)=Settings!$C$7,MONTH(B299),""))</f>
        <v/>
      </c>
      <c r="K299" s="31" t="str">
        <f aca="false">IF(AND(A299&lt;&gt;"",A299=Statement!$C$6,J299=Statement!$K$7),COUNTIFS(A$6:A299,Statement!$C$6,J$6:J299,Statement!$K$7),"")</f>
        <v/>
      </c>
    </row>
    <row r="300" customFormat="false" ht="15" hidden="false" customHeight="false" outlineLevel="0" collapsed="false">
      <c r="A300" s="10"/>
      <c r="B300" s="28"/>
      <c r="C300" s="10"/>
      <c r="D300" s="10"/>
      <c r="E300" s="26"/>
      <c r="F300" s="10"/>
      <c r="G300" s="25"/>
      <c r="H300" s="29" t="str">
        <f aca="false">IF(OR(A300="",E300=""),"",IF(G300="",IFERROR(INDEX(Settings!$F$13:$F$27,MATCH(A300,Settings!$C$13:$C$27,0)),0),G300))</f>
        <v/>
      </c>
      <c r="I300" s="30" t="str">
        <f aca="false">IF(H300="","",ROUND(E300*H300,2))</f>
        <v/>
      </c>
      <c r="J300" s="31" t="str">
        <f aca="false">IF(OR(A300="",B300=""),"",IF(YEAR(B300)=Settings!$C$7,MONTH(B300),""))</f>
        <v/>
      </c>
      <c r="K300" s="31" t="str">
        <f aca="false">IF(AND(A300&lt;&gt;"",A300=Statement!$C$6,J300=Statement!$K$7),COUNTIFS(A$6:A300,Statement!$C$6,J$6:J300,Statement!$K$7),"")</f>
        <v/>
      </c>
    </row>
    <row r="301" customFormat="false" ht="15" hidden="false" customHeight="false" outlineLevel="0" collapsed="false">
      <c r="A301" s="10"/>
      <c r="B301" s="28"/>
      <c r="C301" s="10"/>
      <c r="D301" s="10"/>
      <c r="E301" s="26"/>
      <c r="F301" s="10"/>
      <c r="G301" s="25"/>
      <c r="H301" s="29" t="str">
        <f aca="false">IF(OR(A301="",E301=""),"",IF(G301="",IFERROR(INDEX(Settings!$F$13:$F$27,MATCH(A301,Settings!$C$13:$C$27,0)),0),G301))</f>
        <v/>
      </c>
      <c r="I301" s="30" t="str">
        <f aca="false">IF(H301="","",ROUND(E301*H301,2))</f>
        <v/>
      </c>
      <c r="J301" s="31" t="str">
        <f aca="false">IF(OR(A301="",B301=""),"",IF(YEAR(B301)=Settings!$C$7,MONTH(B301),""))</f>
        <v/>
      </c>
      <c r="K301" s="31" t="str">
        <f aca="false">IF(AND(A301&lt;&gt;"",A301=Statement!$C$6,J301=Statement!$K$7),COUNTIFS(A$6:A301,Statement!$C$6,J$6:J301,Statement!$K$7),"")</f>
        <v/>
      </c>
    </row>
    <row r="302" customFormat="false" ht="15" hidden="false" customHeight="false" outlineLevel="0" collapsed="false">
      <c r="A302" s="10"/>
      <c r="B302" s="28"/>
      <c r="C302" s="10"/>
      <c r="D302" s="10"/>
      <c r="E302" s="26"/>
      <c r="F302" s="10"/>
      <c r="G302" s="25"/>
      <c r="H302" s="29" t="str">
        <f aca="false">IF(OR(A302="",E302=""),"",IF(G302="",IFERROR(INDEX(Settings!$F$13:$F$27,MATCH(A302,Settings!$C$13:$C$27,0)),0),G302))</f>
        <v/>
      </c>
      <c r="I302" s="30" t="str">
        <f aca="false">IF(H302="","",ROUND(E302*H302,2))</f>
        <v/>
      </c>
      <c r="J302" s="31" t="str">
        <f aca="false">IF(OR(A302="",B302=""),"",IF(YEAR(B302)=Settings!$C$7,MONTH(B302),""))</f>
        <v/>
      </c>
      <c r="K302" s="31" t="str">
        <f aca="false">IF(AND(A302&lt;&gt;"",A302=Statement!$C$6,J302=Statement!$K$7),COUNTIFS(A$6:A302,Statement!$C$6,J$6:J302,Statement!$K$7),"")</f>
        <v/>
      </c>
    </row>
    <row r="303" customFormat="false" ht="15" hidden="false" customHeight="false" outlineLevel="0" collapsed="false">
      <c r="A303" s="10"/>
      <c r="B303" s="28"/>
      <c r="C303" s="10"/>
      <c r="D303" s="10"/>
      <c r="E303" s="26"/>
      <c r="F303" s="10"/>
      <c r="G303" s="25"/>
      <c r="H303" s="29" t="str">
        <f aca="false">IF(OR(A303="",E303=""),"",IF(G303="",IFERROR(INDEX(Settings!$F$13:$F$27,MATCH(A303,Settings!$C$13:$C$27,0)),0),G303))</f>
        <v/>
      </c>
      <c r="I303" s="30" t="str">
        <f aca="false">IF(H303="","",ROUND(E303*H303,2))</f>
        <v/>
      </c>
      <c r="J303" s="31" t="str">
        <f aca="false">IF(OR(A303="",B303=""),"",IF(YEAR(B303)=Settings!$C$7,MONTH(B303),""))</f>
        <v/>
      </c>
      <c r="K303" s="31" t="str">
        <f aca="false">IF(AND(A303&lt;&gt;"",A303=Statement!$C$6,J303=Statement!$K$7),COUNTIFS(A$6:A303,Statement!$C$6,J$6:J303,Statement!$K$7),"")</f>
        <v/>
      </c>
    </row>
    <row r="304" customFormat="false" ht="15" hidden="false" customHeight="false" outlineLevel="0" collapsed="false">
      <c r="A304" s="10"/>
      <c r="B304" s="28"/>
      <c r="C304" s="10"/>
      <c r="D304" s="10"/>
      <c r="E304" s="26"/>
      <c r="F304" s="10"/>
      <c r="G304" s="25"/>
      <c r="H304" s="29" t="str">
        <f aca="false">IF(OR(A304="",E304=""),"",IF(G304="",IFERROR(INDEX(Settings!$F$13:$F$27,MATCH(A304,Settings!$C$13:$C$27,0)),0),G304))</f>
        <v/>
      </c>
      <c r="I304" s="30" t="str">
        <f aca="false">IF(H304="","",ROUND(E304*H304,2))</f>
        <v/>
      </c>
      <c r="J304" s="31" t="str">
        <f aca="false">IF(OR(A304="",B304=""),"",IF(YEAR(B304)=Settings!$C$7,MONTH(B304),""))</f>
        <v/>
      </c>
      <c r="K304" s="31" t="str">
        <f aca="false">IF(AND(A304&lt;&gt;"",A304=Statement!$C$6,J304=Statement!$K$7),COUNTIFS(A$6:A304,Statement!$C$6,J$6:J304,Statement!$K$7),"")</f>
        <v/>
      </c>
    </row>
    <row r="305" customFormat="false" ht="15" hidden="false" customHeight="false" outlineLevel="0" collapsed="false">
      <c r="A305" s="10"/>
      <c r="B305" s="28"/>
      <c r="C305" s="10"/>
      <c r="D305" s="10"/>
      <c r="E305" s="26"/>
      <c r="F305" s="10"/>
      <c r="G305" s="25"/>
      <c r="H305" s="29" t="str">
        <f aca="false">IF(OR(A305="",E305=""),"",IF(G305="",IFERROR(INDEX(Settings!$F$13:$F$27,MATCH(A305,Settings!$C$13:$C$27,0)),0),G305))</f>
        <v/>
      </c>
      <c r="I305" s="30" t="str">
        <f aca="false">IF(H305="","",ROUND(E305*H305,2))</f>
        <v/>
      </c>
      <c r="J305" s="31" t="str">
        <f aca="false">IF(OR(A305="",B305=""),"",IF(YEAR(B305)=Settings!$C$7,MONTH(B305),""))</f>
        <v/>
      </c>
      <c r="K305" s="31" t="str">
        <f aca="false">IF(AND(A305&lt;&gt;"",A305=Statement!$C$6,J305=Statement!$K$7),COUNTIFS(A$6:A305,Statement!$C$6,J$6:J305,Statement!$K$7),"")</f>
        <v/>
      </c>
    </row>
  </sheetData>
  <autoFilter ref="A5:K305"/>
  <dataValidations count="3">
    <dataValidation allowBlank="true" error="Enter a rate between 0 and 100%." errorStyle="stop" errorTitle="Invalid value" operator="between" showDropDown="false" showErrorMessage="false" showInputMessage="false" sqref="G6:G305" type="decimal">
      <formula1>0</formula1>
      <formula2>1</formula2>
    </dataValidation>
    <dataValidation allowBlank="true" errorStyle="stop" operator="between" showDropDown="false" showErrorMessage="false" showInputMessage="false" sqref="A6:A305" type="list">
      <formula1>Settings!$C$13:$C$27</formula1>
      <formula2>0</formula2>
    </dataValidation>
    <dataValidation allowBlank="true" error="Enter a date." errorStyle="stop" errorTitle="Invalid value" operator="greaterThan" showDropDown="false" showErrorMessage="false" showInputMessage="false" sqref="B6:B305" type="date">
      <formula1>36526</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M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3"/>
    <col collapsed="false" customWidth="true" hidden="false" outlineLevel="0" max="3" min="3" style="0" width="12"/>
    <col collapsed="false" customWidth="true" hidden="false" outlineLevel="0" max="4" min="4" style="0" width="20"/>
    <col collapsed="false" customWidth="true" hidden="false" outlineLevel="0" max="5" min="5" style="0" width="10"/>
    <col collapsed="false" customWidth="true" hidden="false" outlineLevel="0" max="6" min="6" style="0" width="15"/>
    <col collapsed="false" customWidth="true" hidden="false" outlineLevel="0" max="7" min="7" style="0" width="14"/>
    <col collapsed="false" customWidth="true" hidden="false" outlineLevel="0" max="8" min="8" style="0" width="11"/>
    <col collapsed="false" customWidth="true" hidden="false" outlineLevel="0" max="9" min="9" style="0" width="10"/>
    <col collapsed="false" customWidth="true" hidden="false" outlineLevel="0" max="10" min="10" style="0" width="14"/>
    <col collapsed="false" customWidth="true" hidden="false" outlineLevel="0" max="11" min="11" style="0" width="30"/>
    <col collapsed="false" customWidth="true" hidden="false" outlineLevel="0" max="12" min="12" style="0" width="8"/>
    <col collapsed="false" customWidth="true" hidden="false" outlineLevel="0" max="13" min="13" style="0" width="9"/>
  </cols>
  <sheetData>
    <row r="2" customFormat="false" ht="30" hidden="false" customHeight="true" outlineLevel="0" collapsed="false">
      <c r="A2" s="17" t="s">
        <v>140</v>
      </c>
    </row>
    <row r="3" customFormat="false" ht="15" hidden="false" customHeight="false" outlineLevel="0" collapsed="false">
      <c r="A3" s="18" t="s">
        <v>141</v>
      </c>
    </row>
    <row r="5" customFormat="false" ht="42" hidden="false" customHeight="true" outlineLevel="0" collapsed="false">
      <c r="A5" s="23" t="s">
        <v>101</v>
      </c>
      <c r="B5" s="23" t="s">
        <v>142</v>
      </c>
      <c r="C5" s="23" t="s">
        <v>143</v>
      </c>
      <c r="D5" s="23" t="s">
        <v>103</v>
      </c>
      <c r="E5" s="23" t="s">
        <v>104</v>
      </c>
      <c r="F5" s="23" t="s">
        <v>144</v>
      </c>
      <c r="G5" s="23" t="s">
        <v>145</v>
      </c>
      <c r="H5" s="23" t="s">
        <v>107</v>
      </c>
      <c r="I5" s="23" t="s">
        <v>108</v>
      </c>
      <c r="J5" s="23" t="s">
        <v>109</v>
      </c>
      <c r="K5" s="23" t="s">
        <v>146</v>
      </c>
      <c r="L5" s="23" t="s">
        <v>110</v>
      </c>
      <c r="M5" s="23" t="s">
        <v>111</v>
      </c>
    </row>
    <row r="6" customFormat="false" ht="15" hidden="false" customHeight="false" outlineLevel="0" collapsed="false">
      <c r="A6" s="10" t="s">
        <v>72</v>
      </c>
      <c r="B6" s="10" t="s">
        <v>76</v>
      </c>
      <c r="C6" s="28" t="n">
        <v>46077</v>
      </c>
      <c r="D6" s="10" t="s">
        <v>118</v>
      </c>
      <c r="E6" s="10" t="s">
        <v>119</v>
      </c>
      <c r="F6" s="10" t="s">
        <v>147</v>
      </c>
      <c r="G6" s="26" t="n">
        <v>50000</v>
      </c>
      <c r="H6" s="25"/>
      <c r="I6" s="29" t="n">
        <f aca="false">IF(OR(A6="",G6=""),"",IF(H6="",IFERROR(INDEX(Settings!$F$13:$F$27,MATCH(A6,Settings!$C$13:$C$27,0)),0),H6))</f>
        <v>0.08</v>
      </c>
      <c r="J6" s="30" t="n">
        <f aca="false">IF(I6="","",ROUND(IF(F6="Clawback",-1,1)*G6*I6,2))</f>
        <v>-4000</v>
      </c>
      <c r="K6" s="10" t="s">
        <v>148</v>
      </c>
      <c r="L6" s="31" t="n">
        <f aca="false">IF(OR(A6="",B6=""),"",IFERROR(MATCH(B6,Settings!$N$13:$N$24,0),""))</f>
        <v>3</v>
      </c>
      <c r="M6" s="31" t="n">
        <f aca="false">IF(AND(A6&lt;&gt;"",A6=Statement!$C$6,L6=Statement!$K$7),COUNTIFS(A$6:A6,Statement!$C$6,L$6:L6,Statement!$K$7),"")</f>
        <v>1</v>
      </c>
    </row>
    <row r="7" customFormat="false" ht="15" hidden="false" customHeight="false" outlineLevel="0" collapsed="false">
      <c r="A7" s="10" t="s">
        <v>72</v>
      </c>
      <c r="B7" s="10" t="s">
        <v>76</v>
      </c>
      <c r="C7" s="28" t="n">
        <v>46037</v>
      </c>
      <c r="D7" s="10" t="s">
        <v>112</v>
      </c>
      <c r="E7" s="10" t="s">
        <v>113</v>
      </c>
      <c r="F7" s="10" t="s">
        <v>149</v>
      </c>
      <c r="G7" s="26" t="n">
        <v>10000</v>
      </c>
      <c r="H7" s="25"/>
      <c r="I7" s="29" t="n">
        <f aca="false">IF(OR(A7="",G7=""),"",IF(H7="",IFERROR(INDEX(Settings!$F$13:$F$27,MATCH(A7,Settings!$C$13:$C$27,0)),0),H7))</f>
        <v>0.08</v>
      </c>
      <c r="J7" s="30" t="n">
        <f aca="false">IF(I7="","",ROUND(IF(F7="Clawback",-1,1)*G7*I7,2))</f>
        <v>800</v>
      </c>
      <c r="K7" s="10" t="s">
        <v>150</v>
      </c>
      <c r="L7" s="31" t="n">
        <f aca="false">IF(OR(A7="",B7=""),"",IFERROR(MATCH(B7,Settings!$N$13:$N$24,0),""))</f>
        <v>3</v>
      </c>
      <c r="M7" s="31" t="n">
        <f aca="false">IF(AND(A7&lt;&gt;"",A7=Statement!$C$6,L7=Statement!$K$7),COUNTIFS(A$6:A7,Statement!$C$6,L$6:L7,Statement!$K$7),"")</f>
        <v>2</v>
      </c>
    </row>
    <row r="8" customFormat="false" ht="15" hidden="false" customHeight="false" outlineLevel="0" collapsed="false">
      <c r="A8" s="10"/>
      <c r="B8" s="10"/>
      <c r="C8" s="28"/>
      <c r="D8" s="10"/>
      <c r="E8" s="10"/>
      <c r="F8" s="10"/>
      <c r="G8" s="26"/>
      <c r="H8" s="25"/>
      <c r="I8" s="29" t="str">
        <f aca="false">IF(OR(A8="",G8=""),"",IF(H8="",IFERROR(INDEX(Settings!$F$13:$F$27,MATCH(A8,Settings!$C$13:$C$27,0)),0),H8))</f>
        <v/>
      </c>
      <c r="J8" s="30" t="str">
        <f aca="false">IF(I8="","",ROUND(IF(F8="Clawback",-1,1)*G8*I8,2))</f>
        <v/>
      </c>
      <c r="K8" s="10"/>
      <c r="L8" s="31" t="str">
        <f aca="false">IF(OR(A8="",B8=""),"",IFERROR(MATCH(B8,Settings!$N$13:$N$24,0),""))</f>
        <v/>
      </c>
      <c r="M8" s="31" t="str">
        <f aca="false">IF(AND(A8&lt;&gt;"",A8=Statement!$C$6,L8=Statement!$K$7),COUNTIFS(A$6:A8,Statement!$C$6,L$6:L8,Statement!$K$7),"")</f>
        <v/>
      </c>
    </row>
    <row r="9" customFormat="false" ht="15" hidden="false" customHeight="false" outlineLevel="0" collapsed="false">
      <c r="A9" s="10"/>
      <c r="B9" s="10"/>
      <c r="C9" s="28"/>
      <c r="D9" s="10"/>
      <c r="E9" s="10"/>
      <c r="F9" s="10"/>
      <c r="G9" s="26"/>
      <c r="H9" s="25"/>
      <c r="I9" s="29" t="str">
        <f aca="false">IF(OR(A9="",G9=""),"",IF(H9="",IFERROR(INDEX(Settings!$F$13:$F$27,MATCH(A9,Settings!$C$13:$C$27,0)),0),H9))</f>
        <v/>
      </c>
      <c r="J9" s="30" t="str">
        <f aca="false">IF(I9="","",ROUND(IF(F9="Clawback",-1,1)*G9*I9,2))</f>
        <v/>
      </c>
      <c r="K9" s="10"/>
      <c r="L9" s="31" t="str">
        <f aca="false">IF(OR(A9="",B9=""),"",IFERROR(MATCH(B9,Settings!$N$13:$N$24,0),""))</f>
        <v/>
      </c>
      <c r="M9" s="31" t="str">
        <f aca="false">IF(AND(A9&lt;&gt;"",A9=Statement!$C$6,L9=Statement!$K$7),COUNTIFS(A$6:A9,Statement!$C$6,L$6:L9,Statement!$K$7),"")</f>
        <v/>
      </c>
    </row>
    <row r="10" customFormat="false" ht="15" hidden="false" customHeight="false" outlineLevel="0" collapsed="false">
      <c r="A10" s="10"/>
      <c r="B10" s="10"/>
      <c r="C10" s="28"/>
      <c r="D10" s="10"/>
      <c r="E10" s="10"/>
      <c r="F10" s="10"/>
      <c r="G10" s="26"/>
      <c r="H10" s="25"/>
      <c r="I10" s="29" t="str">
        <f aca="false">IF(OR(A10="",G10=""),"",IF(H10="",IFERROR(INDEX(Settings!$F$13:$F$27,MATCH(A10,Settings!$C$13:$C$27,0)),0),H10))</f>
        <v/>
      </c>
      <c r="J10" s="30" t="str">
        <f aca="false">IF(I10="","",ROUND(IF(F10="Clawback",-1,1)*G10*I10,2))</f>
        <v/>
      </c>
      <c r="K10" s="10"/>
      <c r="L10" s="31" t="str">
        <f aca="false">IF(OR(A10="",B10=""),"",IFERROR(MATCH(B10,Settings!$N$13:$N$24,0),""))</f>
        <v/>
      </c>
      <c r="M10" s="31" t="str">
        <f aca="false">IF(AND(A10&lt;&gt;"",A10=Statement!$C$6,L10=Statement!$K$7),COUNTIFS(A$6:A10,Statement!$C$6,L$6:L10,Statement!$K$7),"")</f>
        <v/>
      </c>
    </row>
    <row r="11" customFormat="false" ht="15" hidden="false" customHeight="false" outlineLevel="0" collapsed="false">
      <c r="A11" s="10"/>
      <c r="B11" s="10"/>
      <c r="C11" s="28"/>
      <c r="D11" s="10"/>
      <c r="E11" s="10"/>
      <c r="F11" s="10"/>
      <c r="G11" s="26"/>
      <c r="H11" s="25"/>
      <c r="I11" s="29" t="str">
        <f aca="false">IF(OR(A11="",G11=""),"",IF(H11="",IFERROR(INDEX(Settings!$F$13:$F$27,MATCH(A11,Settings!$C$13:$C$27,0)),0),H11))</f>
        <v/>
      </c>
      <c r="J11" s="30" t="str">
        <f aca="false">IF(I11="","",ROUND(IF(F11="Clawback",-1,1)*G11*I11,2))</f>
        <v/>
      </c>
      <c r="K11" s="10"/>
      <c r="L11" s="31" t="str">
        <f aca="false">IF(OR(A11="",B11=""),"",IFERROR(MATCH(B11,Settings!$N$13:$N$24,0),""))</f>
        <v/>
      </c>
      <c r="M11" s="31" t="str">
        <f aca="false">IF(AND(A11&lt;&gt;"",A11=Statement!$C$6,L11=Statement!$K$7),COUNTIFS(A$6:A11,Statement!$C$6,L$6:L11,Statement!$K$7),"")</f>
        <v/>
      </c>
    </row>
    <row r="12" customFormat="false" ht="15" hidden="false" customHeight="false" outlineLevel="0" collapsed="false">
      <c r="A12" s="10"/>
      <c r="B12" s="10"/>
      <c r="C12" s="28"/>
      <c r="D12" s="10"/>
      <c r="E12" s="10"/>
      <c r="F12" s="10"/>
      <c r="G12" s="26"/>
      <c r="H12" s="25"/>
      <c r="I12" s="29" t="str">
        <f aca="false">IF(OR(A12="",G12=""),"",IF(H12="",IFERROR(INDEX(Settings!$F$13:$F$27,MATCH(A12,Settings!$C$13:$C$27,0)),0),H12))</f>
        <v/>
      </c>
      <c r="J12" s="30" t="str">
        <f aca="false">IF(I12="","",ROUND(IF(F12="Clawback",-1,1)*G12*I12,2))</f>
        <v/>
      </c>
      <c r="K12" s="10"/>
      <c r="L12" s="31" t="str">
        <f aca="false">IF(OR(A12="",B12=""),"",IFERROR(MATCH(B12,Settings!$N$13:$N$24,0),""))</f>
        <v/>
      </c>
      <c r="M12" s="31" t="str">
        <f aca="false">IF(AND(A12&lt;&gt;"",A12=Statement!$C$6,L12=Statement!$K$7),COUNTIFS(A$6:A12,Statement!$C$6,L$6:L12,Statement!$K$7),"")</f>
        <v/>
      </c>
    </row>
    <row r="13" customFormat="false" ht="15" hidden="false" customHeight="false" outlineLevel="0" collapsed="false">
      <c r="A13" s="10"/>
      <c r="B13" s="10"/>
      <c r="C13" s="28"/>
      <c r="D13" s="10"/>
      <c r="E13" s="10"/>
      <c r="F13" s="10"/>
      <c r="G13" s="26"/>
      <c r="H13" s="25"/>
      <c r="I13" s="29" t="str">
        <f aca="false">IF(OR(A13="",G13=""),"",IF(H13="",IFERROR(INDEX(Settings!$F$13:$F$27,MATCH(A13,Settings!$C$13:$C$27,0)),0),H13))</f>
        <v/>
      </c>
      <c r="J13" s="30" t="str">
        <f aca="false">IF(I13="","",ROUND(IF(F13="Clawback",-1,1)*G13*I13,2))</f>
        <v/>
      </c>
      <c r="K13" s="10"/>
      <c r="L13" s="31" t="str">
        <f aca="false">IF(OR(A13="",B13=""),"",IFERROR(MATCH(B13,Settings!$N$13:$N$24,0),""))</f>
        <v/>
      </c>
      <c r="M13" s="31" t="str">
        <f aca="false">IF(AND(A13&lt;&gt;"",A13=Statement!$C$6,L13=Statement!$K$7),COUNTIFS(A$6:A13,Statement!$C$6,L$6:L13,Statement!$K$7),"")</f>
        <v/>
      </c>
    </row>
    <row r="14" customFormat="false" ht="15" hidden="false" customHeight="false" outlineLevel="0" collapsed="false">
      <c r="A14" s="10"/>
      <c r="B14" s="10"/>
      <c r="C14" s="28"/>
      <c r="D14" s="10"/>
      <c r="E14" s="10"/>
      <c r="F14" s="10"/>
      <c r="G14" s="26"/>
      <c r="H14" s="25"/>
      <c r="I14" s="29" t="str">
        <f aca="false">IF(OR(A14="",G14=""),"",IF(H14="",IFERROR(INDEX(Settings!$F$13:$F$27,MATCH(A14,Settings!$C$13:$C$27,0)),0),H14))</f>
        <v/>
      </c>
      <c r="J14" s="30" t="str">
        <f aca="false">IF(I14="","",ROUND(IF(F14="Clawback",-1,1)*G14*I14,2))</f>
        <v/>
      </c>
      <c r="K14" s="10"/>
      <c r="L14" s="31" t="str">
        <f aca="false">IF(OR(A14="",B14=""),"",IFERROR(MATCH(B14,Settings!$N$13:$N$24,0),""))</f>
        <v/>
      </c>
      <c r="M14" s="31" t="str">
        <f aca="false">IF(AND(A14&lt;&gt;"",A14=Statement!$C$6,L14=Statement!$K$7),COUNTIFS(A$6:A14,Statement!$C$6,L$6:L14,Statement!$K$7),"")</f>
        <v/>
      </c>
    </row>
    <row r="15" customFormat="false" ht="15" hidden="false" customHeight="false" outlineLevel="0" collapsed="false">
      <c r="A15" s="10"/>
      <c r="B15" s="10"/>
      <c r="C15" s="28"/>
      <c r="D15" s="10"/>
      <c r="E15" s="10"/>
      <c r="F15" s="10"/>
      <c r="G15" s="26"/>
      <c r="H15" s="25"/>
      <c r="I15" s="29" t="str">
        <f aca="false">IF(OR(A15="",G15=""),"",IF(H15="",IFERROR(INDEX(Settings!$F$13:$F$27,MATCH(A15,Settings!$C$13:$C$27,0)),0),H15))</f>
        <v/>
      </c>
      <c r="J15" s="30" t="str">
        <f aca="false">IF(I15="","",ROUND(IF(F15="Clawback",-1,1)*G15*I15,2))</f>
        <v/>
      </c>
      <c r="K15" s="10"/>
      <c r="L15" s="31" t="str">
        <f aca="false">IF(OR(A15="",B15=""),"",IFERROR(MATCH(B15,Settings!$N$13:$N$24,0),""))</f>
        <v/>
      </c>
      <c r="M15" s="31" t="str">
        <f aca="false">IF(AND(A15&lt;&gt;"",A15=Statement!$C$6,L15=Statement!$K$7),COUNTIFS(A$6:A15,Statement!$C$6,L$6:L15,Statement!$K$7),"")</f>
        <v/>
      </c>
    </row>
    <row r="16" customFormat="false" ht="15" hidden="false" customHeight="false" outlineLevel="0" collapsed="false">
      <c r="A16" s="10"/>
      <c r="B16" s="10"/>
      <c r="C16" s="28"/>
      <c r="D16" s="10"/>
      <c r="E16" s="10"/>
      <c r="F16" s="10"/>
      <c r="G16" s="26"/>
      <c r="H16" s="25"/>
      <c r="I16" s="29" t="str">
        <f aca="false">IF(OR(A16="",G16=""),"",IF(H16="",IFERROR(INDEX(Settings!$F$13:$F$27,MATCH(A16,Settings!$C$13:$C$27,0)),0),H16))</f>
        <v/>
      </c>
      <c r="J16" s="30" t="str">
        <f aca="false">IF(I16="","",ROUND(IF(F16="Clawback",-1,1)*G16*I16,2))</f>
        <v/>
      </c>
      <c r="K16" s="10"/>
      <c r="L16" s="31" t="str">
        <f aca="false">IF(OR(A16="",B16=""),"",IFERROR(MATCH(B16,Settings!$N$13:$N$24,0),""))</f>
        <v/>
      </c>
      <c r="M16" s="31" t="str">
        <f aca="false">IF(AND(A16&lt;&gt;"",A16=Statement!$C$6,L16=Statement!$K$7),COUNTIFS(A$6:A16,Statement!$C$6,L$6:L16,Statement!$K$7),"")</f>
        <v/>
      </c>
    </row>
    <row r="17" customFormat="false" ht="15" hidden="false" customHeight="false" outlineLevel="0" collapsed="false">
      <c r="A17" s="10"/>
      <c r="B17" s="10"/>
      <c r="C17" s="28"/>
      <c r="D17" s="10"/>
      <c r="E17" s="10"/>
      <c r="F17" s="10"/>
      <c r="G17" s="26"/>
      <c r="H17" s="25"/>
      <c r="I17" s="29" t="str">
        <f aca="false">IF(OR(A17="",G17=""),"",IF(H17="",IFERROR(INDEX(Settings!$F$13:$F$27,MATCH(A17,Settings!$C$13:$C$27,0)),0),H17))</f>
        <v/>
      </c>
      <c r="J17" s="30" t="str">
        <f aca="false">IF(I17="","",ROUND(IF(F17="Clawback",-1,1)*G17*I17,2))</f>
        <v/>
      </c>
      <c r="K17" s="10"/>
      <c r="L17" s="31" t="str">
        <f aca="false">IF(OR(A17="",B17=""),"",IFERROR(MATCH(B17,Settings!$N$13:$N$24,0),""))</f>
        <v/>
      </c>
      <c r="M17" s="31" t="str">
        <f aca="false">IF(AND(A17&lt;&gt;"",A17=Statement!$C$6,L17=Statement!$K$7),COUNTIFS(A$6:A17,Statement!$C$6,L$6:L17,Statement!$K$7),"")</f>
        <v/>
      </c>
    </row>
    <row r="18" customFormat="false" ht="15" hidden="false" customHeight="false" outlineLevel="0" collapsed="false">
      <c r="A18" s="10"/>
      <c r="B18" s="10"/>
      <c r="C18" s="28"/>
      <c r="D18" s="10"/>
      <c r="E18" s="10"/>
      <c r="F18" s="10"/>
      <c r="G18" s="26"/>
      <c r="H18" s="25"/>
      <c r="I18" s="29" t="str">
        <f aca="false">IF(OR(A18="",G18=""),"",IF(H18="",IFERROR(INDEX(Settings!$F$13:$F$27,MATCH(A18,Settings!$C$13:$C$27,0)),0),H18))</f>
        <v/>
      </c>
      <c r="J18" s="30" t="str">
        <f aca="false">IF(I18="","",ROUND(IF(F18="Clawback",-1,1)*G18*I18,2))</f>
        <v/>
      </c>
      <c r="K18" s="10"/>
      <c r="L18" s="31" t="str">
        <f aca="false">IF(OR(A18="",B18=""),"",IFERROR(MATCH(B18,Settings!$N$13:$N$24,0),""))</f>
        <v/>
      </c>
      <c r="M18" s="31" t="str">
        <f aca="false">IF(AND(A18&lt;&gt;"",A18=Statement!$C$6,L18=Statement!$K$7),COUNTIFS(A$6:A18,Statement!$C$6,L$6:L18,Statement!$K$7),"")</f>
        <v/>
      </c>
    </row>
    <row r="19" customFormat="false" ht="15" hidden="false" customHeight="false" outlineLevel="0" collapsed="false">
      <c r="A19" s="10"/>
      <c r="B19" s="10"/>
      <c r="C19" s="28"/>
      <c r="D19" s="10"/>
      <c r="E19" s="10"/>
      <c r="F19" s="10"/>
      <c r="G19" s="26"/>
      <c r="H19" s="25"/>
      <c r="I19" s="29" t="str">
        <f aca="false">IF(OR(A19="",G19=""),"",IF(H19="",IFERROR(INDEX(Settings!$F$13:$F$27,MATCH(A19,Settings!$C$13:$C$27,0)),0),H19))</f>
        <v/>
      </c>
      <c r="J19" s="30" t="str">
        <f aca="false">IF(I19="","",ROUND(IF(F19="Clawback",-1,1)*G19*I19,2))</f>
        <v/>
      </c>
      <c r="K19" s="10"/>
      <c r="L19" s="31" t="str">
        <f aca="false">IF(OR(A19="",B19=""),"",IFERROR(MATCH(B19,Settings!$N$13:$N$24,0),""))</f>
        <v/>
      </c>
      <c r="M19" s="31" t="str">
        <f aca="false">IF(AND(A19&lt;&gt;"",A19=Statement!$C$6,L19=Statement!$K$7),COUNTIFS(A$6:A19,Statement!$C$6,L$6:L19,Statement!$K$7),"")</f>
        <v/>
      </c>
    </row>
    <row r="20" customFormat="false" ht="15" hidden="false" customHeight="false" outlineLevel="0" collapsed="false">
      <c r="A20" s="10"/>
      <c r="B20" s="10"/>
      <c r="C20" s="28"/>
      <c r="D20" s="10"/>
      <c r="E20" s="10"/>
      <c r="F20" s="10"/>
      <c r="G20" s="26"/>
      <c r="H20" s="25"/>
      <c r="I20" s="29" t="str">
        <f aca="false">IF(OR(A20="",G20=""),"",IF(H20="",IFERROR(INDEX(Settings!$F$13:$F$27,MATCH(A20,Settings!$C$13:$C$27,0)),0),H20))</f>
        <v/>
      </c>
      <c r="J20" s="30" t="str">
        <f aca="false">IF(I20="","",ROUND(IF(F20="Clawback",-1,1)*G20*I20,2))</f>
        <v/>
      </c>
      <c r="K20" s="10"/>
      <c r="L20" s="31" t="str">
        <f aca="false">IF(OR(A20="",B20=""),"",IFERROR(MATCH(B20,Settings!$N$13:$N$24,0),""))</f>
        <v/>
      </c>
      <c r="M20" s="31" t="str">
        <f aca="false">IF(AND(A20&lt;&gt;"",A20=Statement!$C$6,L20=Statement!$K$7),COUNTIFS(A$6:A20,Statement!$C$6,L$6:L20,Statement!$K$7),"")</f>
        <v/>
      </c>
    </row>
    <row r="21" customFormat="false" ht="15" hidden="false" customHeight="false" outlineLevel="0" collapsed="false">
      <c r="A21" s="10"/>
      <c r="B21" s="10"/>
      <c r="C21" s="28"/>
      <c r="D21" s="10"/>
      <c r="E21" s="10"/>
      <c r="F21" s="10"/>
      <c r="G21" s="26"/>
      <c r="H21" s="25"/>
      <c r="I21" s="29" t="str">
        <f aca="false">IF(OR(A21="",G21=""),"",IF(H21="",IFERROR(INDEX(Settings!$F$13:$F$27,MATCH(A21,Settings!$C$13:$C$27,0)),0),H21))</f>
        <v/>
      </c>
      <c r="J21" s="30" t="str">
        <f aca="false">IF(I21="","",ROUND(IF(F21="Clawback",-1,1)*G21*I21,2))</f>
        <v/>
      </c>
      <c r="K21" s="10"/>
      <c r="L21" s="31" t="str">
        <f aca="false">IF(OR(A21="",B21=""),"",IFERROR(MATCH(B21,Settings!$N$13:$N$24,0),""))</f>
        <v/>
      </c>
      <c r="M21" s="31" t="str">
        <f aca="false">IF(AND(A21&lt;&gt;"",A21=Statement!$C$6,L21=Statement!$K$7),COUNTIFS(A$6:A21,Statement!$C$6,L$6:L21,Statement!$K$7),"")</f>
        <v/>
      </c>
    </row>
    <row r="22" customFormat="false" ht="15" hidden="false" customHeight="false" outlineLevel="0" collapsed="false">
      <c r="A22" s="10"/>
      <c r="B22" s="10"/>
      <c r="C22" s="28"/>
      <c r="D22" s="10"/>
      <c r="E22" s="10"/>
      <c r="F22" s="10"/>
      <c r="G22" s="26"/>
      <c r="H22" s="25"/>
      <c r="I22" s="29" t="str">
        <f aca="false">IF(OR(A22="",G22=""),"",IF(H22="",IFERROR(INDEX(Settings!$F$13:$F$27,MATCH(A22,Settings!$C$13:$C$27,0)),0),H22))</f>
        <v/>
      </c>
      <c r="J22" s="30" t="str">
        <f aca="false">IF(I22="","",ROUND(IF(F22="Clawback",-1,1)*G22*I22,2))</f>
        <v/>
      </c>
      <c r="K22" s="10"/>
      <c r="L22" s="31" t="str">
        <f aca="false">IF(OR(A22="",B22=""),"",IFERROR(MATCH(B22,Settings!$N$13:$N$24,0),""))</f>
        <v/>
      </c>
      <c r="M22" s="31" t="str">
        <f aca="false">IF(AND(A22&lt;&gt;"",A22=Statement!$C$6,L22=Statement!$K$7),COUNTIFS(A$6:A22,Statement!$C$6,L$6:L22,Statement!$K$7),"")</f>
        <v/>
      </c>
    </row>
    <row r="23" customFormat="false" ht="15" hidden="false" customHeight="false" outlineLevel="0" collapsed="false">
      <c r="A23" s="10"/>
      <c r="B23" s="10"/>
      <c r="C23" s="28"/>
      <c r="D23" s="10"/>
      <c r="E23" s="10"/>
      <c r="F23" s="10"/>
      <c r="G23" s="26"/>
      <c r="H23" s="25"/>
      <c r="I23" s="29" t="str">
        <f aca="false">IF(OR(A23="",G23=""),"",IF(H23="",IFERROR(INDEX(Settings!$F$13:$F$27,MATCH(A23,Settings!$C$13:$C$27,0)),0),H23))</f>
        <v/>
      </c>
      <c r="J23" s="30" t="str">
        <f aca="false">IF(I23="","",ROUND(IF(F23="Clawback",-1,1)*G23*I23,2))</f>
        <v/>
      </c>
      <c r="K23" s="10"/>
      <c r="L23" s="31" t="str">
        <f aca="false">IF(OR(A23="",B23=""),"",IFERROR(MATCH(B23,Settings!$N$13:$N$24,0),""))</f>
        <v/>
      </c>
      <c r="M23" s="31" t="str">
        <f aca="false">IF(AND(A23&lt;&gt;"",A23=Statement!$C$6,L23=Statement!$K$7),COUNTIFS(A$6:A23,Statement!$C$6,L$6:L23,Statement!$K$7),"")</f>
        <v/>
      </c>
    </row>
    <row r="24" customFormat="false" ht="15" hidden="false" customHeight="false" outlineLevel="0" collapsed="false">
      <c r="A24" s="10"/>
      <c r="B24" s="10"/>
      <c r="C24" s="28"/>
      <c r="D24" s="10"/>
      <c r="E24" s="10"/>
      <c r="F24" s="10"/>
      <c r="G24" s="26"/>
      <c r="H24" s="25"/>
      <c r="I24" s="29" t="str">
        <f aca="false">IF(OR(A24="",G24=""),"",IF(H24="",IFERROR(INDEX(Settings!$F$13:$F$27,MATCH(A24,Settings!$C$13:$C$27,0)),0),H24))</f>
        <v/>
      </c>
      <c r="J24" s="30" t="str">
        <f aca="false">IF(I24="","",ROUND(IF(F24="Clawback",-1,1)*G24*I24,2))</f>
        <v/>
      </c>
      <c r="K24" s="10"/>
      <c r="L24" s="31" t="str">
        <f aca="false">IF(OR(A24="",B24=""),"",IFERROR(MATCH(B24,Settings!$N$13:$N$24,0),""))</f>
        <v/>
      </c>
      <c r="M24" s="31" t="str">
        <f aca="false">IF(AND(A24&lt;&gt;"",A24=Statement!$C$6,L24=Statement!$K$7),COUNTIFS(A$6:A24,Statement!$C$6,L$6:L24,Statement!$K$7),"")</f>
        <v/>
      </c>
    </row>
    <row r="25" customFormat="false" ht="15" hidden="false" customHeight="false" outlineLevel="0" collapsed="false">
      <c r="A25" s="10"/>
      <c r="B25" s="10"/>
      <c r="C25" s="28"/>
      <c r="D25" s="10"/>
      <c r="E25" s="10"/>
      <c r="F25" s="10"/>
      <c r="G25" s="26"/>
      <c r="H25" s="25"/>
      <c r="I25" s="29" t="str">
        <f aca="false">IF(OR(A25="",G25=""),"",IF(H25="",IFERROR(INDEX(Settings!$F$13:$F$27,MATCH(A25,Settings!$C$13:$C$27,0)),0),H25))</f>
        <v/>
      </c>
      <c r="J25" s="30" t="str">
        <f aca="false">IF(I25="","",ROUND(IF(F25="Clawback",-1,1)*G25*I25,2))</f>
        <v/>
      </c>
      <c r="K25" s="10"/>
      <c r="L25" s="31" t="str">
        <f aca="false">IF(OR(A25="",B25=""),"",IFERROR(MATCH(B25,Settings!$N$13:$N$24,0),""))</f>
        <v/>
      </c>
      <c r="M25" s="31" t="str">
        <f aca="false">IF(AND(A25&lt;&gt;"",A25=Statement!$C$6,L25=Statement!$K$7),COUNTIFS(A$6:A25,Statement!$C$6,L$6:L25,Statement!$K$7),"")</f>
        <v/>
      </c>
    </row>
    <row r="26" customFormat="false" ht="15" hidden="false" customHeight="false" outlineLevel="0" collapsed="false">
      <c r="A26" s="10"/>
      <c r="B26" s="10"/>
      <c r="C26" s="28"/>
      <c r="D26" s="10"/>
      <c r="E26" s="10"/>
      <c r="F26" s="10"/>
      <c r="G26" s="26"/>
      <c r="H26" s="25"/>
      <c r="I26" s="29" t="str">
        <f aca="false">IF(OR(A26="",G26=""),"",IF(H26="",IFERROR(INDEX(Settings!$F$13:$F$27,MATCH(A26,Settings!$C$13:$C$27,0)),0),H26))</f>
        <v/>
      </c>
      <c r="J26" s="30" t="str">
        <f aca="false">IF(I26="","",ROUND(IF(F26="Clawback",-1,1)*G26*I26,2))</f>
        <v/>
      </c>
      <c r="K26" s="10"/>
      <c r="L26" s="31" t="str">
        <f aca="false">IF(OR(A26="",B26=""),"",IFERROR(MATCH(B26,Settings!$N$13:$N$24,0),""))</f>
        <v/>
      </c>
      <c r="M26" s="31" t="str">
        <f aca="false">IF(AND(A26&lt;&gt;"",A26=Statement!$C$6,L26=Statement!$K$7),COUNTIFS(A$6:A26,Statement!$C$6,L$6:L26,Statement!$K$7),"")</f>
        <v/>
      </c>
    </row>
    <row r="27" customFormat="false" ht="15" hidden="false" customHeight="false" outlineLevel="0" collapsed="false">
      <c r="A27" s="10"/>
      <c r="B27" s="10"/>
      <c r="C27" s="28"/>
      <c r="D27" s="10"/>
      <c r="E27" s="10"/>
      <c r="F27" s="10"/>
      <c r="G27" s="26"/>
      <c r="H27" s="25"/>
      <c r="I27" s="29" t="str">
        <f aca="false">IF(OR(A27="",G27=""),"",IF(H27="",IFERROR(INDEX(Settings!$F$13:$F$27,MATCH(A27,Settings!$C$13:$C$27,0)),0),H27))</f>
        <v/>
      </c>
      <c r="J27" s="30" t="str">
        <f aca="false">IF(I27="","",ROUND(IF(F27="Clawback",-1,1)*G27*I27,2))</f>
        <v/>
      </c>
      <c r="K27" s="10"/>
      <c r="L27" s="31" t="str">
        <f aca="false">IF(OR(A27="",B27=""),"",IFERROR(MATCH(B27,Settings!$N$13:$N$24,0),""))</f>
        <v/>
      </c>
      <c r="M27" s="31" t="str">
        <f aca="false">IF(AND(A27&lt;&gt;"",A27=Statement!$C$6,L27=Statement!$K$7),COUNTIFS(A$6:A27,Statement!$C$6,L$6:L27,Statement!$K$7),"")</f>
        <v/>
      </c>
    </row>
    <row r="28" customFormat="false" ht="15" hidden="false" customHeight="false" outlineLevel="0" collapsed="false">
      <c r="A28" s="10"/>
      <c r="B28" s="10"/>
      <c r="C28" s="28"/>
      <c r="D28" s="10"/>
      <c r="E28" s="10"/>
      <c r="F28" s="10"/>
      <c r="G28" s="26"/>
      <c r="H28" s="25"/>
      <c r="I28" s="29" t="str">
        <f aca="false">IF(OR(A28="",G28=""),"",IF(H28="",IFERROR(INDEX(Settings!$F$13:$F$27,MATCH(A28,Settings!$C$13:$C$27,0)),0),H28))</f>
        <v/>
      </c>
      <c r="J28" s="30" t="str">
        <f aca="false">IF(I28="","",ROUND(IF(F28="Clawback",-1,1)*G28*I28,2))</f>
        <v/>
      </c>
      <c r="K28" s="10"/>
      <c r="L28" s="31" t="str">
        <f aca="false">IF(OR(A28="",B28=""),"",IFERROR(MATCH(B28,Settings!$N$13:$N$24,0),""))</f>
        <v/>
      </c>
      <c r="M28" s="31" t="str">
        <f aca="false">IF(AND(A28&lt;&gt;"",A28=Statement!$C$6,L28=Statement!$K$7),COUNTIFS(A$6:A28,Statement!$C$6,L$6:L28,Statement!$K$7),"")</f>
        <v/>
      </c>
    </row>
    <row r="29" customFormat="false" ht="15" hidden="false" customHeight="false" outlineLevel="0" collapsed="false">
      <c r="A29" s="10"/>
      <c r="B29" s="10"/>
      <c r="C29" s="28"/>
      <c r="D29" s="10"/>
      <c r="E29" s="10"/>
      <c r="F29" s="10"/>
      <c r="G29" s="26"/>
      <c r="H29" s="25"/>
      <c r="I29" s="29" t="str">
        <f aca="false">IF(OR(A29="",G29=""),"",IF(H29="",IFERROR(INDEX(Settings!$F$13:$F$27,MATCH(A29,Settings!$C$13:$C$27,0)),0),H29))</f>
        <v/>
      </c>
      <c r="J29" s="30" t="str">
        <f aca="false">IF(I29="","",ROUND(IF(F29="Clawback",-1,1)*G29*I29,2))</f>
        <v/>
      </c>
      <c r="K29" s="10"/>
      <c r="L29" s="31" t="str">
        <f aca="false">IF(OR(A29="",B29=""),"",IFERROR(MATCH(B29,Settings!$N$13:$N$24,0),""))</f>
        <v/>
      </c>
      <c r="M29" s="31" t="str">
        <f aca="false">IF(AND(A29&lt;&gt;"",A29=Statement!$C$6,L29=Statement!$K$7),COUNTIFS(A$6:A29,Statement!$C$6,L$6:L29,Statement!$K$7),"")</f>
        <v/>
      </c>
    </row>
    <row r="30" customFormat="false" ht="15" hidden="false" customHeight="false" outlineLevel="0" collapsed="false">
      <c r="A30" s="10"/>
      <c r="B30" s="10"/>
      <c r="C30" s="28"/>
      <c r="D30" s="10"/>
      <c r="E30" s="10"/>
      <c r="F30" s="10"/>
      <c r="G30" s="26"/>
      <c r="H30" s="25"/>
      <c r="I30" s="29" t="str">
        <f aca="false">IF(OR(A30="",G30=""),"",IF(H30="",IFERROR(INDEX(Settings!$F$13:$F$27,MATCH(A30,Settings!$C$13:$C$27,0)),0),H30))</f>
        <v/>
      </c>
      <c r="J30" s="30" t="str">
        <f aca="false">IF(I30="","",ROUND(IF(F30="Clawback",-1,1)*G30*I30,2))</f>
        <v/>
      </c>
      <c r="K30" s="10"/>
      <c r="L30" s="31" t="str">
        <f aca="false">IF(OR(A30="",B30=""),"",IFERROR(MATCH(B30,Settings!$N$13:$N$24,0),""))</f>
        <v/>
      </c>
      <c r="M30" s="31" t="str">
        <f aca="false">IF(AND(A30&lt;&gt;"",A30=Statement!$C$6,L30=Statement!$K$7),COUNTIFS(A$6:A30,Statement!$C$6,L$6:L30,Statement!$K$7),"")</f>
        <v/>
      </c>
    </row>
    <row r="31" customFormat="false" ht="15" hidden="false" customHeight="false" outlineLevel="0" collapsed="false">
      <c r="A31" s="10"/>
      <c r="B31" s="10"/>
      <c r="C31" s="28"/>
      <c r="D31" s="10"/>
      <c r="E31" s="10"/>
      <c r="F31" s="10"/>
      <c r="G31" s="26"/>
      <c r="H31" s="25"/>
      <c r="I31" s="29" t="str">
        <f aca="false">IF(OR(A31="",G31=""),"",IF(H31="",IFERROR(INDEX(Settings!$F$13:$F$27,MATCH(A31,Settings!$C$13:$C$27,0)),0),H31))</f>
        <v/>
      </c>
      <c r="J31" s="30" t="str">
        <f aca="false">IF(I31="","",ROUND(IF(F31="Clawback",-1,1)*G31*I31,2))</f>
        <v/>
      </c>
      <c r="K31" s="10"/>
      <c r="L31" s="31" t="str">
        <f aca="false">IF(OR(A31="",B31=""),"",IFERROR(MATCH(B31,Settings!$N$13:$N$24,0),""))</f>
        <v/>
      </c>
      <c r="M31" s="31" t="str">
        <f aca="false">IF(AND(A31&lt;&gt;"",A31=Statement!$C$6,L31=Statement!$K$7),COUNTIFS(A$6:A31,Statement!$C$6,L$6:L31,Statement!$K$7),"")</f>
        <v/>
      </c>
    </row>
    <row r="32" customFormat="false" ht="15" hidden="false" customHeight="false" outlineLevel="0" collapsed="false">
      <c r="A32" s="10"/>
      <c r="B32" s="10"/>
      <c r="C32" s="28"/>
      <c r="D32" s="10"/>
      <c r="E32" s="10"/>
      <c r="F32" s="10"/>
      <c r="G32" s="26"/>
      <c r="H32" s="25"/>
      <c r="I32" s="29" t="str">
        <f aca="false">IF(OR(A32="",G32=""),"",IF(H32="",IFERROR(INDEX(Settings!$F$13:$F$27,MATCH(A32,Settings!$C$13:$C$27,0)),0),H32))</f>
        <v/>
      </c>
      <c r="J32" s="30" t="str">
        <f aca="false">IF(I32="","",ROUND(IF(F32="Clawback",-1,1)*G32*I32,2))</f>
        <v/>
      </c>
      <c r="K32" s="10"/>
      <c r="L32" s="31" t="str">
        <f aca="false">IF(OR(A32="",B32=""),"",IFERROR(MATCH(B32,Settings!$N$13:$N$24,0),""))</f>
        <v/>
      </c>
      <c r="M32" s="31" t="str">
        <f aca="false">IF(AND(A32&lt;&gt;"",A32=Statement!$C$6,L32=Statement!$K$7),COUNTIFS(A$6:A32,Statement!$C$6,L$6:L32,Statement!$K$7),"")</f>
        <v/>
      </c>
    </row>
    <row r="33" customFormat="false" ht="15" hidden="false" customHeight="false" outlineLevel="0" collapsed="false">
      <c r="A33" s="10"/>
      <c r="B33" s="10"/>
      <c r="C33" s="28"/>
      <c r="D33" s="10"/>
      <c r="E33" s="10"/>
      <c r="F33" s="10"/>
      <c r="G33" s="26"/>
      <c r="H33" s="25"/>
      <c r="I33" s="29" t="str">
        <f aca="false">IF(OR(A33="",G33=""),"",IF(H33="",IFERROR(INDEX(Settings!$F$13:$F$27,MATCH(A33,Settings!$C$13:$C$27,0)),0),H33))</f>
        <v/>
      </c>
      <c r="J33" s="30" t="str">
        <f aca="false">IF(I33="","",ROUND(IF(F33="Clawback",-1,1)*G33*I33,2))</f>
        <v/>
      </c>
      <c r="K33" s="10"/>
      <c r="L33" s="31" t="str">
        <f aca="false">IF(OR(A33="",B33=""),"",IFERROR(MATCH(B33,Settings!$N$13:$N$24,0),""))</f>
        <v/>
      </c>
      <c r="M33" s="31" t="str">
        <f aca="false">IF(AND(A33&lt;&gt;"",A33=Statement!$C$6,L33=Statement!$K$7),COUNTIFS(A$6:A33,Statement!$C$6,L$6:L33,Statement!$K$7),"")</f>
        <v/>
      </c>
    </row>
    <row r="34" customFormat="false" ht="15" hidden="false" customHeight="false" outlineLevel="0" collapsed="false">
      <c r="A34" s="10"/>
      <c r="B34" s="10"/>
      <c r="C34" s="28"/>
      <c r="D34" s="10"/>
      <c r="E34" s="10"/>
      <c r="F34" s="10"/>
      <c r="G34" s="26"/>
      <c r="H34" s="25"/>
      <c r="I34" s="29" t="str">
        <f aca="false">IF(OR(A34="",G34=""),"",IF(H34="",IFERROR(INDEX(Settings!$F$13:$F$27,MATCH(A34,Settings!$C$13:$C$27,0)),0),H34))</f>
        <v/>
      </c>
      <c r="J34" s="30" t="str">
        <f aca="false">IF(I34="","",ROUND(IF(F34="Clawback",-1,1)*G34*I34,2))</f>
        <v/>
      </c>
      <c r="K34" s="10"/>
      <c r="L34" s="31" t="str">
        <f aca="false">IF(OR(A34="",B34=""),"",IFERROR(MATCH(B34,Settings!$N$13:$N$24,0),""))</f>
        <v/>
      </c>
      <c r="M34" s="31" t="str">
        <f aca="false">IF(AND(A34&lt;&gt;"",A34=Statement!$C$6,L34=Statement!$K$7),COUNTIFS(A$6:A34,Statement!$C$6,L$6:L34,Statement!$K$7),"")</f>
        <v/>
      </c>
    </row>
    <row r="35" customFormat="false" ht="15" hidden="false" customHeight="false" outlineLevel="0" collapsed="false">
      <c r="A35" s="10"/>
      <c r="B35" s="10"/>
      <c r="C35" s="28"/>
      <c r="D35" s="10"/>
      <c r="E35" s="10"/>
      <c r="F35" s="10"/>
      <c r="G35" s="26"/>
      <c r="H35" s="25"/>
      <c r="I35" s="29" t="str">
        <f aca="false">IF(OR(A35="",G35=""),"",IF(H35="",IFERROR(INDEX(Settings!$F$13:$F$27,MATCH(A35,Settings!$C$13:$C$27,0)),0),H35))</f>
        <v/>
      </c>
      <c r="J35" s="30" t="str">
        <f aca="false">IF(I35="","",ROUND(IF(F35="Clawback",-1,1)*G35*I35,2))</f>
        <v/>
      </c>
      <c r="K35" s="10"/>
      <c r="L35" s="31" t="str">
        <f aca="false">IF(OR(A35="",B35=""),"",IFERROR(MATCH(B35,Settings!$N$13:$N$24,0),""))</f>
        <v/>
      </c>
      <c r="M35" s="31" t="str">
        <f aca="false">IF(AND(A35&lt;&gt;"",A35=Statement!$C$6,L35=Statement!$K$7),COUNTIFS(A$6:A35,Statement!$C$6,L$6:L35,Statement!$K$7),"")</f>
        <v/>
      </c>
    </row>
    <row r="36" customFormat="false" ht="15" hidden="false" customHeight="false" outlineLevel="0" collapsed="false">
      <c r="A36" s="10"/>
      <c r="B36" s="10"/>
      <c r="C36" s="28"/>
      <c r="D36" s="10"/>
      <c r="E36" s="10"/>
      <c r="F36" s="10"/>
      <c r="G36" s="26"/>
      <c r="H36" s="25"/>
      <c r="I36" s="29" t="str">
        <f aca="false">IF(OR(A36="",G36=""),"",IF(H36="",IFERROR(INDEX(Settings!$F$13:$F$27,MATCH(A36,Settings!$C$13:$C$27,0)),0),H36))</f>
        <v/>
      </c>
      <c r="J36" s="30" t="str">
        <f aca="false">IF(I36="","",ROUND(IF(F36="Clawback",-1,1)*G36*I36,2))</f>
        <v/>
      </c>
      <c r="K36" s="10"/>
      <c r="L36" s="31" t="str">
        <f aca="false">IF(OR(A36="",B36=""),"",IFERROR(MATCH(B36,Settings!$N$13:$N$24,0),""))</f>
        <v/>
      </c>
      <c r="M36" s="31" t="str">
        <f aca="false">IF(AND(A36&lt;&gt;"",A36=Statement!$C$6,L36=Statement!$K$7),COUNTIFS(A$6:A36,Statement!$C$6,L$6:L36,Statement!$K$7),"")</f>
        <v/>
      </c>
    </row>
    <row r="37" customFormat="false" ht="15" hidden="false" customHeight="false" outlineLevel="0" collapsed="false">
      <c r="A37" s="10"/>
      <c r="B37" s="10"/>
      <c r="C37" s="28"/>
      <c r="D37" s="10"/>
      <c r="E37" s="10"/>
      <c r="F37" s="10"/>
      <c r="G37" s="26"/>
      <c r="H37" s="25"/>
      <c r="I37" s="29" t="str">
        <f aca="false">IF(OR(A37="",G37=""),"",IF(H37="",IFERROR(INDEX(Settings!$F$13:$F$27,MATCH(A37,Settings!$C$13:$C$27,0)),0),H37))</f>
        <v/>
      </c>
      <c r="J37" s="30" t="str">
        <f aca="false">IF(I37="","",ROUND(IF(F37="Clawback",-1,1)*G37*I37,2))</f>
        <v/>
      </c>
      <c r="K37" s="10"/>
      <c r="L37" s="31" t="str">
        <f aca="false">IF(OR(A37="",B37=""),"",IFERROR(MATCH(B37,Settings!$N$13:$N$24,0),""))</f>
        <v/>
      </c>
      <c r="M37" s="31" t="str">
        <f aca="false">IF(AND(A37&lt;&gt;"",A37=Statement!$C$6,L37=Statement!$K$7),COUNTIFS(A$6:A37,Statement!$C$6,L$6:L37,Statement!$K$7),"")</f>
        <v/>
      </c>
    </row>
    <row r="38" customFormat="false" ht="15" hidden="false" customHeight="false" outlineLevel="0" collapsed="false">
      <c r="A38" s="10"/>
      <c r="B38" s="10"/>
      <c r="C38" s="28"/>
      <c r="D38" s="10"/>
      <c r="E38" s="10"/>
      <c r="F38" s="10"/>
      <c r="G38" s="26"/>
      <c r="H38" s="25"/>
      <c r="I38" s="29" t="str">
        <f aca="false">IF(OR(A38="",G38=""),"",IF(H38="",IFERROR(INDEX(Settings!$F$13:$F$27,MATCH(A38,Settings!$C$13:$C$27,0)),0),H38))</f>
        <v/>
      </c>
      <c r="J38" s="30" t="str">
        <f aca="false">IF(I38="","",ROUND(IF(F38="Clawback",-1,1)*G38*I38,2))</f>
        <v/>
      </c>
      <c r="K38" s="10"/>
      <c r="L38" s="31" t="str">
        <f aca="false">IF(OR(A38="",B38=""),"",IFERROR(MATCH(B38,Settings!$N$13:$N$24,0),""))</f>
        <v/>
      </c>
      <c r="M38" s="31" t="str">
        <f aca="false">IF(AND(A38&lt;&gt;"",A38=Statement!$C$6,L38=Statement!$K$7),COUNTIFS(A$6:A38,Statement!$C$6,L$6:L38,Statement!$K$7),"")</f>
        <v/>
      </c>
    </row>
    <row r="39" customFormat="false" ht="15" hidden="false" customHeight="false" outlineLevel="0" collapsed="false">
      <c r="A39" s="10"/>
      <c r="B39" s="10"/>
      <c r="C39" s="28"/>
      <c r="D39" s="10"/>
      <c r="E39" s="10"/>
      <c r="F39" s="10"/>
      <c r="G39" s="26"/>
      <c r="H39" s="25"/>
      <c r="I39" s="29" t="str">
        <f aca="false">IF(OR(A39="",G39=""),"",IF(H39="",IFERROR(INDEX(Settings!$F$13:$F$27,MATCH(A39,Settings!$C$13:$C$27,0)),0),H39))</f>
        <v/>
      </c>
      <c r="J39" s="30" t="str">
        <f aca="false">IF(I39="","",ROUND(IF(F39="Clawback",-1,1)*G39*I39,2))</f>
        <v/>
      </c>
      <c r="K39" s="10"/>
      <c r="L39" s="31" t="str">
        <f aca="false">IF(OR(A39="",B39=""),"",IFERROR(MATCH(B39,Settings!$N$13:$N$24,0),""))</f>
        <v/>
      </c>
      <c r="M39" s="31" t="str">
        <f aca="false">IF(AND(A39&lt;&gt;"",A39=Statement!$C$6,L39=Statement!$K$7),COUNTIFS(A$6:A39,Statement!$C$6,L$6:L39,Statement!$K$7),"")</f>
        <v/>
      </c>
    </row>
    <row r="40" customFormat="false" ht="15" hidden="false" customHeight="false" outlineLevel="0" collapsed="false">
      <c r="A40" s="10"/>
      <c r="B40" s="10"/>
      <c r="C40" s="28"/>
      <c r="D40" s="10"/>
      <c r="E40" s="10"/>
      <c r="F40" s="10"/>
      <c r="G40" s="26"/>
      <c r="H40" s="25"/>
      <c r="I40" s="29" t="str">
        <f aca="false">IF(OR(A40="",G40=""),"",IF(H40="",IFERROR(INDEX(Settings!$F$13:$F$27,MATCH(A40,Settings!$C$13:$C$27,0)),0),H40))</f>
        <v/>
      </c>
      <c r="J40" s="30" t="str">
        <f aca="false">IF(I40="","",ROUND(IF(F40="Clawback",-1,1)*G40*I40,2))</f>
        <v/>
      </c>
      <c r="K40" s="10"/>
      <c r="L40" s="31" t="str">
        <f aca="false">IF(OR(A40="",B40=""),"",IFERROR(MATCH(B40,Settings!$N$13:$N$24,0),""))</f>
        <v/>
      </c>
      <c r="M40" s="31" t="str">
        <f aca="false">IF(AND(A40&lt;&gt;"",A40=Statement!$C$6,L40=Statement!$K$7),COUNTIFS(A$6:A40,Statement!$C$6,L$6:L40,Statement!$K$7),"")</f>
        <v/>
      </c>
    </row>
    <row r="41" customFormat="false" ht="15" hidden="false" customHeight="false" outlineLevel="0" collapsed="false">
      <c r="A41" s="10"/>
      <c r="B41" s="10"/>
      <c r="C41" s="28"/>
      <c r="D41" s="10"/>
      <c r="E41" s="10"/>
      <c r="F41" s="10"/>
      <c r="G41" s="26"/>
      <c r="H41" s="25"/>
      <c r="I41" s="29" t="str">
        <f aca="false">IF(OR(A41="",G41=""),"",IF(H41="",IFERROR(INDEX(Settings!$F$13:$F$27,MATCH(A41,Settings!$C$13:$C$27,0)),0),H41))</f>
        <v/>
      </c>
      <c r="J41" s="30" t="str">
        <f aca="false">IF(I41="","",ROUND(IF(F41="Clawback",-1,1)*G41*I41,2))</f>
        <v/>
      </c>
      <c r="K41" s="10"/>
      <c r="L41" s="31" t="str">
        <f aca="false">IF(OR(A41="",B41=""),"",IFERROR(MATCH(B41,Settings!$N$13:$N$24,0),""))</f>
        <v/>
      </c>
      <c r="M41" s="31" t="str">
        <f aca="false">IF(AND(A41&lt;&gt;"",A41=Statement!$C$6,L41=Statement!$K$7),COUNTIFS(A$6:A41,Statement!$C$6,L$6:L41,Statement!$K$7),"")</f>
        <v/>
      </c>
    </row>
    <row r="42" customFormat="false" ht="15" hidden="false" customHeight="false" outlineLevel="0" collapsed="false">
      <c r="A42" s="10"/>
      <c r="B42" s="10"/>
      <c r="C42" s="28"/>
      <c r="D42" s="10"/>
      <c r="E42" s="10"/>
      <c r="F42" s="10"/>
      <c r="G42" s="26"/>
      <c r="H42" s="25"/>
      <c r="I42" s="29" t="str">
        <f aca="false">IF(OR(A42="",G42=""),"",IF(H42="",IFERROR(INDEX(Settings!$F$13:$F$27,MATCH(A42,Settings!$C$13:$C$27,0)),0),H42))</f>
        <v/>
      </c>
      <c r="J42" s="30" t="str">
        <f aca="false">IF(I42="","",ROUND(IF(F42="Clawback",-1,1)*G42*I42,2))</f>
        <v/>
      </c>
      <c r="K42" s="10"/>
      <c r="L42" s="31" t="str">
        <f aca="false">IF(OR(A42="",B42=""),"",IFERROR(MATCH(B42,Settings!$N$13:$N$24,0),""))</f>
        <v/>
      </c>
      <c r="M42" s="31" t="str">
        <f aca="false">IF(AND(A42&lt;&gt;"",A42=Statement!$C$6,L42=Statement!$K$7),COUNTIFS(A$6:A42,Statement!$C$6,L$6:L42,Statement!$K$7),"")</f>
        <v/>
      </c>
    </row>
    <row r="43" customFormat="false" ht="15" hidden="false" customHeight="false" outlineLevel="0" collapsed="false">
      <c r="A43" s="10"/>
      <c r="B43" s="10"/>
      <c r="C43" s="28"/>
      <c r="D43" s="10"/>
      <c r="E43" s="10"/>
      <c r="F43" s="10"/>
      <c r="G43" s="26"/>
      <c r="H43" s="25"/>
      <c r="I43" s="29" t="str">
        <f aca="false">IF(OR(A43="",G43=""),"",IF(H43="",IFERROR(INDEX(Settings!$F$13:$F$27,MATCH(A43,Settings!$C$13:$C$27,0)),0),H43))</f>
        <v/>
      </c>
      <c r="J43" s="30" t="str">
        <f aca="false">IF(I43="","",ROUND(IF(F43="Clawback",-1,1)*G43*I43,2))</f>
        <v/>
      </c>
      <c r="K43" s="10"/>
      <c r="L43" s="31" t="str">
        <f aca="false">IF(OR(A43="",B43=""),"",IFERROR(MATCH(B43,Settings!$N$13:$N$24,0),""))</f>
        <v/>
      </c>
      <c r="M43" s="31" t="str">
        <f aca="false">IF(AND(A43&lt;&gt;"",A43=Statement!$C$6,L43=Statement!$K$7),COUNTIFS(A$6:A43,Statement!$C$6,L$6:L43,Statement!$K$7),"")</f>
        <v/>
      </c>
    </row>
    <row r="44" customFormat="false" ht="15" hidden="false" customHeight="false" outlineLevel="0" collapsed="false">
      <c r="A44" s="10"/>
      <c r="B44" s="10"/>
      <c r="C44" s="28"/>
      <c r="D44" s="10"/>
      <c r="E44" s="10"/>
      <c r="F44" s="10"/>
      <c r="G44" s="26"/>
      <c r="H44" s="25"/>
      <c r="I44" s="29" t="str">
        <f aca="false">IF(OR(A44="",G44=""),"",IF(H44="",IFERROR(INDEX(Settings!$F$13:$F$27,MATCH(A44,Settings!$C$13:$C$27,0)),0),H44))</f>
        <v/>
      </c>
      <c r="J44" s="30" t="str">
        <f aca="false">IF(I44="","",ROUND(IF(F44="Clawback",-1,1)*G44*I44,2))</f>
        <v/>
      </c>
      <c r="K44" s="10"/>
      <c r="L44" s="31" t="str">
        <f aca="false">IF(OR(A44="",B44=""),"",IFERROR(MATCH(B44,Settings!$N$13:$N$24,0),""))</f>
        <v/>
      </c>
      <c r="M44" s="31" t="str">
        <f aca="false">IF(AND(A44&lt;&gt;"",A44=Statement!$C$6,L44=Statement!$K$7),COUNTIFS(A$6:A44,Statement!$C$6,L$6:L44,Statement!$K$7),"")</f>
        <v/>
      </c>
    </row>
    <row r="45" customFormat="false" ht="15" hidden="false" customHeight="false" outlineLevel="0" collapsed="false">
      <c r="A45" s="10"/>
      <c r="B45" s="10"/>
      <c r="C45" s="28"/>
      <c r="D45" s="10"/>
      <c r="E45" s="10"/>
      <c r="F45" s="10"/>
      <c r="G45" s="26"/>
      <c r="H45" s="25"/>
      <c r="I45" s="29" t="str">
        <f aca="false">IF(OR(A45="",G45=""),"",IF(H45="",IFERROR(INDEX(Settings!$F$13:$F$27,MATCH(A45,Settings!$C$13:$C$27,0)),0),H45))</f>
        <v/>
      </c>
      <c r="J45" s="30" t="str">
        <f aca="false">IF(I45="","",ROUND(IF(F45="Clawback",-1,1)*G45*I45,2))</f>
        <v/>
      </c>
      <c r="K45" s="10"/>
      <c r="L45" s="31" t="str">
        <f aca="false">IF(OR(A45="",B45=""),"",IFERROR(MATCH(B45,Settings!$N$13:$N$24,0),""))</f>
        <v/>
      </c>
      <c r="M45" s="31" t="str">
        <f aca="false">IF(AND(A45&lt;&gt;"",A45=Statement!$C$6,L45=Statement!$K$7),COUNTIFS(A$6:A45,Statement!$C$6,L$6:L45,Statement!$K$7),"")</f>
        <v/>
      </c>
    </row>
    <row r="46" customFormat="false" ht="15" hidden="false" customHeight="false" outlineLevel="0" collapsed="false">
      <c r="A46" s="10"/>
      <c r="B46" s="10"/>
      <c r="C46" s="28"/>
      <c r="D46" s="10"/>
      <c r="E46" s="10"/>
      <c r="F46" s="10"/>
      <c r="G46" s="26"/>
      <c r="H46" s="25"/>
      <c r="I46" s="29" t="str">
        <f aca="false">IF(OR(A46="",G46=""),"",IF(H46="",IFERROR(INDEX(Settings!$F$13:$F$27,MATCH(A46,Settings!$C$13:$C$27,0)),0),H46))</f>
        <v/>
      </c>
      <c r="J46" s="30" t="str">
        <f aca="false">IF(I46="","",ROUND(IF(F46="Clawback",-1,1)*G46*I46,2))</f>
        <v/>
      </c>
      <c r="K46" s="10"/>
      <c r="L46" s="31" t="str">
        <f aca="false">IF(OR(A46="",B46=""),"",IFERROR(MATCH(B46,Settings!$N$13:$N$24,0),""))</f>
        <v/>
      </c>
      <c r="M46" s="31" t="str">
        <f aca="false">IF(AND(A46&lt;&gt;"",A46=Statement!$C$6,L46=Statement!$K$7),COUNTIFS(A$6:A46,Statement!$C$6,L$6:L46,Statement!$K$7),"")</f>
        <v/>
      </c>
    </row>
    <row r="47" customFormat="false" ht="15" hidden="false" customHeight="false" outlineLevel="0" collapsed="false">
      <c r="A47" s="10"/>
      <c r="B47" s="10"/>
      <c r="C47" s="28"/>
      <c r="D47" s="10"/>
      <c r="E47" s="10"/>
      <c r="F47" s="10"/>
      <c r="G47" s="26"/>
      <c r="H47" s="25"/>
      <c r="I47" s="29" t="str">
        <f aca="false">IF(OR(A47="",G47=""),"",IF(H47="",IFERROR(INDEX(Settings!$F$13:$F$27,MATCH(A47,Settings!$C$13:$C$27,0)),0),H47))</f>
        <v/>
      </c>
      <c r="J47" s="30" t="str">
        <f aca="false">IF(I47="","",ROUND(IF(F47="Clawback",-1,1)*G47*I47,2))</f>
        <v/>
      </c>
      <c r="K47" s="10"/>
      <c r="L47" s="31" t="str">
        <f aca="false">IF(OR(A47="",B47=""),"",IFERROR(MATCH(B47,Settings!$N$13:$N$24,0),""))</f>
        <v/>
      </c>
      <c r="M47" s="31" t="str">
        <f aca="false">IF(AND(A47&lt;&gt;"",A47=Statement!$C$6,L47=Statement!$K$7),COUNTIFS(A$6:A47,Statement!$C$6,L$6:L47,Statement!$K$7),"")</f>
        <v/>
      </c>
    </row>
    <row r="48" customFormat="false" ht="15" hidden="false" customHeight="false" outlineLevel="0" collapsed="false">
      <c r="A48" s="10"/>
      <c r="B48" s="10"/>
      <c r="C48" s="28"/>
      <c r="D48" s="10"/>
      <c r="E48" s="10"/>
      <c r="F48" s="10"/>
      <c r="G48" s="26"/>
      <c r="H48" s="25"/>
      <c r="I48" s="29" t="str">
        <f aca="false">IF(OR(A48="",G48=""),"",IF(H48="",IFERROR(INDEX(Settings!$F$13:$F$27,MATCH(A48,Settings!$C$13:$C$27,0)),0),H48))</f>
        <v/>
      </c>
      <c r="J48" s="30" t="str">
        <f aca="false">IF(I48="","",ROUND(IF(F48="Clawback",-1,1)*G48*I48,2))</f>
        <v/>
      </c>
      <c r="K48" s="10"/>
      <c r="L48" s="31" t="str">
        <f aca="false">IF(OR(A48="",B48=""),"",IFERROR(MATCH(B48,Settings!$N$13:$N$24,0),""))</f>
        <v/>
      </c>
      <c r="M48" s="31" t="str">
        <f aca="false">IF(AND(A48&lt;&gt;"",A48=Statement!$C$6,L48=Statement!$K$7),COUNTIFS(A$6:A48,Statement!$C$6,L$6:L48,Statement!$K$7),"")</f>
        <v/>
      </c>
    </row>
    <row r="49" customFormat="false" ht="15" hidden="false" customHeight="false" outlineLevel="0" collapsed="false">
      <c r="A49" s="10"/>
      <c r="B49" s="10"/>
      <c r="C49" s="28"/>
      <c r="D49" s="10"/>
      <c r="E49" s="10"/>
      <c r="F49" s="10"/>
      <c r="G49" s="26"/>
      <c r="H49" s="25"/>
      <c r="I49" s="29" t="str">
        <f aca="false">IF(OR(A49="",G49=""),"",IF(H49="",IFERROR(INDEX(Settings!$F$13:$F$27,MATCH(A49,Settings!$C$13:$C$27,0)),0),H49))</f>
        <v/>
      </c>
      <c r="J49" s="30" t="str">
        <f aca="false">IF(I49="","",ROUND(IF(F49="Clawback",-1,1)*G49*I49,2))</f>
        <v/>
      </c>
      <c r="K49" s="10"/>
      <c r="L49" s="31" t="str">
        <f aca="false">IF(OR(A49="",B49=""),"",IFERROR(MATCH(B49,Settings!$N$13:$N$24,0),""))</f>
        <v/>
      </c>
      <c r="M49" s="31" t="str">
        <f aca="false">IF(AND(A49&lt;&gt;"",A49=Statement!$C$6,L49=Statement!$K$7),COUNTIFS(A$6:A49,Statement!$C$6,L$6:L49,Statement!$K$7),"")</f>
        <v/>
      </c>
    </row>
    <row r="50" customFormat="false" ht="15" hidden="false" customHeight="false" outlineLevel="0" collapsed="false">
      <c r="A50" s="10"/>
      <c r="B50" s="10"/>
      <c r="C50" s="28"/>
      <c r="D50" s="10"/>
      <c r="E50" s="10"/>
      <c r="F50" s="10"/>
      <c r="G50" s="26"/>
      <c r="H50" s="25"/>
      <c r="I50" s="29" t="str">
        <f aca="false">IF(OR(A50="",G50=""),"",IF(H50="",IFERROR(INDEX(Settings!$F$13:$F$27,MATCH(A50,Settings!$C$13:$C$27,0)),0),H50))</f>
        <v/>
      </c>
      <c r="J50" s="30" t="str">
        <f aca="false">IF(I50="","",ROUND(IF(F50="Clawback",-1,1)*G50*I50,2))</f>
        <v/>
      </c>
      <c r="K50" s="10"/>
      <c r="L50" s="31" t="str">
        <f aca="false">IF(OR(A50="",B50=""),"",IFERROR(MATCH(B50,Settings!$N$13:$N$24,0),""))</f>
        <v/>
      </c>
      <c r="M50" s="31" t="str">
        <f aca="false">IF(AND(A50&lt;&gt;"",A50=Statement!$C$6,L50=Statement!$K$7),COUNTIFS(A$6:A50,Statement!$C$6,L$6:L50,Statement!$K$7),"")</f>
        <v/>
      </c>
    </row>
    <row r="51" customFormat="false" ht="15" hidden="false" customHeight="false" outlineLevel="0" collapsed="false">
      <c r="A51" s="10"/>
      <c r="B51" s="10"/>
      <c r="C51" s="28"/>
      <c r="D51" s="10"/>
      <c r="E51" s="10"/>
      <c r="F51" s="10"/>
      <c r="G51" s="26"/>
      <c r="H51" s="25"/>
      <c r="I51" s="29" t="str">
        <f aca="false">IF(OR(A51="",G51=""),"",IF(H51="",IFERROR(INDEX(Settings!$F$13:$F$27,MATCH(A51,Settings!$C$13:$C$27,0)),0),H51))</f>
        <v/>
      </c>
      <c r="J51" s="30" t="str">
        <f aca="false">IF(I51="","",ROUND(IF(F51="Clawback",-1,1)*G51*I51,2))</f>
        <v/>
      </c>
      <c r="K51" s="10"/>
      <c r="L51" s="31" t="str">
        <f aca="false">IF(OR(A51="",B51=""),"",IFERROR(MATCH(B51,Settings!$N$13:$N$24,0),""))</f>
        <v/>
      </c>
      <c r="M51" s="31" t="str">
        <f aca="false">IF(AND(A51&lt;&gt;"",A51=Statement!$C$6,L51=Statement!$K$7),COUNTIFS(A$6:A51,Statement!$C$6,L$6:L51,Statement!$K$7),"")</f>
        <v/>
      </c>
    </row>
    <row r="52" customFormat="false" ht="15" hidden="false" customHeight="false" outlineLevel="0" collapsed="false">
      <c r="A52" s="10"/>
      <c r="B52" s="10"/>
      <c r="C52" s="28"/>
      <c r="D52" s="10"/>
      <c r="E52" s="10"/>
      <c r="F52" s="10"/>
      <c r="G52" s="26"/>
      <c r="H52" s="25"/>
      <c r="I52" s="29" t="str">
        <f aca="false">IF(OR(A52="",G52=""),"",IF(H52="",IFERROR(INDEX(Settings!$F$13:$F$27,MATCH(A52,Settings!$C$13:$C$27,0)),0),H52))</f>
        <v/>
      </c>
      <c r="J52" s="30" t="str">
        <f aca="false">IF(I52="","",ROUND(IF(F52="Clawback",-1,1)*G52*I52,2))</f>
        <v/>
      </c>
      <c r="K52" s="10"/>
      <c r="L52" s="31" t="str">
        <f aca="false">IF(OR(A52="",B52=""),"",IFERROR(MATCH(B52,Settings!$N$13:$N$24,0),""))</f>
        <v/>
      </c>
      <c r="M52" s="31" t="str">
        <f aca="false">IF(AND(A52&lt;&gt;"",A52=Statement!$C$6,L52=Statement!$K$7),COUNTIFS(A$6:A52,Statement!$C$6,L$6:L52,Statement!$K$7),"")</f>
        <v/>
      </c>
    </row>
    <row r="53" customFormat="false" ht="15" hidden="false" customHeight="false" outlineLevel="0" collapsed="false">
      <c r="A53" s="10"/>
      <c r="B53" s="10"/>
      <c r="C53" s="28"/>
      <c r="D53" s="10"/>
      <c r="E53" s="10"/>
      <c r="F53" s="10"/>
      <c r="G53" s="26"/>
      <c r="H53" s="25"/>
      <c r="I53" s="29" t="str">
        <f aca="false">IF(OR(A53="",G53=""),"",IF(H53="",IFERROR(INDEX(Settings!$F$13:$F$27,MATCH(A53,Settings!$C$13:$C$27,0)),0),H53))</f>
        <v/>
      </c>
      <c r="J53" s="30" t="str">
        <f aca="false">IF(I53="","",ROUND(IF(F53="Clawback",-1,1)*G53*I53,2))</f>
        <v/>
      </c>
      <c r="K53" s="10"/>
      <c r="L53" s="31" t="str">
        <f aca="false">IF(OR(A53="",B53=""),"",IFERROR(MATCH(B53,Settings!$N$13:$N$24,0),""))</f>
        <v/>
      </c>
      <c r="M53" s="31" t="str">
        <f aca="false">IF(AND(A53&lt;&gt;"",A53=Statement!$C$6,L53=Statement!$K$7),COUNTIFS(A$6:A53,Statement!$C$6,L$6:L53,Statement!$K$7),"")</f>
        <v/>
      </c>
    </row>
    <row r="54" customFormat="false" ht="15" hidden="false" customHeight="false" outlineLevel="0" collapsed="false">
      <c r="A54" s="10"/>
      <c r="B54" s="10"/>
      <c r="C54" s="28"/>
      <c r="D54" s="10"/>
      <c r="E54" s="10"/>
      <c r="F54" s="10"/>
      <c r="G54" s="26"/>
      <c r="H54" s="25"/>
      <c r="I54" s="29" t="str">
        <f aca="false">IF(OR(A54="",G54=""),"",IF(H54="",IFERROR(INDEX(Settings!$F$13:$F$27,MATCH(A54,Settings!$C$13:$C$27,0)),0),H54))</f>
        <v/>
      </c>
      <c r="J54" s="30" t="str">
        <f aca="false">IF(I54="","",ROUND(IF(F54="Clawback",-1,1)*G54*I54,2))</f>
        <v/>
      </c>
      <c r="K54" s="10"/>
      <c r="L54" s="31" t="str">
        <f aca="false">IF(OR(A54="",B54=""),"",IFERROR(MATCH(B54,Settings!$N$13:$N$24,0),""))</f>
        <v/>
      </c>
      <c r="M54" s="31" t="str">
        <f aca="false">IF(AND(A54&lt;&gt;"",A54=Statement!$C$6,L54=Statement!$K$7),COUNTIFS(A$6:A54,Statement!$C$6,L$6:L54,Statement!$K$7),"")</f>
        <v/>
      </c>
    </row>
    <row r="55" customFormat="false" ht="15" hidden="false" customHeight="false" outlineLevel="0" collapsed="false">
      <c r="A55" s="10"/>
      <c r="B55" s="10"/>
      <c r="C55" s="28"/>
      <c r="D55" s="10"/>
      <c r="E55" s="10"/>
      <c r="F55" s="10"/>
      <c r="G55" s="26"/>
      <c r="H55" s="25"/>
      <c r="I55" s="29" t="str">
        <f aca="false">IF(OR(A55="",G55=""),"",IF(H55="",IFERROR(INDEX(Settings!$F$13:$F$27,MATCH(A55,Settings!$C$13:$C$27,0)),0),H55))</f>
        <v/>
      </c>
      <c r="J55" s="30" t="str">
        <f aca="false">IF(I55="","",ROUND(IF(F55="Clawback",-1,1)*G55*I55,2))</f>
        <v/>
      </c>
      <c r="K55" s="10"/>
      <c r="L55" s="31" t="str">
        <f aca="false">IF(OR(A55="",B55=""),"",IFERROR(MATCH(B55,Settings!$N$13:$N$24,0),""))</f>
        <v/>
      </c>
      <c r="M55" s="31" t="str">
        <f aca="false">IF(AND(A55&lt;&gt;"",A55=Statement!$C$6,L55=Statement!$K$7),COUNTIFS(A$6:A55,Statement!$C$6,L$6:L55,Statement!$K$7),"")</f>
        <v/>
      </c>
    </row>
    <row r="56" customFormat="false" ht="15" hidden="false" customHeight="false" outlineLevel="0" collapsed="false">
      <c r="A56" s="10"/>
      <c r="B56" s="10"/>
      <c r="C56" s="28"/>
      <c r="D56" s="10"/>
      <c r="E56" s="10"/>
      <c r="F56" s="10"/>
      <c r="G56" s="26"/>
      <c r="H56" s="25"/>
      <c r="I56" s="29" t="str">
        <f aca="false">IF(OR(A56="",G56=""),"",IF(H56="",IFERROR(INDEX(Settings!$F$13:$F$27,MATCH(A56,Settings!$C$13:$C$27,0)),0),H56))</f>
        <v/>
      </c>
      <c r="J56" s="30" t="str">
        <f aca="false">IF(I56="","",ROUND(IF(F56="Clawback",-1,1)*G56*I56,2))</f>
        <v/>
      </c>
      <c r="K56" s="10"/>
      <c r="L56" s="31" t="str">
        <f aca="false">IF(OR(A56="",B56=""),"",IFERROR(MATCH(B56,Settings!$N$13:$N$24,0),""))</f>
        <v/>
      </c>
      <c r="M56" s="31" t="str">
        <f aca="false">IF(AND(A56&lt;&gt;"",A56=Statement!$C$6,L56=Statement!$K$7),COUNTIFS(A$6:A56,Statement!$C$6,L$6:L56,Statement!$K$7),"")</f>
        <v/>
      </c>
    </row>
    <row r="57" customFormat="false" ht="15" hidden="false" customHeight="false" outlineLevel="0" collapsed="false">
      <c r="A57" s="10"/>
      <c r="B57" s="10"/>
      <c r="C57" s="28"/>
      <c r="D57" s="10"/>
      <c r="E57" s="10"/>
      <c r="F57" s="10"/>
      <c r="G57" s="26"/>
      <c r="H57" s="25"/>
      <c r="I57" s="29" t="str">
        <f aca="false">IF(OR(A57="",G57=""),"",IF(H57="",IFERROR(INDEX(Settings!$F$13:$F$27,MATCH(A57,Settings!$C$13:$C$27,0)),0),H57))</f>
        <v/>
      </c>
      <c r="J57" s="30" t="str">
        <f aca="false">IF(I57="","",ROUND(IF(F57="Clawback",-1,1)*G57*I57,2))</f>
        <v/>
      </c>
      <c r="K57" s="10"/>
      <c r="L57" s="31" t="str">
        <f aca="false">IF(OR(A57="",B57=""),"",IFERROR(MATCH(B57,Settings!$N$13:$N$24,0),""))</f>
        <v/>
      </c>
      <c r="M57" s="31" t="str">
        <f aca="false">IF(AND(A57&lt;&gt;"",A57=Statement!$C$6,L57=Statement!$K$7),COUNTIFS(A$6:A57,Statement!$C$6,L$6:L57,Statement!$K$7),"")</f>
        <v/>
      </c>
    </row>
    <row r="58" customFormat="false" ht="15" hidden="false" customHeight="false" outlineLevel="0" collapsed="false">
      <c r="A58" s="10"/>
      <c r="B58" s="10"/>
      <c r="C58" s="28"/>
      <c r="D58" s="10"/>
      <c r="E58" s="10"/>
      <c r="F58" s="10"/>
      <c r="G58" s="26"/>
      <c r="H58" s="25"/>
      <c r="I58" s="29" t="str">
        <f aca="false">IF(OR(A58="",G58=""),"",IF(H58="",IFERROR(INDEX(Settings!$F$13:$F$27,MATCH(A58,Settings!$C$13:$C$27,0)),0),H58))</f>
        <v/>
      </c>
      <c r="J58" s="30" t="str">
        <f aca="false">IF(I58="","",ROUND(IF(F58="Clawback",-1,1)*G58*I58,2))</f>
        <v/>
      </c>
      <c r="K58" s="10"/>
      <c r="L58" s="31" t="str">
        <f aca="false">IF(OR(A58="",B58=""),"",IFERROR(MATCH(B58,Settings!$N$13:$N$24,0),""))</f>
        <v/>
      </c>
      <c r="M58" s="31" t="str">
        <f aca="false">IF(AND(A58&lt;&gt;"",A58=Statement!$C$6,L58=Statement!$K$7),COUNTIFS(A$6:A58,Statement!$C$6,L$6:L58,Statement!$K$7),"")</f>
        <v/>
      </c>
    </row>
    <row r="59" customFormat="false" ht="15" hidden="false" customHeight="false" outlineLevel="0" collapsed="false">
      <c r="A59" s="10"/>
      <c r="B59" s="10"/>
      <c r="C59" s="28"/>
      <c r="D59" s="10"/>
      <c r="E59" s="10"/>
      <c r="F59" s="10"/>
      <c r="G59" s="26"/>
      <c r="H59" s="25"/>
      <c r="I59" s="29" t="str">
        <f aca="false">IF(OR(A59="",G59=""),"",IF(H59="",IFERROR(INDEX(Settings!$F$13:$F$27,MATCH(A59,Settings!$C$13:$C$27,0)),0),H59))</f>
        <v/>
      </c>
      <c r="J59" s="30" t="str">
        <f aca="false">IF(I59="","",ROUND(IF(F59="Clawback",-1,1)*G59*I59,2))</f>
        <v/>
      </c>
      <c r="K59" s="10"/>
      <c r="L59" s="31" t="str">
        <f aca="false">IF(OR(A59="",B59=""),"",IFERROR(MATCH(B59,Settings!$N$13:$N$24,0),""))</f>
        <v/>
      </c>
      <c r="M59" s="31" t="str">
        <f aca="false">IF(AND(A59&lt;&gt;"",A59=Statement!$C$6,L59=Statement!$K$7),COUNTIFS(A$6:A59,Statement!$C$6,L$6:L59,Statement!$K$7),"")</f>
        <v/>
      </c>
    </row>
    <row r="60" customFormat="false" ht="15" hidden="false" customHeight="false" outlineLevel="0" collapsed="false">
      <c r="A60" s="10"/>
      <c r="B60" s="10"/>
      <c r="C60" s="28"/>
      <c r="D60" s="10"/>
      <c r="E60" s="10"/>
      <c r="F60" s="10"/>
      <c r="G60" s="26"/>
      <c r="H60" s="25"/>
      <c r="I60" s="29" t="str">
        <f aca="false">IF(OR(A60="",G60=""),"",IF(H60="",IFERROR(INDEX(Settings!$F$13:$F$27,MATCH(A60,Settings!$C$13:$C$27,0)),0),H60))</f>
        <v/>
      </c>
      <c r="J60" s="30" t="str">
        <f aca="false">IF(I60="","",ROUND(IF(F60="Clawback",-1,1)*G60*I60,2))</f>
        <v/>
      </c>
      <c r="K60" s="10"/>
      <c r="L60" s="31" t="str">
        <f aca="false">IF(OR(A60="",B60=""),"",IFERROR(MATCH(B60,Settings!$N$13:$N$24,0),""))</f>
        <v/>
      </c>
      <c r="M60" s="31" t="str">
        <f aca="false">IF(AND(A60&lt;&gt;"",A60=Statement!$C$6,L60=Statement!$K$7),COUNTIFS(A$6:A60,Statement!$C$6,L$6:L60,Statement!$K$7),"")</f>
        <v/>
      </c>
    </row>
    <row r="61" customFormat="false" ht="15" hidden="false" customHeight="false" outlineLevel="0" collapsed="false">
      <c r="A61" s="10"/>
      <c r="B61" s="10"/>
      <c r="C61" s="28"/>
      <c r="D61" s="10"/>
      <c r="E61" s="10"/>
      <c r="F61" s="10"/>
      <c r="G61" s="26"/>
      <c r="H61" s="25"/>
      <c r="I61" s="29" t="str">
        <f aca="false">IF(OR(A61="",G61=""),"",IF(H61="",IFERROR(INDEX(Settings!$F$13:$F$27,MATCH(A61,Settings!$C$13:$C$27,0)),0),H61))</f>
        <v/>
      </c>
      <c r="J61" s="30" t="str">
        <f aca="false">IF(I61="","",ROUND(IF(F61="Clawback",-1,1)*G61*I61,2))</f>
        <v/>
      </c>
      <c r="K61" s="10"/>
      <c r="L61" s="31" t="str">
        <f aca="false">IF(OR(A61="",B61=""),"",IFERROR(MATCH(B61,Settings!$N$13:$N$24,0),""))</f>
        <v/>
      </c>
      <c r="M61" s="31" t="str">
        <f aca="false">IF(AND(A61&lt;&gt;"",A61=Statement!$C$6,L61=Statement!$K$7),COUNTIFS(A$6:A61,Statement!$C$6,L$6:L61,Statement!$K$7),"")</f>
        <v/>
      </c>
    </row>
    <row r="62" customFormat="false" ht="15" hidden="false" customHeight="false" outlineLevel="0" collapsed="false">
      <c r="A62" s="10"/>
      <c r="B62" s="10"/>
      <c r="C62" s="28"/>
      <c r="D62" s="10"/>
      <c r="E62" s="10"/>
      <c r="F62" s="10"/>
      <c r="G62" s="26"/>
      <c r="H62" s="25"/>
      <c r="I62" s="29" t="str">
        <f aca="false">IF(OR(A62="",G62=""),"",IF(H62="",IFERROR(INDEX(Settings!$F$13:$F$27,MATCH(A62,Settings!$C$13:$C$27,0)),0),H62))</f>
        <v/>
      </c>
      <c r="J62" s="30" t="str">
        <f aca="false">IF(I62="","",ROUND(IF(F62="Clawback",-1,1)*G62*I62,2))</f>
        <v/>
      </c>
      <c r="K62" s="10"/>
      <c r="L62" s="31" t="str">
        <f aca="false">IF(OR(A62="",B62=""),"",IFERROR(MATCH(B62,Settings!$N$13:$N$24,0),""))</f>
        <v/>
      </c>
      <c r="M62" s="31" t="str">
        <f aca="false">IF(AND(A62&lt;&gt;"",A62=Statement!$C$6,L62=Statement!$K$7),COUNTIFS(A$6:A62,Statement!$C$6,L$6:L62,Statement!$K$7),"")</f>
        <v/>
      </c>
    </row>
    <row r="63" customFormat="false" ht="15" hidden="false" customHeight="false" outlineLevel="0" collapsed="false">
      <c r="A63" s="10"/>
      <c r="B63" s="10"/>
      <c r="C63" s="28"/>
      <c r="D63" s="10"/>
      <c r="E63" s="10"/>
      <c r="F63" s="10"/>
      <c r="G63" s="26"/>
      <c r="H63" s="25"/>
      <c r="I63" s="29" t="str">
        <f aca="false">IF(OR(A63="",G63=""),"",IF(H63="",IFERROR(INDEX(Settings!$F$13:$F$27,MATCH(A63,Settings!$C$13:$C$27,0)),0),H63))</f>
        <v/>
      </c>
      <c r="J63" s="30" t="str">
        <f aca="false">IF(I63="","",ROUND(IF(F63="Clawback",-1,1)*G63*I63,2))</f>
        <v/>
      </c>
      <c r="K63" s="10"/>
      <c r="L63" s="31" t="str">
        <f aca="false">IF(OR(A63="",B63=""),"",IFERROR(MATCH(B63,Settings!$N$13:$N$24,0),""))</f>
        <v/>
      </c>
      <c r="M63" s="31" t="str">
        <f aca="false">IF(AND(A63&lt;&gt;"",A63=Statement!$C$6,L63=Statement!$K$7),COUNTIFS(A$6:A63,Statement!$C$6,L$6:L63,Statement!$K$7),"")</f>
        <v/>
      </c>
    </row>
    <row r="64" customFormat="false" ht="15" hidden="false" customHeight="false" outlineLevel="0" collapsed="false">
      <c r="A64" s="10"/>
      <c r="B64" s="10"/>
      <c r="C64" s="28"/>
      <c r="D64" s="10"/>
      <c r="E64" s="10"/>
      <c r="F64" s="10"/>
      <c r="G64" s="26"/>
      <c r="H64" s="25"/>
      <c r="I64" s="29" t="str">
        <f aca="false">IF(OR(A64="",G64=""),"",IF(H64="",IFERROR(INDEX(Settings!$F$13:$F$27,MATCH(A64,Settings!$C$13:$C$27,0)),0),H64))</f>
        <v/>
      </c>
      <c r="J64" s="30" t="str">
        <f aca="false">IF(I64="","",ROUND(IF(F64="Clawback",-1,1)*G64*I64,2))</f>
        <v/>
      </c>
      <c r="K64" s="10"/>
      <c r="L64" s="31" t="str">
        <f aca="false">IF(OR(A64="",B64=""),"",IFERROR(MATCH(B64,Settings!$N$13:$N$24,0),""))</f>
        <v/>
      </c>
      <c r="M64" s="31" t="str">
        <f aca="false">IF(AND(A64&lt;&gt;"",A64=Statement!$C$6,L64=Statement!$K$7),COUNTIFS(A$6:A64,Statement!$C$6,L$6:L64,Statement!$K$7),"")</f>
        <v/>
      </c>
    </row>
    <row r="65" customFormat="false" ht="15" hidden="false" customHeight="false" outlineLevel="0" collapsed="false">
      <c r="A65" s="10"/>
      <c r="B65" s="10"/>
      <c r="C65" s="28"/>
      <c r="D65" s="10"/>
      <c r="E65" s="10"/>
      <c r="F65" s="10"/>
      <c r="G65" s="26"/>
      <c r="H65" s="25"/>
      <c r="I65" s="29" t="str">
        <f aca="false">IF(OR(A65="",G65=""),"",IF(H65="",IFERROR(INDEX(Settings!$F$13:$F$27,MATCH(A65,Settings!$C$13:$C$27,0)),0),H65))</f>
        <v/>
      </c>
      <c r="J65" s="30" t="str">
        <f aca="false">IF(I65="","",ROUND(IF(F65="Clawback",-1,1)*G65*I65,2))</f>
        <v/>
      </c>
      <c r="K65" s="10"/>
      <c r="L65" s="31" t="str">
        <f aca="false">IF(OR(A65="",B65=""),"",IFERROR(MATCH(B65,Settings!$N$13:$N$24,0),""))</f>
        <v/>
      </c>
      <c r="M65" s="31" t="str">
        <f aca="false">IF(AND(A65&lt;&gt;"",A65=Statement!$C$6,L65=Statement!$K$7),COUNTIFS(A$6:A65,Statement!$C$6,L$6:L65,Statement!$K$7),"")</f>
        <v/>
      </c>
    </row>
    <row r="66" customFormat="false" ht="15" hidden="false" customHeight="false" outlineLevel="0" collapsed="false">
      <c r="A66" s="10"/>
      <c r="B66" s="10"/>
      <c r="C66" s="28"/>
      <c r="D66" s="10"/>
      <c r="E66" s="10"/>
      <c r="F66" s="10"/>
      <c r="G66" s="26"/>
      <c r="H66" s="25"/>
      <c r="I66" s="29" t="str">
        <f aca="false">IF(OR(A66="",G66=""),"",IF(H66="",IFERROR(INDEX(Settings!$F$13:$F$27,MATCH(A66,Settings!$C$13:$C$27,0)),0),H66))</f>
        <v/>
      </c>
      <c r="J66" s="30" t="str">
        <f aca="false">IF(I66="","",ROUND(IF(F66="Clawback",-1,1)*G66*I66,2))</f>
        <v/>
      </c>
      <c r="K66" s="10"/>
      <c r="L66" s="31" t="str">
        <f aca="false">IF(OR(A66="",B66=""),"",IFERROR(MATCH(B66,Settings!$N$13:$N$24,0),""))</f>
        <v/>
      </c>
      <c r="M66" s="31" t="str">
        <f aca="false">IF(AND(A66&lt;&gt;"",A66=Statement!$C$6,L66=Statement!$K$7),COUNTIFS(A$6:A66,Statement!$C$6,L$6:L66,Statement!$K$7),"")</f>
        <v/>
      </c>
    </row>
    <row r="67" customFormat="false" ht="15" hidden="false" customHeight="false" outlineLevel="0" collapsed="false">
      <c r="A67" s="10"/>
      <c r="B67" s="10"/>
      <c r="C67" s="28"/>
      <c r="D67" s="10"/>
      <c r="E67" s="10"/>
      <c r="F67" s="10"/>
      <c r="G67" s="26"/>
      <c r="H67" s="25"/>
      <c r="I67" s="29" t="str">
        <f aca="false">IF(OR(A67="",G67=""),"",IF(H67="",IFERROR(INDEX(Settings!$F$13:$F$27,MATCH(A67,Settings!$C$13:$C$27,0)),0),H67))</f>
        <v/>
      </c>
      <c r="J67" s="30" t="str">
        <f aca="false">IF(I67="","",ROUND(IF(F67="Clawback",-1,1)*G67*I67,2))</f>
        <v/>
      </c>
      <c r="K67" s="10"/>
      <c r="L67" s="31" t="str">
        <f aca="false">IF(OR(A67="",B67=""),"",IFERROR(MATCH(B67,Settings!$N$13:$N$24,0),""))</f>
        <v/>
      </c>
      <c r="M67" s="31" t="str">
        <f aca="false">IF(AND(A67&lt;&gt;"",A67=Statement!$C$6,L67=Statement!$K$7),COUNTIFS(A$6:A67,Statement!$C$6,L$6:L67,Statement!$K$7),"")</f>
        <v/>
      </c>
    </row>
    <row r="68" customFormat="false" ht="15" hidden="false" customHeight="false" outlineLevel="0" collapsed="false">
      <c r="A68" s="10"/>
      <c r="B68" s="10"/>
      <c r="C68" s="28"/>
      <c r="D68" s="10"/>
      <c r="E68" s="10"/>
      <c r="F68" s="10"/>
      <c r="G68" s="26"/>
      <c r="H68" s="25"/>
      <c r="I68" s="29" t="str">
        <f aca="false">IF(OR(A68="",G68=""),"",IF(H68="",IFERROR(INDEX(Settings!$F$13:$F$27,MATCH(A68,Settings!$C$13:$C$27,0)),0),H68))</f>
        <v/>
      </c>
      <c r="J68" s="30" t="str">
        <f aca="false">IF(I68="","",ROUND(IF(F68="Clawback",-1,1)*G68*I68,2))</f>
        <v/>
      </c>
      <c r="K68" s="10"/>
      <c r="L68" s="31" t="str">
        <f aca="false">IF(OR(A68="",B68=""),"",IFERROR(MATCH(B68,Settings!$N$13:$N$24,0),""))</f>
        <v/>
      </c>
      <c r="M68" s="31" t="str">
        <f aca="false">IF(AND(A68&lt;&gt;"",A68=Statement!$C$6,L68=Statement!$K$7),COUNTIFS(A$6:A68,Statement!$C$6,L$6:L68,Statement!$K$7),"")</f>
        <v/>
      </c>
    </row>
    <row r="69" customFormat="false" ht="15" hidden="false" customHeight="false" outlineLevel="0" collapsed="false">
      <c r="A69" s="10"/>
      <c r="B69" s="10"/>
      <c r="C69" s="28"/>
      <c r="D69" s="10"/>
      <c r="E69" s="10"/>
      <c r="F69" s="10"/>
      <c r="G69" s="26"/>
      <c r="H69" s="25"/>
      <c r="I69" s="29" t="str">
        <f aca="false">IF(OR(A69="",G69=""),"",IF(H69="",IFERROR(INDEX(Settings!$F$13:$F$27,MATCH(A69,Settings!$C$13:$C$27,0)),0),H69))</f>
        <v/>
      </c>
      <c r="J69" s="30" t="str">
        <f aca="false">IF(I69="","",ROUND(IF(F69="Clawback",-1,1)*G69*I69,2))</f>
        <v/>
      </c>
      <c r="K69" s="10"/>
      <c r="L69" s="31" t="str">
        <f aca="false">IF(OR(A69="",B69=""),"",IFERROR(MATCH(B69,Settings!$N$13:$N$24,0),""))</f>
        <v/>
      </c>
      <c r="M69" s="31" t="str">
        <f aca="false">IF(AND(A69&lt;&gt;"",A69=Statement!$C$6,L69=Statement!$K$7),COUNTIFS(A$6:A69,Statement!$C$6,L$6:L69,Statement!$K$7),"")</f>
        <v/>
      </c>
    </row>
    <row r="70" customFormat="false" ht="15" hidden="false" customHeight="false" outlineLevel="0" collapsed="false">
      <c r="A70" s="10"/>
      <c r="B70" s="10"/>
      <c r="C70" s="28"/>
      <c r="D70" s="10"/>
      <c r="E70" s="10"/>
      <c r="F70" s="10"/>
      <c r="G70" s="26"/>
      <c r="H70" s="25"/>
      <c r="I70" s="29" t="str">
        <f aca="false">IF(OR(A70="",G70=""),"",IF(H70="",IFERROR(INDEX(Settings!$F$13:$F$27,MATCH(A70,Settings!$C$13:$C$27,0)),0),H70))</f>
        <v/>
      </c>
      <c r="J70" s="30" t="str">
        <f aca="false">IF(I70="","",ROUND(IF(F70="Clawback",-1,1)*G70*I70,2))</f>
        <v/>
      </c>
      <c r="K70" s="10"/>
      <c r="L70" s="31" t="str">
        <f aca="false">IF(OR(A70="",B70=""),"",IFERROR(MATCH(B70,Settings!$N$13:$N$24,0),""))</f>
        <v/>
      </c>
      <c r="M70" s="31" t="str">
        <f aca="false">IF(AND(A70&lt;&gt;"",A70=Statement!$C$6,L70=Statement!$K$7),COUNTIFS(A$6:A70,Statement!$C$6,L$6:L70,Statement!$K$7),"")</f>
        <v/>
      </c>
    </row>
    <row r="71" customFormat="false" ht="15" hidden="false" customHeight="false" outlineLevel="0" collapsed="false">
      <c r="A71" s="10"/>
      <c r="B71" s="10"/>
      <c r="C71" s="28"/>
      <c r="D71" s="10"/>
      <c r="E71" s="10"/>
      <c r="F71" s="10"/>
      <c r="G71" s="26"/>
      <c r="H71" s="25"/>
      <c r="I71" s="29" t="str">
        <f aca="false">IF(OR(A71="",G71=""),"",IF(H71="",IFERROR(INDEX(Settings!$F$13:$F$27,MATCH(A71,Settings!$C$13:$C$27,0)),0),H71))</f>
        <v/>
      </c>
      <c r="J71" s="30" t="str">
        <f aca="false">IF(I71="","",ROUND(IF(F71="Clawback",-1,1)*G71*I71,2))</f>
        <v/>
      </c>
      <c r="K71" s="10"/>
      <c r="L71" s="31" t="str">
        <f aca="false">IF(OR(A71="",B71=""),"",IFERROR(MATCH(B71,Settings!$N$13:$N$24,0),""))</f>
        <v/>
      </c>
      <c r="M71" s="31" t="str">
        <f aca="false">IF(AND(A71&lt;&gt;"",A71=Statement!$C$6,L71=Statement!$K$7),COUNTIFS(A$6:A71,Statement!$C$6,L$6:L71,Statement!$K$7),"")</f>
        <v/>
      </c>
    </row>
    <row r="72" customFormat="false" ht="15" hidden="false" customHeight="false" outlineLevel="0" collapsed="false">
      <c r="A72" s="10"/>
      <c r="B72" s="10"/>
      <c r="C72" s="28"/>
      <c r="D72" s="10"/>
      <c r="E72" s="10"/>
      <c r="F72" s="10"/>
      <c r="G72" s="26"/>
      <c r="H72" s="25"/>
      <c r="I72" s="29" t="str">
        <f aca="false">IF(OR(A72="",G72=""),"",IF(H72="",IFERROR(INDEX(Settings!$F$13:$F$27,MATCH(A72,Settings!$C$13:$C$27,0)),0),H72))</f>
        <v/>
      </c>
      <c r="J72" s="30" t="str">
        <f aca="false">IF(I72="","",ROUND(IF(F72="Clawback",-1,1)*G72*I72,2))</f>
        <v/>
      </c>
      <c r="K72" s="10"/>
      <c r="L72" s="31" t="str">
        <f aca="false">IF(OR(A72="",B72=""),"",IFERROR(MATCH(B72,Settings!$N$13:$N$24,0),""))</f>
        <v/>
      </c>
      <c r="M72" s="31" t="str">
        <f aca="false">IF(AND(A72&lt;&gt;"",A72=Statement!$C$6,L72=Statement!$K$7),COUNTIFS(A$6:A72,Statement!$C$6,L$6:L72,Statement!$K$7),"")</f>
        <v/>
      </c>
    </row>
    <row r="73" customFormat="false" ht="15" hidden="false" customHeight="false" outlineLevel="0" collapsed="false">
      <c r="A73" s="10"/>
      <c r="B73" s="10"/>
      <c r="C73" s="28"/>
      <c r="D73" s="10"/>
      <c r="E73" s="10"/>
      <c r="F73" s="10"/>
      <c r="G73" s="26"/>
      <c r="H73" s="25"/>
      <c r="I73" s="29" t="str">
        <f aca="false">IF(OR(A73="",G73=""),"",IF(H73="",IFERROR(INDEX(Settings!$F$13:$F$27,MATCH(A73,Settings!$C$13:$C$27,0)),0),H73))</f>
        <v/>
      </c>
      <c r="J73" s="30" t="str">
        <f aca="false">IF(I73="","",ROUND(IF(F73="Clawback",-1,1)*G73*I73,2))</f>
        <v/>
      </c>
      <c r="K73" s="10"/>
      <c r="L73" s="31" t="str">
        <f aca="false">IF(OR(A73="",B73=""),"",IFERROR(MATCH(B73,Settings!$N$13:$N$24,0),""))</f>
        <v/>
      </c>
      <c r="M73" s="31" t="str">
        <f aca="false">IF(AND(A73&lt;&gt;"",A73=Statement!$C$6,L73=Statement!$K$7),COUNTIFS(A$6:A73,Statement!$C$6,L$6:L73,Statement!$K$7),"")</f>
        <v/>
      </c>
    </row>
    <row r="74" customFormat="false" ht="15" hidden="false" customHeight="false" outlineLevel="0" collapsed="false">
      <c r="A74" s="10"/>
      <c r="B74" s="10"/>
      <c r="C74" s="28"/>
      <c r="D74" s="10"/>
      <c r="E74" s="10"/>
      <c r="F74" s="10"/>
      <c r="G74" s="26"/>
      <c r="H74" s="25"/>
      <c r="I74" s="29" t="str">
        <f aca="false">IF(OR(A74="",G74=""),"",IF(H74="",IFERROR(INDEX(Settings!$F$13:$F$27,MATCH(A74,Settings!$C$13:$C$27,0)),0),H74))</f>
        <v/>
      </c>
      <c r="J74" s="30" t="str">
        <f aca="false">IF(I74="","",ROUND(IF(F74="Clawback",-1,1)*G74*I74,2))</f>
        <v/>
      </c>
      <c r="K74" s="10"/>
      <c r="L74" s="31" t="str">
        <f aca="false">IF(OR(A74="",B74=""),"",IFERROR(MATCH(B74,Settings!$N$13:$N$24,0),""))</f>
        <v/>
      </c>
      <c r="M74" s="31" t="str">
        <f aca="false">IF(AND(A74&lt;&gt;"",A74=Statement!$C$6,L74=Statement!$K$7),COUNTIFS(A$6:A74,Statement!$C$6,L$6:L74,Statement!$K$7),"")</f>
        <v/>
      </c>
    </row>
    <row r="75" customFormat="false" ht="15" hidden="false" customHeight="false" outlineLevel="0" collapsed="false">
      <c r="A75" s="10"/>
      <c r="B75" s="10"/>
      <c r="C75" s="28"/>
      <c r="D75" s="10"/>
      <c r="E75" s="10"/>
      <c r="F75" s="10"/>
      <c r="G75" s="26"/>
      <c r="H75" s="25"/>
      <c r="I75" s="29" t="str">
        <f aca="false">IF(OR(A75="",G75=""),"",IF(H75="",IFERROR(INDEX(Settings!$F$13:$F$27,MATCH(A75,Settings!$C$13:$C$27,0)),0),H75))</f>
        <v/>
      </c>
      <c r="J75" s="30" t="str">
        <f aca="false">IF(I75="","",ROUND(IF(F75="Clawback",-1,1)*G75*I75,2))</f>
        <v/>
      </c>
      <c r="K75" s="10"/>
      <c r="L75" s="31" t="str">
        <f aca="false">IF(OR(A75="",B75=""),"",IFERROR(MATCH(B75,Settings!$N$13:$N$24,0),""))</f>
        <v/>
      </c>
      <c r="M75" s="31" t="str">
        <f aca="false">IF(AND(A75&lt;&gt;"",A75=Statement!$C$6,L75=Statement!$K$7),COUNTIFS(A$6:A75,Statement!$C$6,L$6:L75,Statement!$K$7),"")</f>
        <v/>
      </c>
    </row>
    <row r="76" customFormat="false" ht="15" hidden="false" customHeight="false" outlineLevel="0" collapsed="false">
      <c r="A76" s="10"/>
      <c r="B76" s="10"/>
      <c r="C76" s="28"/>
      <c r="D76" s="10"/>
      <c r="E76" s="10"/>
      <c r="F76" s="10"/>
      <c r="G76" s="26"/>
      <c r="H76" s="25"/>
      <c r="I76" s="29" t="str">
        <f aca="false">IF(OR(A76="",G76=""),"",IF(H76="",IFERROR(INDEX(Settings!$F$13:$F$27,MATCH(A76,Settings!$C$13:$C$27,0)),0),H76))</f>
        <v/>
      </c>
      <c r="J76" s="30" t="str">
        <f aca="false">IF(I76="","",ROUND(IF(F76="Clawback",-1,1)*G76*I76,2))</f>
        <v/>
      </c>
      <c r="K76" s="10"/>
      <c r="L76" s="31" t="str">
        <f aca="false">IF(OR(A76="",B76=""),"",IFERROR(MATCH(B76,Settings!$N$13:$N$24,0),""))</f>
        <v/>
      </c>
      <c r="M76" s="31" t="str">
        <f aca="false">IF(AND(A76&lt;&gt;"",A76=Statement!$C$6,L76=Statement!$K$7),COUNTIFS(A$6:A76,Statement!$C$6,L$6:L76,Statement!$K$7),"")</f>
        <v/>
      </c>
    </row>
    <row r="77" customFormat="false" ht="15" hidden="false" customHeight="false" outlineLevel="0" collapsed="false">
      <c r="A77" s="10"/>
      <c r="B77" s="10"/>
      <c r="C77" s="28"/>
      <c r="D77" s="10"/>
      <c r="E77" s="10"/>
      <c r="F77" s="10"/>
      <c r="G77" s="26"/>
      <c r="H77" s="25"/>
      <c r="I77" s="29" t="str">
        <f aca="false">IF(OR(A77="",G77=""),"",IF(H77="",IFERROR(INDEX(Settings!$F$13:$F$27,MATCH(A77,Settings!$C$13:$C$27,0)),0),H77))</f>
        <v/>
      </c>
      <c r="J77" s="30" t="str">
        <f aca="false">IF(I77="","",ROUND(IF(F77="Clawback",-1,1)*G77*I77,2))</f>
        <v/>
      </c>
      <c r="K77" s="10"/>
      <c r="L77" s="31" t="str">
        <f aca="false">IF(OR(A77="",B77=""),"",IFERROR(MATCH(B77,Settings!$N$13:$N$24,0),""))</f>
        <v/>
      </c>
      <c r="M77" s="31" t="str">
        <f aca="false">IF(AND(A77&lt;&gt;"",A77=Statement!$C$6,L77=Statement!$K$7),COUNTIFS(A$6:A77,Statement!$C$6,L$6:L77,Statement!$K$7),"")</f>
        <v/>
      </c>
    </row>
    <row r="78" customFormat="false" ht="15" hidden="false" customHeight="false" outlineLevel="0" collapsed="false">
      <c r="A78" s="10"/>
      <c r="B78" s="10"/>
      <c r="C78" s="28"/>
      <c r="D78" s="10"/>
      <c r="E78" s="10"/>
      <c r="F78" s="10"/>
      <c r="G78" s="26"/>
      <c r="H78" s="25"/>
      <c r="I78" s="29" t="str">
        <f aca="false">IF(OR(A78="",G78=""),"",IF(H78="",IFERROR(INDEX(Settings!$F$13:$F$27,MATCH(A78,Settings!$C$13:$C$27,0)),0),H78))</f>
        <v/>
      </c>
      <c r="J78" s="30" t="str">
        <f aca="false">IF(I78="","",ROUND(IF(F78="Clawback",-1,1)*G78*I78,2))</f>
        <v/>
      </c>
      <c r="K78" s="10"/>
      <c r="L78" s="31" t="str">
        <f aca="false">IF(OR(A78="",B78=""),"",IFERROR(MATCH(B78,Settings!$N$13:$N$24,0),""))</f>
        <v/>
      </c>
      <c r="M78" s="31" t="str">
        <f aca="false">IF(AND(A78&lt;&gt;"",A78=Statement!$C$6,L78=Statement!$K$7),COUNTIFS(A$6:A78,Statement!$C$6,L$6:L78,Statement!$K$7),"")</f>
        <v/>
      </c>
    </row>
    <row r="79" customFormat="false" ht="15" hidden="false" customHeight="false" outlineLevel="0" collapsed="false">
      <c r="A79" s="10"/>
      <c r="B79" s="10"/>
      <c r="C79" s="28"/>
      <c r="D79" s="10"/>
      <c r="E79" s="10"/>
      <c r="F79" s="10"/>
      <c r="G79" s="26"/>
      <c r="H79" s="25"/>
      <c r="I79" s="29" t="str">
        <f aca="false">IF(OR(A79="",G79=""),"",IF(H79="",IFERROR(INDEX(Settings!$F$13:$F$27,MATCH(A79,Settings!$C$13:$C$27,0)),0),H79))</f>
        <v/>
      </c>
      <c r="J79" s="30" t="str">
        <f aca="false">IF(I79="","",ROUND(IF(F79="Clawback",-1,1)*G79*I79,2))</f>
        <v/>
      </c>
      <c r="K79" s="10"/>
      <c r="L79" s="31" t="str">
        <f aca="false">IF(OR(A79="",B79=""),"",IFERROR(MATCH(B79,Settings!$N$13:$N$24,0),""))</f>
        <v/>
      </c>
      <c r="M79" s="31" t="str">
        <f aca="false">IF(AND(A79&lt;&gt;"",A79=Statement!$C$6,L79=Statement!$K$7),COUNTIFS(A$6:A79,Statement!$C$6,L$6:L79,Statement!$K$7),"")</f>
        <v/>
      </c>
    </row>
    <row r="80" customFormat="false" ht="15" hidden="false" customHeight="false" outlineLevel="0" collapsed="false">
      <c r="A80" s="10"/>
      <c r="B80" s="10"/>
      <c r="C80" s="28"/>
      <c r="D80" s="10"/>
      <c r="E80" s="10"/>
      <c r="F80" s="10"/>
      <c r="G80" s="26"/>
      <c r="H80" s="25"/>
      <c r="I80" s="29" t="str">
        <f aca="false">IF(OR(A80="",G80=""),"",IF(H80="",IFERROR(INDEX(Settings!$F$13:$F$27,MATCH(A80,Settings!$C$13:$C$27,0)),0),H80))</f>
        <v/>
      </c>
      <c r="J80" s="30" t="str">
        <f aca="false">IF(I80="","",ROUND(IF(F80="Clawback",-1,1)*G80*I80,2))</f>
        <v/>
      </c>
      <c r="K80" s="10"/>
      <c r="L80" s="31" t="str">
        <f aca="false">IF(OR(A80="",B80=""),"",IFERROR(MATCH(B80,Settings!$N$13:$N$24,0),""))</f>
        <v/>
      </c>
      <c r="M80" s="31" t="str">
        <f aca="false">IF(AND(A80&lt;&gt;"",A80=Statement!$C$6,L80=Statement!$K$7),COUNTIFS(A$6:A80,Statement!$C$6,L$6:L80,Statement!$K$7),"")</f>
        <v/>
      </c>
    </row>
    <row r="81" customFormat="false" ht="15" hidden="false" customHeight="false" outlineLevel="0" collapsed="false">
      <c r="A81" s="10"/>
      <c r="B81" s="10"/>
      <c r="C81" s="28"/>
      <c r="D81" s="10"/>
      <c r="E81" s="10"/>
      <c r="F81" s="10"/>
      <c r="G81" s="26"/>
      <c r="H81" s="25"/>
      <c r="I81" s="29" t="str">
        <f aca="false">IF(OR(A81="",G81=""),"",IF(H81="",IFERROR(INDEX(Settings!$F$13:$F$27,MATCH(A81,Settings!$C$13:$C$27,0)),0),H81))</f>
        <v/>
      </c>
      <c r="J81" s="30" t="str">
        <f aca="false">IF(I81="","",ROUND(IF(F81="Clawback",-1,1)*G81*I81,2))</f>
        <v/>
      </c>
      <c r="K81" s="10"/>
      <c r="L81" s="31" t="str">
        <f aca="false">IF(OR(A81="",B81=""),"",IFERROR(MATCH(B81,Settings!$N$13:$N$24,0),""))</f>
        <v/>
      </c>
      <c r="M81" s="31" t="str">
        <f aca="false">IF(AND(A81&lt;&gt;"",A81=Statement!$C$6,L81=Statement!$K$7),COUNTIFS(A$6:A81,Statement!$C$6,L$6:L81,Statement!$K$7),"")</f>
        <v/>
      </c>
    </row>
    <row r="82" customFormat="false" ht="15" hidden="false" customHeight="false" outlineLevel="0" collapsed="false">
      <c r="A82" s="10"/>
      <c r="B82" s="10"/>
      <c r="C82" s="28"/>
      <c r="D82" s="10"/>
      <c r="E82" s="10"/>
      <c r="F82" s="10"/>
      <c r="G82" s="26"/>
      <c r="H82" s="25"/>
      <c r="I82" s="29" t="str">
        <f aca="false">IF(OR(A82="",G82=""),"",IF(H82="",IFERROR(INDEX(Settings!$F$13:$F$27,MATCH(A82,Settings!$C$13:$C$27,0)),0),H82))</f>
        <v/>
      </c>
      <c r="J82" s="30" t="str">
        <f aca="false">IF(I82="","",ROUND(IF(F82="Clawback",-1,1)*G82*I82,2))</f>
        <v/>
      </c>
      <c r="K82" s="10"/>
      <c r="L82" s="31" t="str">
        <f aca="false">IF(OR(A82="",B82=""),"",IFERROR(MATCH(B82,Settings!$N$13:$N$24,0),""))</f>
        <v/>
      </c>
      <c r="M82" s="31" t="str">
        <f aca="false">IF(AND(A82&lt;&gt;"",A82=Statement!$C$6,L82=Statement!$K$7),COUNTIFS(A$6:A82,Statement!$C$6,L$6:L82,Statement!$K$7),"")</f>
        <v/>
      </c>
    </row>
    <row r="83" customFormat="false" ht="15" hidden="false" customHeight="false" outlineLevel="0" collapsed="false">
      <c r="A83" s="10"/>
      <c r="B83" s="10"/>
      <c r="C83" s="28"/>
      <c r="D83" s="10"/>
      <c r="E83" s="10"/>
      <c r="F83" s="10"/>
      <c r="G83" s="26"/>
      <c r="H83" s="25"/>
      <c r="I83" s="29" t="str">
        <f aca="false">IF(OR(A83="",G83=""),"",IF(H83="",IFERROR(INDEX(Settings!$F$13:$F$27,MATCH(A83,Settings!$C$13:$C$27,0)),0),H83))</f>
        <v/>
      </c>
      <c r="J83" s="30" t="str">
        <f aca="false">IF(I83="","",ROUND(IF(F83="Clawback",-1,1)*G83*I83,2))</f>
        <v/>
      </c>
      <c r="K83" s="10"/>
      <c r="L83" s="31" t="str">
        <f aca="false">IF(OR(A83="",B83=""),"",IFERROR(MATCH(B83,Settings!$N$13:$N$24,0),""))</f>
        <v/>
      </c>
      <c r="M83" s="31" t="str">
        <f aca="false">IF(AND(A83&lt;&gt;"",A83=Statement!$C$6,L83=Statement!$K$7),COUNTIFS(A$6:A83,Statement!$C$6,L$6:L83,Statement!$K$7),"")</f>
        <v/>
      </c>
    </row>
    <row r="84" customFormat="false" ht="15" hidden="false" customHeight="false" outlineLevel="0" collapsed="false">
      <c r="A84" s="10"/>
      <c r="B84" s="10"/>
      <c r="C84" s="28"/>
      <c r="D84" s="10"/>
      <c r="E84" s="10"/>
      <c r="F84" s="10"/>
      <c r="G84" s="26"/>
      <c r="H84" s="25"/>
      <c r="I84" s="29" t="str">
        <f aca="false">IF(OR(A84="",G84=""),"",IF(H84="",IFERROR(INDEX(Settings!$F$13:$F$27,MATCH(A84,Settings!$C$13:$C$27,0)),0),H84))</f>
        <v/>
      </c>
      <c r="J84" s="30" t="str">
        <f aca="false">IF(I84="","",ROUND(IF(F84="Clawback",-1,1)*G84*I84,2))</f>
        <v/>
      </c>
      <c r="K84" s="10"/>
      <c r="L84" s="31" t="str">
        <f aca="false">IF(OR(A84="",B84=""),"",IFERROR(MATCH(B84,Settings!$N$13:$N$24,0),""))</f>
        <v/>
      </c>
      <c r="M84" s="31" t="str">
        <f aca="false">IF(AND(A84&lt;&gt;"",A84=Statement!$C$6,L84=Statement!$K$7),COUNTIFS(A$6:A84,Statement!$C$6,L$6:L84,Statement!$K$7),"")</f>
        <v/>
      </c>
    </row>
    <row r="85" customFormat="false" ht="15" hidden="false" customHeight="false" outlineLevel="0" collapsed="false">
      <c r="A85" s="10"/>
      <c r="B85" s="10"/>
      <c r="C85" s="28"/>
      <c r="D85" s="10"/>
      <c r="E85" s="10"/>
      <c r="F85" s="10"/>
      <c r="G85" s="26"/>
      <c r="H85" s="25"/>
      <c r="I85" s="29" t="str">
        <f aca="false">IF(OR(A85="",G85=""),"",IF(H85="",IFERROR(INDEX(Settings!$F$13:$F$27,MATCH(A85,Settings!$C$13:$C$27,0)),0),H85))</f>
        <v/>
      </c>
      <c r="J85" s="30" t="str">
        <f aca="false">IF(I85="","",ROUND(IF(F85="Clawback",-1,1)*G85*I85,2))</f>
        <v/>
      </c>
      <c r="K85" s="10"/>
      <c r="L85" s="31" t="str">
        <f aca="false">IF(OR(A85="",B85=""),"",IFERROR(MATCH(B85,Settings!$N$13:$N$24,0),""))</f>
        <v/>
      </c>
      <c r="M85" s="31" t="str">
        <f aca="false">IF(AND(A85&lt;&gt;"",A85=Statement!$C$6,L85=Statement!$K$7),COUNTIFS(A$6:A85,Statement!$C$6,L$6:L85,Statement!$K$7),"")</f>
        <v/>
      </c>
    </row>
    <row r="86" customFormat="false" ht="15" hidden="false" customHeight="false" outlineLevel="0" collapsed="false">
      <c r="A86" s="10"/>
      <c r="B86" s="10"/>
      <c r="C86" s="28"/>
      <c r="D86" s="10"/>
      <c r="E86" s="10"/>
      <c r="F86" s="10"/>
      <c r="G86" s="26"/>
      <c r="H86" s="25"/>
      <c r="I86" s="29" t="str">
        <f aca="false">IF(OR(A86="",G86=""),"",IF(H86="",IFERROR(INDEX(Settings!$F$13:$F$27,MATCH(A86,Settings!$C$13:$C$27,0)),0),H86))</f>
        <v/>
      </c>
      <c r="J86" s="30" t="str">
        <f aca="false">IF(I86="","",ROUND(IF(F86="Clawback",-1,1)*G86*I86,2))</f>
        <v/>
      </c>
      <c r="K86" s="10"/>
      <c r="L86" s="31" t="str">
        <f aca="false">IF(OR(A86="",B86=""),"",IFERROR(MATCH(B86,Settings!$N$13:$N$24,0),""))</f>
        <v/>
      </c>
      <c r="M86" s="31" t="str">
        <f aca="false">IF(AND(A86&lt;&gt;"",A86=Statement!$C$6,L86=Statement!$K$7),COUNTIFS(A$6:A86,Statement!$C$6,L$6:L86,Statement!$K$7),"")</f>
        <v/>
      </c>
    </row>
    <row r="87" customFormat="false" ht="15" hidden="false" customHeight="false" outlineLevel="0" collapsed="false">
      <c r="A87" s="10"/>
      <c r="B87" s="10"/>
      <c r="C87" s="28"/>
      <c r="D87" s="10"/>
      <c r="E87" s="10"/>
      <c r="F87" s="10"/>
      <c r="G87" s="26"/>
      <c r="H87" s="25"/>
      <c r="I87" s="29" t="str">
        <f aca="false">IF(OR(A87="",G87=""),"",IF(H87="",IFERROR(INDEX(Settings!$F$13:$F$27,MATCH(A87,Settings!$C$13:$C$27,0)),0),H87))</f>
        <v/>
      </c>
      <c r="J87" s="30" t="str">
        <f aca="false">IF(I87="","",ROUND(IF(F87="Clawback",-1,1)*G87*I87,2))</f>
        <v/>
      </c>
      <c r="K87" s="10"/>
      <c r="L87" s="31" t="str">
        <f aca="false">IF(OR(A87="",B87=""),"",IFERROR(MATCH(B87,Settings!$N$13:$N$24,0),""))</f>
        <v/>
      </c>
      <c r="M87" s="31" t="str">
        <f aca="false">IF(AND(A87&lt;&gt;"",A87=Statement!$C$6,L87=Statement!$K$7),COUNTIFS(A$6:A87,Statement!$C$6,L$6:L87,Statement!$K$7),"")</f>
        <v/>
      </c>
    </row>
    <row r="88" customFormat="false" ht="15" hidden="false" customHeight="false" outlineLevel="0" collapsed="false">
      <c r="A88" s="10"/>
      <c r="B88" s="10"/>
      <c r="C88" s="28"/>
      <c r="D88" s="10"/>
      <c r="E88" s="10"/>
      <c r="F88" s="10"/>
      <c r="G88" s="26"/>
      <c r="H88" s="25"/>
      <c r="I88" s="29" t="str">
        <f aca="false">IF(OR(A88="",G88=""),"",IF(H88="",IFERROR(INDEX(Settings!$F$13:$F$27,MATCH(A88,Settings!$C$13:$C$27,0)),0),H88))</f>
        <v/>
      </c>
      <c r="J88" s="30" t="str">
        <f aca="false">IF(I88="","",ROUND(IF(F88="Clawback",-1,1)*G88*I88,2))</f>
        <v/>
      </c>
      <c r="K88" s="10"/>
      <c r="L88" s="31" t="str">
        <f aca="false">IF(OR(A88="",B88=""),"",IFERROR(MATCH(B88,Settings!$N$13:$N$24,0),""))</f>
        <v/>
      </c>
      <c r="M88" s="31" t="str">
        <f aca="false">IF(AND(A88&lt;&gt;"",A88=Statement!$C$6,L88=Statement!$K$7),COUNTIFS(A$6:A88,Statement!$C$6,L$6:L88,Statement!$K$7),"")</f>
        <v/>
      </c>
    </row>
    <row r="89" customFormat="false" ht="15" hidden="false" customHeight="false" outlineLevel="0" collapsed="false">
      <c r="A89" s="10"/>
      <c r="B89" s="10"/>
      <c r="C89" s="28"/>
      <c r="D89" s="10"/>
      <c r="E89" s="10"/>
      <c r="F89" s="10"/>
      <c r="G89" s="26"/>
      <c r="H89" s="25"/>
      <c r="I89" s="29" t="str">
        <f aca="false">IF(OR(A89="",G89=""),"",IF(H89="",IFERROR(INDEX(Settings!$F$13:$F$27,MATCH(A89,Settings!$C$13:$C$27,0)),0),H89))</f>
        <v/>
      </c>
      <c r="J89" s="30" t="str">
        <f aca="false">IF(I89="","",ROUND(IF(F89="Clawback",-1,1)*G89*I89,2))</f>
        <v/>
      </c>
      <c r="K89" s="10"/>
      <c r="L89" s="31" t="str">
        <f aca="false">IF(OR(A89="",B89=""),"",IFERROR(MATCH(B89,Settings!$N$13:$N$24,0),""))</f>
        <v/>
      </c>
      <c r="M89" s="31" t="str">
        <f aca="false">IF(AND(A89&lt;&gt;"",A89=Statement!$C$6,L89=Statement!$K$7),COUNTIFS(A$6:A89,Statement!$C$6,L$6:L89,Statement!$K$7),"")</f>
        <v/>
      </c>
    </row>
    <row r="90" customFormat="false" ht="15" hidden="false" customHeight="false" outlineLevel="0" collapsed="false">
      <c r="A90" s="10"/>
      <c r="B90" s="10"/>
      <c r="C90" s="28"/>
      <c r="D90" s="10"/>
      <c r="E90" s="10"/>
      <c r="F90" s="10"/>
      <c r="G90" s="26"/>
      <c r="H90" s="25"/>
      <c r="I90" s="29" t="str">
        <f aca="false">IF(OR(A90="",G90=""),"",IF(H90="",IFERROR(INDEX(Settings!$F$13:$F$27,MATCH(A90,Settings!$C$13:$C$27,0)),0),H90))</f>
        <v/>
      </c>
      <c r="J90" s="30" t="str">
        <f aca="false">IF(I90="","",ROUND(IF(F90="Clawback",-1,1)*G90*I90,2))</f>
        <v/>
      </c>
      <c r="K90" s="10"/>
      <c r="L90" s="31" t="str">
        <f aca="false">IF(OR(A90="",B90=""),"",IFERROR(MATCH(B90,Settings!$N$13:$N$24,0),""))</f>
        <v/>
      </c>
      <c r="M90" s="31" t="str">
        <f aca="false">IF(AND(A90&lt;&gt;"",A90=Statement!$C$6,L90=Statement!$K$7),COUNTIFS(A$6:A90,Statement!$C$6,L$6:L90,Statement!$K$7),"")</f>
        <v/>
      </c>
    </row>
    <row r="91" customFormat="false" ht="15" hidden="false" customHeight="false" outlineLevel="0" collapsed="false">
      <c r="A91" s="10"/>
      <c r="B91" s="10"/>
      <c r="C91" s="28"/>
      <c r="D91" s="10"/>
      <c r="E91" s="10"/>
      <c r="F91" s="10"/>
      <c r="G91" s="26"/>
      <c r="H91" s="25"/>
      <c r="I91" s="29" t="str">
        <f aca="false">IF(OR(A91="",G91=""),"",IF(H91="",IFERROR(INDEX(Settings!$F$13:$F$27,MATCH(A91,Settings!$C$13:$C$27,0)),0),H91))</f>
        <v/>
      </c>
      <c r="J91" s="30" t="str">
        <f aca="false">IF(I91="","",ROUND(IF(F91="Clawback",-1,1)*G91*I91,2))</f>
        <v/>
      </c>
      <c r="K91" s="10"/>
      <c r="L91" s="31" t="str">
        <f aca="false">IF(OR(A91="",B91=""),"",IFERROR(MATCH(B91,Settings!$N$13:$N$24,0),""))</f>
        <v/>
      </c>
      <c r="M91" s="31" t="str">
        <f aca="false">IF(AND(A91&lt;&gt;"",A91=Statement!$C$6,L91=Statement!$K$7),COUNTIFS(A$6:A91,Statement!$C$6,L$6:L91,Statement!$K$7),"")</f>
        <v/>
      </c>
    </row>
    <row r="92" customFormat="false" ht="15" hidden="false" customHeight="false" outlineLevel="0" collapsed="false">
      <c r="A92" s="10"/>
      <c r="B92" s="10"/>
      <c r="C92" s="28"/>
      <c r="D92" s="10"/>
      <c r="E92" s="10"/>
      <c r="F92" s="10"/>
      <c r="G92" s="26"/>
      <c r="H92" s="25"/>
      <c r="I92" s="29" t="str">
        <f aca="false">IF(OR(A92="",G92=""),"",IF(H92="",IFERROR(INDEX(Settings!$F$13:$F$27,MATCH(A92,Settings!$C$13:$C$27,0)),0),H92))</f>
        <v/>
      </c>
      <c r="J92" s="30" t="str">
        <f aca="false">IF(I92="","",ROUND(IF(F92="Clawback",-1,1)*G92*I92,2))</f>
        <v/>
      </c>
      <c r="K92" s="10"/>
      <c r="L92" s="31" t="str">
        <f aca="false">IF(OR(A92="",B92=""),"",IFERROR(MATCH(B92,Settings!$N$13:$N$24,0),""))</f>
        <v/>
      </c>
      <c r="M92" s="31" t="str">
        <f aca="false">IF(AND(A92&lt;&gt;"",A92=Statement!$C$6,L92=Statement!$K$7),COUNTIFS(A$6:A92,Statement!$C$6,L$6:L92,Statement!$K$7),"")</f>
        <v/>
      </c>
    </row>
    <row r="93" customFormat="false" ht="15" hidden="false" customHeight="false" outlineLevel="0" collapsed="false">
      <c r="A93" s="10"/>
      <c r="B93" s="10"/>
      <c r="C93" s="28"/>
      <c r="D93" s="10"/>
      <c r="E93" s="10"/>
      <c r="F93" s="10"/>
      <c r="G93" s="26"/>
      <c r="H93" s="25"/>
      <c r="I93" s="29" t="str">
        <f aca="false">IF(OR(A93="",G93=""),"",IF(H93="",IFERROR(INDEX(Settings!$F$13:$F$27,MATCH(A93,Settings!$C$13:$C$27,0)),0),H93))</f>
        <v/>
      </c>
      <c r="J93" s="30" t="str">
        <f aca="false">IF(I93="","",ROUND(IF(F93="Clawback",-1,1)*G93*I93,2))</f>
        <v/>
      </c>
      <c r="K93" s="10"/>
      <c r="L93" s="31" t="str">
        <f aca="false">IF(OR(A93="",B93=""),"",IFERROR(MATCH(B93,Settings!$N$13:$N$24,0),""))</f>
        <v/>
      </c>
      <c r="M93" s="31" t="str">
        <f aca="false">IF(AND(A93&lt;&gt;"",A93=Statement!$C$6,L93=Statement!$K$7),COUNTIFS(A$6:A93,Statement!$C$6,L$6:L93,Statement!$K$7),"")</f>
        <v/>
      </c>
    </row>
    <row r="94" customFormat="false" ht="15" hidden="false" customHeight="false" outlineLevel="0" collapsed="false">
      <c r="A94" s="10"/>
      <c r="B94" s="10"/>
      <c r="C94" s="28"/>
      <c r="D94" s="10"/>
      <c r="E94" s="10"/>
      <c r="F94" s="10"/>
      <c r="G94" s="26"/>
      <c r="H94" s="25"/>
      <c r="I94" s="29" t="str">
        <f aca="false">IF(OR(A94="",G94=""),"",IF(H94="",IFERROR(INDEX(Settings!$F$13:$F$27,MATCH(A94,Settings!$C$13:$C$27,0)),0),H94))</f>
        <v/>
      </c>
      <c r="J94" s="30" t="str">
        <f aca="false">IF(I94="","",ROUND(IF(F94="Clawback",-1,1)*G94*I94,2))</f>
        <v/>
      </c>
      <c r="K94" s="10"/>
      <c r="L94" s="31" t="str">
        <f aca="false">IF(OR(A94="",B94=""),"",IFERROR(MATCH(B94,Settings!$N$13:$N$24,0),""))</f>
        <v/>
      </c>
      <c r="M94" s="31" t="str">
        <f aca="false">IF(AND(A94&lt;&gt;"",A94=Statement!$C$6,L94=Statement!$K$7),COUNTIFS(A$6:A94,Statement!$C$6,L$6:L94,Statement!$K$7),"")</f>
        <v/>
      </c>
    </row>
    <row r="95" customFormat="false" ht="15" hidden="false" customHeight="false" outlineLevel="0" collapsed="false">
      <c r="A95" s="10"/>
      <c r="B95" s="10"/>
      <c r="C95" s="28"/>
      <c r="D95" s="10"/>
      <c r="E95" s="10"/>
      <c r="F95" s="10"/>
      <c r="G95" s="26"/>
      <c r="H95" s="25"/>
      <c r="I95" s="29" t="str">
        <f aca="false">IF(OR(A95="",G95=""),"",IF(H95="",IFERROR(INDEX(Settings!$F$13:$F$27,MATCH(A95,Settings!$C$13:$C$27,0)),0),H95))</f>
        <v/>
      </c>
      <c r="J95" s="30" t="str">
        <f aca="false">IF(I95="","",ROUND(IF(F95="Clawback",-1,1)*G95*I95,2))</f>
        <v/>
      </c>
      <c r="K95" s="10"/>
      <c r="L95" s="31" t="str">
        <f aca="false">IF(OR(A95="",B95=""),"",IFERROR(MATCH(B95,Settings!$N$13:$N$24,0),""))</f>
        <v/>
      </c>
      <c r="M95" s="31" t="str">
        <f aca="false">IF(AND(A95&lt;&gt;"",A95=Statement!$C$6,L95=Statement!$K$7),COUNTIFS(A$6:A95,Statement!$C$6,L$6:L95,Statement!$K$7),"")</f>
        <v/>
      </c>
    </row>
    <row r="96" customFormat="false" ht="15" hidden="false" customHeight="false" outlineLevel="0" collapsed="false">
      <c r="A96" s="10"/>
      <c r="B96" s="10"/>
      <c r="C96" s="28"/>
      <c r="D96" s="10"/>
      <c r="E96" s="10"/>
      <c r="F96" s="10"/>
      <c r="G96" s="26"/>
      <c r="H96" s="25"/>
      <c r="I96" s="29" t="str">
        <f aca="false">IF(OR(A96="",G96=""),"",IF(H96="",IFERROR(INDEX(Settings!$F$13:$F$27,MATCH(A96,Settings!$C$13:$C$27,0)),0),H96))</f>
        <v/>
      </c>
      <c r="J96" s="30" t="str">
        <f aca="false">IF(I96="","",ROUND(IF(F96="Clawback",-1,1)*G96*I96,2))</f>
        <v/>
      </c>
      <c r="K96" s="10"/>
      <c r="L96" s="31" t="str">
        <f aca="false">IF(OR(A96="",B96=""),"",IFERROR(MATCH(B96,Settings!$N$13:$N$24,0),""))</f>
        <v/>
      </c>
      <c r="M96" s="31" t="str">
        <f aca="false">IF(AND(A96&lt;&gt;"",A96=Statement!$C$6,L96=Statement!$K$7),COUNTIFS(A$6:A96,Statement!$C$6,L$6:L96,Statement!$K$7),"")</f>
        <v/>
      </c>
    </row>
    <row r="97" customFormat="false" ht="15" hidden="false" customHeight="false" outlineLevel="0" collapsed="false">
      <c r="A97" s="10"/>
      <c r="B97" s="10"/>
      <c r="C97" s="28"/>
      <c r="D97" s="10"/>
      <c r="E97" s="10"/>
      <c r="F97" s="10"/>
      <c r="G97" s="26"/>
      <c r="H97" s="25"/>
      <c r="I97" s="29" t="str">
        <f aca="false">IF(OR(A97="",G97=""),"",IF(H97="",IFERROR(INDEX(Settings!$F$13:$F$27,MATCH(A97,Settings!$C$13:$C$27,0)),0),H97))</f>
        <v/>
      </c>
      <c r="J97" s="30" t="str">
        <f aca="false">IF(I97="","",ROUND(IF(F97="Clawback",-1,1)*G97*I97,2))</f>
        <v/>
      </c>
      <c r="K97" s="10"/>
      <c r="L97" s="31" t="str">
        <f aca="false">IF(OR(A97="",B97=""),"",IFERROR(MATCH(B97,Settings!$N$13:$N$24,0),""))</f>
        <v/>
      </c>
      <c r="M97" s="31" t="str">
        <f aca="false">IF(AND(A97&lt;&gt;"",A97=Statement!$C$6,L97=Statement!$K$7),COUNTIFS(A$6:A97,Statement!$C$6,L$6:L97,Statement!$K$7),"")</f>
        <v/>
      </c>
    </row>
    <row r="98" customFormat="false" ht="15" hidden="false" customHeight="false" outlineLevel="0" collapsed="false">
      <c r="A98" s="10"/>
      <c r="B98" s="10"/>
      <c r="C98" s="28"/>
      <c r="D98" s="10"/>
      <c r="E98" s="10"/>
      <c r="F98" s="10"/>
      <c r="G98" s="26"/>
      <c r="H98" s="25"/>
      <c r="I98" s="29" t="str">
        <f aca="false">IF(OR(A98="",G98=""),"",IF(H98="",IFERROR(INDEX(Settings!$F$13:$F$27,MATCH(A98,Settings!$C$13:$C$27,0)),0),H98))</f>
        <v/>
      </c>
      <c r="J98" s="30" t="str">
        <f aca="false">IF(I98="","",ROUND(IF(F98="Clawback",-1,1)*G98*I98,2))</f>
        <v/>
      </c>
      <c r="K98" s="10"/>
      <c r="L98" s="31" t="str">
        <f aca="false">IF(OR(A98="",B98=""),"",IFERROR(MATCH(B98,Settings!$N$13:$N$24,0),""))</f>
        <v/>
      </c>
      <c r="M98" s="31" t="str">
        <f aca="false">IF(AND(A98&lt;&gt;"",A98=Statement!$C$6,L98=Statement!$K$7),COUNTIFS(A$6:A98,Statement!$C$6,L$6:L98,Statement!$K$7),"")</f>
        <v/>
      </c>
    </row>
    <row r="99" customFormat="false" ht="15" hidden="false" customHeight="false" outlineLevel="0" collapsed="false">
      <c r="A99" s="10"/>
      <c r="B99" s="10"/>
      <c r="C99" s="28"/>
      <c r="D99" s="10"/>
      <c r="E99" s="10"/>
      <c r="F99" s="10"/>
      <c r="G99" s="26"/>
      <c r="H99" s="25"/>
      <c r="I99" s="29" t="str">
        <f aca="false">IF(OR(A99="",G99=""),"",IF(H99="",IFERROR(INDEX(Settings!$F$13:$F$27,MATCH(A99,Settings!$C$13:$C$27,0)),0),H99))</f>
        <v/>
      </c>
      <c r="J99" s="30" t="str">
        <f aca="false">IF(I99="","",ROUND(IF(F99="Clawback",-1,1)*G99*I99,2))</f>
        <v/>
      </c>
      <c r="K99" s="10"/>
      <c r="L99" s="31" t="str">
        <f aca="false">IF(OR(A99="",B99=""),"",IFERROR(MATCH(B99,Settings!$N$13:$N$24,0),""))</f>
        <v/>
      </c>
      <c r="M99" s="31" t="str">
        <f aca="false">IF(AND(A99&lt;&gt;"",A99=Statement!$C$6,L99=Statement!$K$7),COUNTIFS(A$6:A99,Statement!$C$6,L$6:L99,Statement!$K$7),"")</f>
        <v/>
      </c>
    </row>
    <row r="100" customFormat="false" ht="15" hidden="false" customHeight="false" outlineLevel="0" collapsed="false">
      <c r="A100" s="10"/>
      <c r="B100" s="10"/>
      <c r="C100" s="28"/>
      <c r="D100" s="10"/>
      <c r="E100" s="10"/>
      <c r="F100" s="10"/>
      <c r="G100" s="26"/>
      <c r="H100" s="25"/>
      <c r="I100" s="29" t="str">
        <f aca="false">IF(OR(A100="",G100=""),"",IF(H100="",IFERROR(INDEX(Settings!$F$13:$F$27,MATCH(A100,Settings!$C$13:$C$27,0)),0),H100))</f>
        <v/>
      </c>
      <c r="J100" s="30" t="str">
        <f aca="false">IF(I100="","",ROUND(IF(F100="Clawback",-1,1)*G100*I100,2))</f>
        <v/>
      </c>
      <c r="K100" s="10"/>
      <c r="L100" s="31" t="str">
        <f aca="false">IF(OR(A100="",B100=""),"",IFERROR(MATCH(B100,Settings!$N$13:$N$24,0),""))</f>
        <v/>
      </c>
      <c r="M100" s="31" t="str">
        <f aca="false">IF(AND(A100&lt;&gt;"",A100=Statement!$C$6,L100=Statement!$K$7),COUNTIFS(A$6:A100,Statement!$C$6,L$6:L100,Statement!$K$7),"")</f>
        <v/>
      </c>
    </row>
    <row r="101" customFormat="false" ht="15" hidden="false" customHeight="false" outlineLevel="0" collapsed="false">
      <c r="A101" s="10"/>
      <c r="B101" s="10"/>
      <c r="C101" s="28"/>
      <c r="D101" s="10"/>
      <c r="E101" s="10"/>
      <c r="F101" s="10"/>
      <c r="G101" s="26"/>
      <c r="H101" s="25"/>
      <c r="I101" s="29" t="str">
        <f aca="false">IF(OR(A101="",G101=""),"",IF(H101="",IFERROR(INDEX(Settings!$F$13:$F$27,MATCH(A101,Settings!$C$13:$C$27,0)),0),H101))</f>
        <v/>
      </c>
      <c r="J101" s="30" t="str">
        <f aca="false">IF(I101="","",ROUND(IF(F101="Clawback",-1,1)*G101*I101,2))</f>
        <v/>
      </c>
      <c r="K101" s="10"/>
      <c r="L101" s="31" t="str">
        <f aca="false">IF(OR(A101="",B101=""),"",IFERROR(MATCH(B101,Settings!$N$13:$N$24,0),""))</f>
        <v/>
      </c>
      <c r="M101" s="31" t="str">
        <f aca="false">IF(AND(A101&lt;&gt;"",A101=Statement!$C$6,L101=Statement!$K$7),COUNTIFS(A$6:A101,Statement!$C$6,L$6:L101,Statement!$K$7),"")</f>
        <v/>
      </c>
    </row>
    <row r="102" customFormat="false" ht="15" hidden="false" customHeight="false" outlineLevel="0" collapsed="false">
      <c r="A102" s="10"/>
      <c r="B102" s="10"/>
      <c r="C102" s="28"/>
      <c r="D102" s="10"/>
      <c r="E102" s="10"/>
      <c r="F102" s="10"/>
      <c r="G102" s="26"/>
      <c r="H102" s="25"/>
      <c r="I102" s="29" t="str">
        <f aca="false">IF(OR(A102="",G102=""),"",IF(H102="",IFERROR(INDEX(Settings!$F$13:$F$27,MATCH(A102,Settings!$C$13:$C$27,0)),0),H102))</f>
        <v/>
      </c>
      <c r="J102" s="30" t="str">
        <f aca="false">IF(I102="","",ROUND(IF(F102="Clawback",-1,1)*G102*I102,2))</f>
        <v/>
      </c>
      <c r="K102" s="10"/>
      <c r="L102" s="31" t="str">
        <f aca="false">IF(OR(A102="",B102=""),"",IFERROR(MATCH(B102,Settings!$N$13:$N$24,0),""))</f>
        <v/>
      </c>
      <c r="M102" s="31" t="str">
        <f aca="false">IF(AND(A102&lt;&gt;"",A102=Statement!$C$6,L102=Statement!$K$7),COUNTIFS(A$6:A102,Statement!$C$6,L$6:L102,Statement!$K$7),"")</f>
        <v/>
      </c>
    </row>
    <row r="103" customFormat="false" ht="15" hidden="false" customHeight="false" outlineLevel="0" collapsed="false">
      <c r="A103" s="10"/>
      <c r="B103" s="10"/>
      <c r="C103" s="28"/>
      <c r="D103" s="10"/>
      <c r="E103" s="10"/>
      <c r="F103" s="10"/>
      <c r="G103" s="26"/>
      <c r="H103" s="25"/>
      <c r="I103" s="29" t="str">
        <f aca="false">IF(OR(A103="",G103=""),"",IF(H103="",IFERROR(INDEX(Settings!$F$13:$F$27,MATCH(A103,Settings!$C$13:$C$27,0)),0),H103))</f>
        <v/>
      </c>
      <c r="J103" s="30" t="str">
        <f aca="false">IF(I103="","",ROUND(IF(F103="Clawback",-1,1)*G103*I103,2))</f>
        <v/>
      </c>
      <c r="K103" s="10"/>
      <c r="L103" s="31" t="str">
        <f aca="false">IF(OR(A103="",B103=""),"",IFERROR(MATCH(B103,Settings!$N$13:$N$24,0),""))</f>
        <v/>
      </c>
      <c r="M103" s="31" t="str">
        <f aca="false">IF(AND(A103&lt;&gt;"",A103=Statement!$C$6,L103=Statement!$K$7),COUNTIFS(A$6:A103,Statement!$C$6,L$6:L103,Statement!$K$7),"")</f>
        <v/>
      </c>
    </row>
    <row r="104" customFormat="false" ht="15" hidden="false" customHeight="false" outlineLevel="0" collapsed="false">
      <c r="A104" s="10"/>
      <c r="B104" s="10"/>
      <c r="C104" s="28"/>
      <c r="D104" s="10"/>
      <c r="E104" s="10"/>
      <c r="F104" s="10"/>
      <c r="G104" s="26"/>
      <c r="H104" s="25"/>
      <c r="I104" s="29" t="str">
        <f aca="false">IF(OR(A104="",G104=""),"",IF(H104="",IFERROR(INDEX(Settings!$F$13:$F$27,MATCH(A104,Settings!$C$13:$C$27,0)),0),H104))</f>
        <v/>
      </c>
      <c r="J104" s="30" t="str">
        <f aca="false">IF(I104="","",ROUND(IF(F104="Clawback",-1,1)*G104*I104,2))</f>
        <v/>
      </c>
      <c r="K104" s="10"/>
      <c r="L104" s="31" t="str">
        <f aca="false">IF(OR(A104="",B104=""),"",IFERROR(MATCH(B104,Settings!$N$13:$N$24,0),""))</f>
        <v/>
      </c>
      <c r="M104" s="31" t="str">
        <f aca="false">IF(AND(A104&lt;&gt;"",A104=Statement!$C$6,L104=Statement!$K$7),COUNTIFS(A$6:A104,Statement!$C$6,L$6:L104,Statement!$K$7),"")</f>
        <v/>
      </c>
    </row>
    <row r="105" customFormat="false" ht="15" hidden="false" customHeight="false" outlineLevel="0" collapsed="false">
      <c r="A105" s="10"/>
      <c r="B105" s="10"/>
      <c r="C105" s="28"/>
      <c r="D105" s="10"/>
      <c r="E105" s="10"/>
      <c r="F105" s="10"/>
      <c r="G105" s="26"/>
      <c r="H105" s="25"/>
      <c r="I105" s="29" t="str">
        <f aca="false">IF(OR(A105="",G105=""),"",IF(H105="",IFERROR(INDEX(Settings!$F$13:$F$27,MATCH(A105,Settings!$C$13:$C$27,0)),0),H105))</f>
        <v/>
      </c>
      <c r="J105" s="30" t="str">
        <f aca="false">IF(I105="","",ROUND(IF(F105="Clawback",-1,1)*G105*I105,2))</f>
        <v/>
      </c>
      <c r="K105" s="10"/>
      <c r="L105" s="31" t="str">
        <f aca="false">IF(OR(A105="",B105=""),"",IFERROR(MATCH(B105,Settings!$N$13:$N$24,0),""))</f>
        <v/>
      </c>
      <c r="M105" s="31" t="str">
        <f aca="false">IF(AND(A105&lt;&gt;"",A105=Statement!$C$6,L105=Statement!$K$7),COUNTIFS(A$6:A105,Statement!$C$6,L$6:L105,Statement!$K$7),"")</f>
        <v/>
      </c>
    </row>
  </sheetData>
  <dataValidations count="4">
    <dataValidation allowBlank="true" errorStyle="stop" operator="between" showDropDown="false" showErrorMessage="false" showInputMessage="false" sqref="A6:A105" type="list">
      <formula1>Settings!$C$13:$C$27</formula1>
      <formula2>0</formula2>
    </dataValidation>
    <dataValidation allowBlank="true" errorStyle="stop" operator="between" showDropDown="false" showErrorMessage="false" showInputMessage="false" sqref="B6:B105" type="list">
      <formula1>Settings!$N$13:$N$24</formula1>
      <formula2>0</formula2>
    </dataValidation>
    <dataValidation allowBlank="true" errorStyle="stop" operator="between" showDropDown="false" showErrorMessage="false" showInputMessage="false" sqref="F6:F105" type="list">
      <formula1>"Clawback,Adjustment"</formula1>
      <formula2>0</formula2>
    </dataValidation>
    <dataValidation allowBlank="true" errorStyle="stop" operator="between" showDropDown="false" showErrorMessage="false" showInputMessage="false" sqref="H6:H105"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K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7"/>
    <col collapsed="false" customWidth="true" hidden="false" outlineLevel="0" max="3" min="3" style="0" width="21"/>
    <col collapsed="false" customWidth="true" hidden="false" outlineLevel="0" max="4" min="4" style="0" width="11"/>
    <col collapsed="false" customWidth="true" hidden="false" outlineLevel="0" max="6" min="5" style="0" width="14"/>
    <col collapsed="false" customWidth="true" hidden="false" outlineLevel="0" max="7" min="7" style="0" width="9"/>
    <col collapsed="false" customWidth="true" hidden="false" outlineLevel="0" max="8" min="8" style="0" width="15"/>
    <col collapsed="false" customWidth="true" hidden="false" outlineLevel="0" max="9" min="9" style="0" width="3"/>
    <col collapsed="false" customWidth="true" hidden="false" outlineLevel="0" max="10" min="10" style="0" width="18"/>
    <col collapsed="false" customWidth="true" hidden="false" outlineLevel="0" max="11" min="11" style="0" width="10"/>
  </cols>
  <sheetData>
    <row r="2" customFormat="false" ht="31.5" hidden="false" customHeight="true" outlineLevel="0" collapsed="false">
      <c r="B2" s="17" t="s">
        <v>1</v>
      </c>
    </row>
    <row r="3" customFormat="false" ht="15" hidden="false" customHeight="false" outlineLevel="0" collapsed="false">
      <c r="B3" s="32" t="str">
        <f aca="false">Settings!$C$6</f>
        <v>Example ApS</v>
      </c>
    </row>
    <row r="4" customFormat="false" ht="15" hidden="false" customHeight="false" outlineLevel="0" collapsed="false">
      <c r="B4" s="18" t="str">
        <f aca="false">"Pick a rep and a month in the lavender cells. All amounts in "&amp;Settings!$C$9&amp;"."</f>
        <v>Pick a rep and a month in the lavender cells. All amounts in DKK.</v>
      </c>
    </row>
    <row r="5" customFormat="false" ht="15" hidden="false" customHeight="false" outlineLevel="0" collapsed="false">
      <c r="J5" s="27" t="s">
        <v>151</v>
      </c>
    </row>
    <row r="6" customFormat="false" ht="18" hidden="false" customHeight="true" outlineLevel="0" collapsed="false">
      <c r="B6" s="19" t="s">
        <v>101</v>
      </c>
      <c r="C6" s="10" t="s">
        <v>72</v>
      </c>
      <c r="E6" s="19" t="s">
        <v>59</v>
      </c>
      <c r="F6" s="33" t="str">
        <f aca="false">IF($K$6=0,"",IF(INDEX(Settings!$B$13:$B$27,$K$6)="","",INDEX(Settings!$B$13:$B$27,$K$6)))</f>
        <v>101</v>
      </c>
      <c r="G6" s="33"/>
      <c r="H6" s="33"/>
      <c r="J6" s="27" t="s">
        <v>152</v>
      </c>
      <c r="K6" s="27" t="n">
        <f aca="false">IFERROR(MATCH($C$6,Settings!$C$13:$C$27,0),0)</f>
        <v>1</v>
      </c>
    </row>
    <row r="7" customFormat="false" ht="18" hidden="false" customHeight="true" outlineLevel="0" collapsed="false">
      <c r="B7" s="19" t="s">
        <v>153</v>
      </c>
      <c r="C7" s="10" t="s">
        <v>76</v>
      </c>
      <c r="D7" s="34" t="n">
        <f aca="false">Settings!$C$7</f>
        <v>2026</v>
      </c>
      <c r="E7" s="19" t="s">
        <v>61</v>
      </c>
      <c r="F7" s="12" t="str">
        <f aca="false">IF($K$6=0,"",IF(INDEX(Settings!$D$13:$D$27,$K$6)="","",INDEX(Settings!$D$13:$D$27,$K$6)))</f>
        <v>North</v>
      </c>
      <c r="G7" s="12"/>
      <c r="H7" s="12"/>
      <c r="J7" s="27" t="s">
        <v>110</v>
      </c>
      <c r="K7" s="27" t="n">
        <f aca="false">IFERROR(MATCH($C$7,Settings!$N$13:$N$24,0),0)</f>
        <v>3</v>
      </c>
    </row>
    <row r="8" customFormat="false" ht="18" hidden="false" customHeight="true" outlineLevel="0" collapsed="false">
      <c r="B8" s="19" t="s">
        <v>154</v>
      </c>
      <c r="C8" s="35" t="n">
        <v>46142</v>
      </c>
      <c r="E8" s="19" t="s">
        <v>62</v>
      </c>
      <c r="F8" s="12" t="str">
        <f aca="false">IF($K$6=0,"",IF(INDEX(Settings!$E$13:$E$27,$K$6)="","",INDEX(Settings!$E$13:$E$27,$K$6)))</f>
        <v>Mette Lund</v>
      </c>
      <c r="G8" s="12"/>
      <c r="H8" s="12"/>
      <c r="J8" s="27" t="s">
        <v>155</v>
      </c>
      <c r="K8" s="27" t="n">
        <f aca="false">IF(OR($K$6=0,$K$7=0),0,($K$6-1)*9+1)</f>
        <v>1</v>
      </c>
    </row>
    <row r="9" customFormat="false" ht="18" hidden="false" customHeight="true" outlineLevel="0" collapsed="false">
      <c r="B9" s="19" t="s">
        <v>63</v>
      </c>
      <c r="C9" s="36" t="n">
        <f aca="false">IF($K$6=0,"",IF(INDEX(Settings!$F$13:$F$27,$K$6)="","",INDEX(Settings!$F$13:$F$27,$K$6)))</f>
        <v>0.08</v>
      </c>
      <c r="E9" s="19" t="s">
        <v>156</v>
      </c>
      <c r="F9" s="37" t="n">
        <f aca="false">IF($K$6=0,"",IF(N(INDEX(Settings!$G$13:$G$27,$K$6))=0,"No draw",INDEX(Settings!$G$13:$G$27,$K$6)))</f>
        <v>10000</v>
      </c>
      <c r="G9" s="12" t="str">
        <f aca="false">IF(OR($K$6=0,F9="No draw"),"",IF(INDEX(Settings!$J$13:$J$27,$K$6)="No","guarantee","recoverable"))</f>
        <v>recoverable</v>
      </c>
      <c r="H9" s="12"/>
      <c r="J9" s="27" t="s">
        <v>157</v>
      </c>
      <c r="K9" s="27" t="str">
        <f aca="false">$C$7&amp;"|"&amp;$C$6</f>
        <v>March|Anna Holm</v>
      </c>
    </row>
    <row r="10" customFormat="false" ht="15" hidden="false" customHeight="false" outlineLevel="0" collapsed="false">
      <c r="J10" s="27" t="s">
        <v>158</v>
      </c>
      <c r="K10" s="27" t="n">
        <f aca="false">IFERROR(MATCH($K$9,Approvals!$K$6:$K$205,0),0)</f>
        <v>1</v>
      </c>
    </row>
    <row r="11" customFormat="false" ht="15" hidden="false" customHeight="false" outlineLevel="0" collapsed="false">
      <c r="B11" s="7" t="s">
        <v>159</v>
      </c>
    </row>
    <row r="12" customFormat="false" ht="21.75" hidden="false" customHeight="true" outlineLevel="0" collapsed="false">
      <c r="B12" s="23" t="s">
        <v>102</v>
      </c>
      <c r="C12" s="23" t="s">
        <v>103</v>
      </c>
      <c r="D12" s="23" t="s">
        <v>104</v>
      </c>
      <c r="E12" s="23" t="s">
        <v>160</v>
      </c>
      <c r="F12" s="23" t="s">
        <v>161</v>
      </c>
      <c r="G12" s="23" t="s">
        <v>162</v>
      </c>
      <c r="H12" s="23" t="s">
        <v>109</v>
      </c>
    </row>
    <row r="13" customFormat="false" ht="15.75" hidden="false" customHeight="true" outlineLevel="0" collapsed="false">
      <c r="B13" s="38" t="n">
        <f aca="false">IF($J13=0,"",IF(INDEX(Deals!$B$6:$B$305,$J13)="","",INDEX(Deals!$B$6:$B$305,$J13)))</f>
        <v>46085</v>
      </c>
      <c r="C13" s="39" t="str">
        <f aca="false">IF($J13=0,"",IF(INDEX(Deals!$C$6:$C$305,$J13)="","",INDEX(Deals!$C$6:$C$305,$J13)))</f>
        <v>Kystvej Logistik</v>
      </c>
      <c r="D13" s="39" t="str">
        <f aca="false">IF($J13=0,"",IF(INDEX(Deals!$D$6:$D$305,$J13)="","",INDEX(Deals!$D$6:$D$305,$J13)))</f>
        <v>D-1007</v>
      </c>
      <c r="E13" s="40" t="n">
        <f aca="false">IF($J13=0,"",IF(INDEX(Deals!$E$6:$E$305,$J13)="","",INDEX(Deals!$E$6:$E$305,$J13)))</f>
        <v>120000</v>
      </c>
      <c r="F13" s="39" t="str">
        <f aca="false">IF($J13=0,"",IF(INDEX(Deals!$F$6:$F$305,$J13)="","",INDEX(Deals!$F$6:$F$305,$J13)))</f>
        <v>Tier 1</v>
      </c>
      <c r="G13" s="41" t="n">
        <f aca="false">IF($J13=0,"",IF(INDEX(Deals!$H$6:$H$305,$J13)="","",INDEX(Deals!$H$6:$H$305,$J13)))</f>
        <v>0.08</v>
      </c>
      <c r="H13" s="42" t="n">
        <f aca="false">IF($J13=0,"",IF(INDEX(Deals!$I$6:$I$305,$J13)="","",INDEX(Deals!$I$6:$I$305,$J13)))</f>
        <v>9600</v>
      </c>
      <c r="J13" s="27" t="n">
        <f aca="false">IFERROR(MATCH(1,Deals!$K$6:$K$305,0),0)</f>
        <v>7</v>
      </c>
    </row>
    <row r="14" customFormat="false" ht="15.75" hidden="false" customHeight="true" outlineLevel="0" collapsed="false">
      <c r="B14" s="38" t="n">
        <f aca="false">IF($J14=0,"",IF(INDEX(Deals!$B$6:$B$305,$J14)="","",INDEX(Deals!$B$6:$B$305,$J14)))</f>
        <v>46099</v>
      </c>
      <c r="C14" s="39" t="str">
        <f aca="false">IF($J14=0,"",IF(INDEX(Deals!$C$6:$C$305,$J14)="","",INDEX(Deals!$C$6:$C$305,$J14)))</f>
        <v>Bølge Media</v>
      </c>
      <c r="D14" s="39" t="str">
        <f aca="false">IF($J14=0,"",IF(INDEX(Deals!$D$6:$D$305,$J14)="","",INDEX(Deals!$D$6:$D$305,$J14)))</f>
        <v>D-1010</v>
      </c>
      <c r="E14" s="40" t="n">
        <f aca="false">IF($J14=0,"",IF(INDEX(Deals!$E$6:$E$305,$J14)="","",INDEX(Deals!$E$6:$E$305,$J14)))</f>
        <v>90000</v>
      </c>
      <c r="F14" s="39" t="str">
        <f aca="false">IF($J14=0,"",IF(INDEX(Deals!$F$6:$F$305,$J14)="","",INDEX(Deals!$F$6:$F$305,$J14)))</f>
        <v>Tier 2</v>
      </c>
      <c r="G14" s="41" t="n">
        <f aca="false">IF($J14=0,"",IF(INDEX(Deals!$H$6:$H$305,$J14)="","",INDEX(Deals!$H$6:$H$305,$J14)))</f>
        <v>0.1</v>
      </c>
      <c r="H14" s="42" t="n">
        <f aca="false">IF($J14=0,"",IF(INDEX(Deals!$I$6:$I$305,$J14)="","",INDEX(Deals!$I$6:$I$305,$J14)))</f>
        <v>9000</v>
      </c>
      <c r="J14" s="27" t="n">
        <f aca="false">IFERROR(MATCH(2,Deals!$K$6:$K$305,0),0)</f>
        <v>10</v>
      </c>
    </row>
    <row r="15" customFormat="false" ht="15.75" hidden="false" customHeight="true" outlineLevel="0" collapsed="false">
      <c r="B15" s="38" t="n">
        <f aca="false">IF($J15=0,"",IF(INDEX(Deals!$B$6:$B$305,$J15)="","",INDEX(Deals!$B$6:$B$305,$J15)))</f>
        <v>46108</v>
      </c>
      <c r="C15" s="39" t="str">
        <f aca="false">IF($J15=0,"",IF(INDEX(Deals!$C$6:$C$305,$J15)="","",INDEX(Deals!$C$6:$C$305,$J15)))</f>
        <v>Skovgaard &amp; Co</v>
      </c>
      <c r="D15" s="39" t="str">
        <f aca="false">IF($J15=0,"",IF(INDEX(Deals!$D$6:$D$305,$J15)="","",INDEX(Deals!$D$6:$D$305,$J15)))</f>
        <v>D-1013</v>
      </c>
      <c r="E15" s="40" t="n">
        <f aca="false">IF($J15=0,"",IF(INDEX(Deals!$E$6:$E$305,$J15)="","",INDEX(Deals!$E$6:$E$305,$J15)))</f>
        <v>60000</v>
      </c>
      <c r="F15" s="39" t="str">
        <f aca="false">IF($J15=0,"",IF(INDEX(Deals!$F$6:$F$305,$J15)="","",INDEX(Deals!$F$6:$F$305,$J15)))</f>
        <v>Tier 2</v>
      </c>
      <c r="G15" s="41" t="n">
        <f aca="false">IF($J15=0,"",IF(INDEX(Deals!$H$6:$H$305,$J15)="","",INDEX(Deals!$H$6:$H$305,$J15)))</f>
        <v>0.1</v>
      </c>
      <c r="H15" s="42" t="n">
        <f aca="false">IF($J15=0,"",IF(INDEX(Deals!$I$6:$I$305,$J15)="","",INDEX(Deals!$I$6:$I$305,$J15)))</f>
        <v>6000</v>
      </c>
      <c r="J15" s="27" t="n">
        <f aca="false">IFERROR(MATCH(3,Deals!$K$6:$K$305,0),0)</f>
        <v>13</v>
      </c>
    </row>
    <row r="16" customFormat="false" ht="15.75" hidden="false" customHeight="true" outlineLevel="0" collapsed="false">
      <c r="B16" s="38" t="str">
        <f aca="false">IF($J16=0,"",IF(INDEX(Deals!$B$6:$B$305,$J16)="","",INDEX(Deals!$B$6:$B$305,$J16)))</f>
        <v/>
      </c>
      <c r="C16" s="39" t="str">
        <f aca="false">IF($J16=0,"",IF(INDEX(Deals!$C$6:$C$305,$J16)="","",INDEX(Deals!$C$6:$C$305,$J16)))</f>
        <v/>
      </c>
      <c r="D16" s="39" t="str">
        <f aca="false">IF($J16=0,"",IF(INDEX(Deals!$D$6:$D$305,$J16)="","",INDEX(Deals!$D$6:$D$305,$J16)))</f>
        <v/>
      </c>
      <c r="E16" s="40" t="str">
        <f aca="false">IF($J16=0,"",IF(INDEX(Deals!$E$6:$E$305,$J16)="","",INDEX(Deals!$E$6:$E$305,$J16)))</f>
        <v/>
      </c>
      <c r="F16" s="39" t="str">
        <f aca="false">IF($J16=0,"",IF(INDEX(Deals!$F$6:$F$305,$J16)="","",INDEX(Deals!$F$6:$F$305,$J16)))</f>
        <v/>
      </c>
      <c r="G16" s="41" t="str">
        <f aca="false">IF($J16=0,"",IF(INDEX(Deals!$H$6:$H$305,$J16)="","",INDEX(Deals!$H$6:$H$305,$J16)))</f>
        <v/>
      </c>
      <c r="H16" s="42" t="str">
        <f aca="false">IF($J16=0,"",IF(INDEX(Deals!$I$6:$I$305,$J16)="","",INDEX(Deals!$I$6:$I$305,$J16)))</f>
        <v/>
      </c>
      <c r="J16" s="27" t="n">
        <f aca="false">IFERROR(MATCH(4,Deals!$K$6:$K$305,0),0)</f>
        <v>0</v>
      </c>
    </row>
    <row r="17" customFormat="false" ht="15.75" hidden="false" customHeight="true" outlineLevel="0" collapsed="false">
      <c r="B17" s="38" t="str">
        <f aca="false">IF($J17=0,"",IF(INDEX(Deals!$B$6:$B$305,$J17)="","",INDEX(Deals!$B$6:$B$305,$J17)))</f>
        <v/>
      </c>
      <c r="C17" s="39" t="str">
        <f aca="false">IF($J17=0,"",IF(INDEX(Deals!$C$6:$C$305,$J17)="","",INDEX(Deals!$C$6:$C$305,$J17)))</f>
        <v/>
      </c>
      <c r="D17" s="39" t="str">
        <f aca="false">IF($J17=0,"",IF(INDEX(Deals!$D$6:$D$305,$J17)="","",INDEX(Deals!$D$6:$D$305,$J17)))</f>
        <v/>
      </c>
      <c r="E17" s="40" t="str">
        <f aca="false">IF($J17=0,"",IF(INDEX(Deals!$E$6:$E$305,$J17)="","",INDEX(Deals!$E$6:$E$305,$J17)))</f>
        <v/>
      </c>
      <c r="F17" s="39" t="str">
        <f aca="false">IF($J17=0,"",IF(INDEX(Deals!$F$6:$F$305,$J17)="","",INDEX(Deals!$F$6:$F$305,$J17)))</f>
        <v/>
      </c>
      <c r="G17" s="41" t="str">
        <f aca="false">IF($J17=0,"",IF(INDEX(Deals!$H$6:$H$305,$J17)="","",INDEX(Deals!$H$6:$H$305,$J17)))</f>
        <v/>
      </c>
      <c r="H17" s="42" t="str">
        <f aca="false">IF($J17=0,"",IF(INDEX(Deals!$I$6:$I$305,$J17)="","",INDEX(Deals!$I$6:$I$305,$J17)))</f>
        <v/>
      </c>
      <c r="J17" s="27" t="n">
        <f aca="false">IFERROR(MATCH(5,Deals!$K$6:$K$305,0),0)</f>
        <v>0</v>
      </c>
    </row>
    <row r="18" customFormat="false" ht="15.75" hidden="false" customHeight="true" outlineLevel="0" collapsed="false">
      <c r="B18" s="38" t="str">
        <f aca="false">IF($J18=0,"",IF(INDEX(Deals!$B$6:$B$305,$J18)="","",INDEX(Deals!$B$6:$B$305,$J18)))</f>
        <v/>
      </c>
      <c r="C18" s="39" t="str">
        <f aca="false">IF($J18=0,"",IF(INDEX(Deals!$C$6:$C$305,$J18)="","",INDEX(Deals!$C$6:$C$305,$J18)))</f>
        <v/>
      </c>
      <c r="D18" s="39" t="str">
        <f aca="false">IF($J18=0,"",IF(INDEX(Deals!$D$6:$D$305,$J18)="","",INDEX(Deals!$D$6:$D$305,$J18)))</f>
        <v/>
      </c>
      <c r="E18" s="40" t="str">
        <f aca="false">IF($J18=0,"",IF(INDEX(Deals!$E$6:$E$305,$J18)="","",INDEX(Deals!$E$6:$E$305,$J18)))</f>
        <v/>
      </c>
      <c r="F18" s="39" t="str">
        <f aca="false">IF($J18=0,"",IF(INDEX(Deals!$F$6:$F$305,$J18)="","",INDEX(Deals!$F$6:$F$305,$J18)))</f>
        <v/>
      </c>
      <c r="G18" s="41" t="str">
        <f aca="false">IF($J18=0,"",IF(INDEX(Deals!$H$6:$H$305,$J18)="","",INDEX(Deals!$H$6:$H$305,$J18)))</f>
        <v/>
      </c>
      <c r="H18" s="42" t="str">
        <f aca="false">IF($J18=0,"",IF(INDEX(Deals!$I$6:$I$305,$J18)="","",INDEX(Deals!$I$6:$I$305,$J18)))</f>
        <v/>
      </c>
      <c r="J18" s="27" t="n">
        <f aca="false">IFERROR(MATCH(6,Deals!$K$6:$K$305,0),0)</f>
        <v>0</v>
      </c>
    </row>
    <row r="19" customFormat="false" ht="15.75" hidden="false" customHeight="true" outlineLevel="0" collapsed="false">
      <c r="B19" s="38" t="str">
        <f aca="false">IF($J19=0,"",IF(INDEX(Deals!$B$6:$B$305,$J19)="","",INDEX(Deals!$B$6:$B$305,$J19)))</f>
        <v/>
      </c>
      <c r="C19" s="39" t="str">
        <f aca="false">IF($J19=0,"",IF(INDEX(Deals!$C$6:$C$305,$J19)="","",INDEX(Deals!$C$6:$C$305,$J19)))</f>
        <v/>
      </c>
      <c r="D19" s="39" t="str">
        <f aca="false">IF($J19=0,"",IF(INDEX(Deals!$D$6:$D$305,$J19)="","",INDEX(Deals!$D$6:$D$305,$J19)))</f>
        <v/>
      </c>
      <c r="E19" s="40" t="str">
        <f aca="false">IF($J19=0,"",IF(INDEX(Deals!$E$6:$E$305,$J19)="","",INDEX(Deals!$E$6:$E$305,$J19)))</f>
        <v/>
      </c>
      <c r="F19" s="39" t="str">
        <f aca="false">IF($J19=0,"",IF(INDEX(Deals!$F$6:$F$305,$J19)="","",INDEX(Deals!$F$6:$F$305,$J19)))</f>
        <v/>
      </c>
      <c r="G19" s="41" t="str">
        <f aca="false">IF($J19=0,"",IF(INDEX(Deals!$H$6:$H$305,$J19)="","",INDEX(Deals!$H$6:$H$305,$J19)))</f>
        <v/>
      </c>
      <c r="H19" s="42" t="str">
        <f aca="false">IF($J19=0,"",IF(INDEX(Deals!$I$6:$I$305,$J19)="","",INDEX(Deals!$I$6:$I$305,$J19)))</f>
        <v/>
      </c>
      <c r="J19" s="27" t="n">
        <f aca="false">IFERROR(MATCH(7,Deals!$K$6:$K$305,0),0)</f>
        <v>0</v>
      </c>
    </row>
    <row r="20" customFormat="false" ht="15.75" hidden="false" customHeight="true" outlineLevel="0" collapsed="false">
      <c r="B20" s="38" t="str">
        <f aca="false">IF($J20=0,"",IF(INDEX(Deals!$B$6:$B$305,$J20)="","",INDEX(Deals!$B$6:$B$305,$J20)))</f>
        <v/>
      </c>
      <c r="C20" s="39" t="str">
        <f aca="false">IF($J20=0,"",IF(INDEX(Deals!$C$6:$C$305,$J20)="","",INDEX(Deals!$C$6:$C$305,$J20)))</f>
        <v/>
      </c>
      <c r="D20" s="39" t="str">
        <f aca="false">IF($J20=0,"",IF(INDEX(Deals!$D$6:$D$305,$J20)="","",INDEX(Deals!$D$6:$D$305,$J20)))</f>
        <v/>
      </c>
      <c r="E20" s="40" t="str">
        <f aca="false">IF($J20=0,"",IF(INDEX(Deals!$E$6:$E$305,$J20)="","",INDEX(Deals!$E$6:$E$305,$J20)))</f>
        <v/>
      </c>
      <c r="F20" s="39" t="str">
        <f aca="false">IF($J20=0,"",IF(INDEX(Deals!$F$6:$F$305,$J20)="","",INDEX(Deals!$F$6:$F$305,$J20)))</f>
        <v/>
      </c>
      <c r="G20" s="41" t="str">
        <f aca="false">IF($J20=0,"",IF(INDEX(Deals!$H$6:$H$305,$J20)="","",INDEX(Deals!$H$6:$H$305,$J20)))</f>
        <v/>
      </c>
      <c r="H20" s="42" t="str">
        <f aca="false">IF($J20=0,"",IF(INDEX(Deals!$I$6:$I$305,$J20)="","",INDEX(Deals!$I$6:$I$305,$J20)))</f>
        <v/>
      </c>
      <c r="J20" s="27" t="n">
        <f aca="false">IFERROR(MATCH(8,Deals!$K$6:$K$305,0),0)</f>
        <v>0</v>
      </c>
    </row>
    <row r="21" customFormat="false" ht="15.75" hidden="false" customHeight="true" outlineLevel="0" collapsed="false">
      <c r="B21" s="38" t="str">
        <f aca="false">IF($J21=0,"",IF(INDEX(Deals!$B$6:$B$305,$J21)="","",INDEX(Deals!$B$6:$B$305,$J21)))</f>
        <v/>
      </c>
      <c r="C21" s="39" t="str">
        <f aca="false">IF($J21=0,"",IF(INDEX(Deals!$C$6:$C$305,$J21)="","",INDEX(Deals!$C$6:$C$305,$J21)))</f>
        <v/>
      </c>
      <c r="D21" s="39" t="str">
        <f aca="false">IF($J21=0,"",IF(INDEX(Deals!$D$6:$D$305,$J21)="","",INDEX(Deals!$D$6:$D$305,$J21)))</f>
        <v/>
      </c>
      <c r="E21" s="40" t="str">
        <f aca="false">IF($J21=0,"",IF(INDEX(Deals!$E$6:$E$305,$J21)="","",INDEX(Deals!$E$6:$E$305,$J21)))</f>
        <v/>
      </c>
      <c r="F21" s="39" t="str">
        <f aca="false">IF($J21=0,"",IF(INDEX(Deals!$F$6:$F$305,$J21)="","",INDEX(Deals!$F$6:$F$305,$J21)))</f>
        <v/>
      </c>
      <c r="G21" s="41" t="str">
        <f aca="false">IF($J21=0,"",IF(INDEX(Deals!$H$6:$H$305,$J21)="","",INDEX(Deals!$H$6:$H$305,$J21)))</f>
        <v/>
      </c>
      <c r="H21" s="42" t="str">
        <f aca="false">IF($J21=0,"",IF(INDEX(Deals!$I$6:$I$305,$J21)="","",INDEX(Deals!$I$6:$I$305,$J21)))</f>
        <v/>
      </c>
      <c r="J21" s="27" t="n">
        <f aca="false">IFERROR(MATCH(9,Deals!$K$6:$K$305,0),0)</f>
        <v>0</v>
      </c>
    </row>
    <row r="22" customFormat="false" ht="15.75" hidden="false" customHeight="true" outlineLevel="0" collapsed="false">
      <c r="B22" s="38" t="str">
        <f aca="false">IF($J22=0,"",IF(INDEX(Deals!$B$6:$B$305,$J22)="","",INDEX(Deals!$B$6:$B$305,$J22)))</f>
        <v/>
      </c>
      <c r="C22" s="39" t="str">
        <f aca="false">IF($J22=0,"",IF(INDEX(Deals!$C$6:$C$305,$J22)="","",INDEX(Deals!$C$6:$C$305,$J22)))</f>
        <v/>
      </c>
      <c r="D22" s="39" t="str">
        <f aca="false">IF($J22=0,"",IF(INDEX(Deals!$D$6:$D$305,$J22)="","",INDEX(Deals!$D$6:$D$305,$J22)))</f>
        <v/>
      </c>
      <c r="E22" s="40" t="str">
        <f aca="false">IF($J22=0,"",IF(INDEX(Deals!$E$6:$E$305,$J22)="","",INDEX(Deals!$E$6:$E$305,$J22)))</f>
        <v/>
      </c>
      <c r="F22" s="39" t="str">
        <f aca="false">IF($J22=0,"",IF(INDEX(Deals!$F$6:$F$305,$J22)="","",INDEX(Deals!$F$6:$F$305,$J22)))</f>
        <v/>
      </c>
      <c r="G22" s="41" t="str">
        <f aca="false">IF($J22=0,"",IF(INDEX(Deals!$H$6:$H$305,$J22)="","",INDEX(Deals!$H$6:$H$305,$J22)))</f>
        <v/>
      </c>
      <c r="H22" s="42" t="str">
        <f aca="false">IF($J22=0,"",IF(INDEX(Deals!$I$6:$I$305,$J22)="","",INDEX(Deals!$I$6:$I$305,$J22)))</f>
        <v/>
      </c>
      <c r="J22" s="27" t="n">
        <f aca="false">IFERROR(MATCH(10,Deals!$K$6:$K$305,0),0)</f>
        <v>0</v>
      </c>
    </row>
    <row r="23" customFormat="false" ht="15.75" hidden="false" customHeight="true" outlineLevel="0" collapsed="false">
      <c r="B23" s="38" t="str">
        <f aca="false">IF($J23=0,"",IF(INDEX(Deals!$B$6:$B$305,$J23)="","",INDEX(Deals!$B$6:$B$305,$J23)))</f>
        <v/>
      </c>
      <c r="C23" s="39" t="str">
        <f aca="false">IF($J23=0,"",IF(INDEX(Deals!$C$6:$C$305,$J23)="","",INDEX(Deals!$C$6:$C$305,$J23)))</f>
        <v/>
      </c>
      <c r="D23" s="39" t="str">
        <f aca="false">IF($J23=0,"",IF(INDEX(Deals!$D$6:$D$305,$J23)="","",INDEX(Deals!$D$6:$D$305,$J23)))</f>
        <v/>
      </c>
      <c r="E23" s="40" t="str">
        <f aca="false">IF($J23=0,"",IF(INDEX(Deals!$E$6:$E$305,$J23)="","",INDEX(Deals!$E$6:$E$305,$J23)))</f>
        <v/>
      </c>
      <c r="F23" s="39" t="str">
        <f aca="false">IF($J23=0,"",IF(INDEX(Deals!$F$6:$F$305,$J23)="","",INDEX(Deals!$F$6:$F$305,$J23)))</f>
        <v/>
      </c>
      <c r="G23" s="41" t="str">
        <f aca="false">IF($J23=0,"",IF(INDEX(Deals!$H$6:$H$305,$J23)="","",INDEX(Deals!$H$6:$H$305,$J23)))</f>
        <v/>
      </c>
      <c r="H23" s="42" t="str">
        <f aca="false">IF($J23=0,"",IF(INDEX(Deals!$I$6:$I$305,$J23)="","",INDEX(Deals!$I$6:$I$305,$J23)))</f>
        <v/>
      </c>
      <c r="J23" s="27" t="n">
        <f aca="false">IFERROR(MATCH(11,Deals!$K$6:$K$305,0),0)</f>
        <v>0</v>
      </c>
    </row>
    <row r="24" customFormat="false" ht="15.75" hidden="false" customHeight="true" outlineLevel="0" collapsed="false">
      <c r="B24" s="38" t="str">
        <f aca="false">IF($J24=0,"",IF(INDEX(Deals!$B$6:$B$305,$J24)="","",INDEX(Deals!$B$6:$B$305,$J24)))</f>
        <v/>
      </c>
      <c r="C24" s="39" t="str">
        <f aca="false">IF($J24=0,"",IF(INDEX(Deals!$C$6:$C$305,$J24)="","",INDEX(Deals!$C$6:$C$305,$J24)))</f>
        <v/>
      </c>
      <c r="D24" s="39" t="str">
        <f aca="false">IF($J24=0,"",IF(INDEX(Deals!$D$6:$D$305,$J24)="","",INDEX(Deals!$D$6:$D$305,$J24)))</f>
        <v/>
      </c>
      <c r="E24" s="40" t="str">
        <f aca="false">IF($J24=0,"",IF(INDEX(Deals!$E$6:$E$305,$J24)="","",INDEX(Deals!$E$6:$E$305,$J24)))</f>
        <v/>
      </c>
      <c r="F24" s="39" t="str">
        <f aca="false">IF($J24=0,"",IF(INDEX(Deals!$F$6:$F$305,$J24)="","",INDEX(Deals!$F$6:$F$305,$J24)))</f>
        <v/>
      </c>
      <c r="G24" s="41" t="str">
        <f aca="false">IF($J24=0,"",IF(INDEX(Deals!$H$6:$H$305,$J24)="","",INDEX(Deals!$H$6:$H$305,$J24)))</f>
        <v/>
      </c>
      <c r="H24" s="42" t="str">
        <f aca="false">IF($J24=0,"",IF(INDEX(Deals!$I$6:$I$305,$J24)="","",INDEX(Deals!$I$6:$I$305,$J24)))</f>
        <v/>
      </c>
      <c r="J24" s="27" t="n">
        <f aca="false">IFERROR(MATCH(12,Deals!$K$6:$K$305,0),0)</f>
        <v>0</v>
      </c>
    </row>
    <row r="25" customFormat="false" ht="15.75" hidden="false" customHeight="true" outlineLevel="0" collapsed="false">
      <c r="B25" s="38" t="str">
        <f aca="false">IF($J25=0,"",IF(INDEX(Deals!$B$6:$B$305,$J25)="","",INDEX(Deals!$B$6:$B$305,$J25)))</f>
        <v/>
      </c>
      <c r="C25" s="39" t="str">
        <f aca="false">IF($J25=0,"",IF(INDEX(Deals!$C$6:$C$305,$J25)="","",INDEX(Deals!$C$6:$C$305,$J25)))</f>
        <v/>
      </c>
      <c r="D25" s="39" t="str">
        <f aca="false">IF($J25=0,"",IF(INDEX(Deals!$D$6:$D$305,$J25)="","",INDEX(Deals!$D$6:$D$305,$J25)))</f>
        <v/>
      </c>
      <c r="E25" s="40" t="str">
        <f aca="false">IF($J25=0,"",IF(INDEX(Deals!$E$6:$E$305,$J25)="","",INDEX(Deals!$E$6:$E$305,$J25)))</f>
        <v/>
      </c>
      <c r="F25" s="39" t="str">
        <f aca="false">IF($J25=0,"",IF(INDEX(Deals!$F$6:$F$305,$J25)="","",INDEX(Deals!$F$6:$F$305,$J25)))</f>
        <v/>
      </c>
      <c r="G25" s="41" t="str">
        <f aca="false">IF($J25=0,"",IF(INDEX(Deals!$H$6:$H$305,$J25)="","",INDEX(Deals!$H$6:$H$305,$J25)))</f>
        <v/>
      </c>
      <c r="H25" s="42" t="str">
        <f aca="false">IF($J25=0,"",IF(INDEX(Deals!$I$6:$I$305,$J25)="","",INDEX(Deals!$I$6:$I$305,$J25)))</f>
        <v/>
      </c>
      <c r="J25" s="27" t="n">
        <f aca="false">IFERROR(MATCH(13,Deals!$K$6:$K$305,0),0)</f>
        <v>0</v>
      </c>
    </row>
    <row r="26" customFormat="false" ht="15.75" hidden="false" customHeight="true" outlineLevel="0" collapsed="false">
      <c r="B26" s="38" t="str">
        <f aca="false">IF($J26=0,"",IF(INDEX(Deals!$B$6:$B$305,$J26)="","",INDEX(Deals!$B$6:$B$305,$J26)))</f>
        <v/>
      </c>
      <c r="C26" s="39" t="str">
        <f aca="false">IF($J26=0,"",IF(INDEX(Deals!$C$6:$C$305,$J26)="","",INDEX(Deals!$C$6:$C$305,$J26)))</f>
        <v/>
      </c>
      <c r="D26" s="39" t="str">
        <f aca="false">IF($J26=0,"",IF(INDEX(Deals!$D$6:$D$305,$J26)="","",INDEX(Deals!$D$6:$D$305,$J26)))</f>
        <v/>
      </c>
      <c r="E26" s="40" t="str">
        <f aca="false">IF($J26=0,"",IF(INDEX(Deals!$E$6:$E$305,$J26)="","",INDEX(Deals!$E$6:$E$305,$J26)))</f>
        <v/>
      </c>
      <c r="F26" s="39" t="str">
        <f aca="false">IF($J26=0,"",IF(INDEX(Deals!$F$6:$F$305,$J26)="","",INDEX(Deals!$F$6:$F$305,$J26)))</f>
        <v/>
      </c>
      <c r="G26" s="41" t="str">
        <f aca="false">IF($J26=0,"",IF(INDEX(Deals!$H$6:$H$305,$J26)="","",INDEX(Deals!$H$6:$H$305,$J26)))</f>
        <v/>
      </c>
      <c r="H26" s="42" t="str">
        <f aca="false">IF($J26=0,"",IF(INDEX(Deals!$I$6:$I$305,$J26)="","",INDEX(Deals!$I$6:$I$305,$J26)))</f>
        <v/>
      </c>
      <c r="J26" s="27" t="n">
        <f aca="false">IFERROR(MATCH(14,Deals!$K$6:$K$305,0),0)</f>
        <v>0</v>
      </c>
    </row>
    <row r="27" customFormat="false" ht="15.75" hidden="false" customHeight="true" outlineLevel="0" collapsed="false">
      <c r="B27" s="38" t="str">
        <f aca="false">IF($J27=0,"",IF(INDEX(Deals!$B$6:$B$305,$J27)="","",INDEX(Deals!$B$6:$B$305,$J27)))</f>
        <v/>
      </c>
      <c r="C27" s="39" t="str">
        <f aca="false">IF($J27=0,"",IF(INDEX(Deals!$C$6:$C$305,$J27)="","",INDEX(Deals!$C$6:$C$305,$J27)))</f>
        <v/>
      </c>
      <c r="D27" s="39" t="str">
        <f aca="false">IF($J27=0,"",IF(INDEX(Deals!$D$6:$D$305,$J27)="","",INDEX(Deals!$D$6:$D$305,$J27)))</f>
        <v/>
      </c>
      <c r="E27" s="40" t="str">
        <f aca="false">IF($J27=0,"",IF(INDEX(Deals!$E$6:$E$305,$J27)="","",INDEX(Deals!$E$6:$E$305,$J27)))</f>
        <v/>
      </c>
      <c r="F27" s="39" t="str">
        <f aca="false">IF($J27=0,"",IF(INDEX(Deals!$F$6:$F$305,$J27)="","",INDEX(Deals!$F$6:$F$305,$J27)))</f>
        <v/>
      </c>
      <c r="G27" s="41" t="str">
        <f aca="false">IF($J27=0,"",IF(INDEX(Deals!$H$6:$H$305,$J27)="","",INDEX(Deals!$H$6:$H$305,$J27)))</f>
        <v/>
      </c>
      <c r="H27" s="42" t="str">
        <f aca="false">IF($J27=0,"",IF(INDEX(Deals!$I$6:$I$305,$J27)="","",INDEX(Deals!$I$6:$I$305,$J27)))</f>
        <v/>
      </c>
      <c r="J27" s="27" t="n">
        <f aca="false">IFERROR(MATCH(15,Deals!$K$6:$K$305,0),0)</f>
        <v>0</v>
      </c>
    </row>
    <row r="28" customFormat="false" ht="15.75" hidden="false" customHeight="true" outlineLevel="0" collapsed="false">
      <c r="B28" s="38" t="str">
        <f aca="false">IF($J28=0,"",IF(INDEX(Deals!$B$6:$B$305,$J28)="","",INDEX(Deals!$B$6:$B$305,$J28)))</f>
        <v/>
      </c>
      <c r="C28" s="39" t="str">
        <f aca="false">IF($J28=0,"",IF(INDEX(Deals!$C$6:$C$305,$J28)="","",INDEX(Deals!$C$6:$C$305,$J28)))</f>
        <v/>
      </c>
      <c r="D28" s="39" t="str">
        <f aca="false">IF($J28=0,"",IF(INDEX(Deals!$D$6:$D$305,$J28)="","",INDEX(Deals!$D$6:$D$305,$J28)))</f>
        <v/>
      </c>
      <c r="E28" s="40" t="str">
        <f aca="false">IF($J28=0,"",IF(INDEX(Deals!$E$6:$E$305,$J28)="","",INDEX(Deals!$E$6:$E$305,$J28)))</f>
        <v/>
      </c>
      <c r="F28" s="39" t="str">
        <f aca="false">IF($J28=0,"",IF(INDEX(Deals!$F$6:$F$305,$J28)="","",INDEX(Deals!$F$6:$F$305,$J28)))</f>
        <v/>
      </c>
      <c r="G28" s="41" t="str">
        <f aca="false">IF($J28=0,"",IF(INDEX(Deals!$H$6:$H$305,$J28)="","",INDEX(Deals!$H$6:$H$305,$J28)))</f>
        <v/>
      </c>
      <c r="H28" s="42" t="str">
        <f aca="false">IF($J28=0,"",IF(INDEX(Deals!$I$6:$I$305,$J28)="","",INDEX(Deals!$I$6:$I$305,$J28)))</f>
        <v/>
      </c>
      <c r="J28" s="27" t="n">
        <f aca="false">IFERROR(MATCH(16,Deals!$K$6:$K$305,0),0)</f>
        <v>0</v>
      </c>
    </row>
    <row r="29" customFormat="false" ht="15.75" hidden="false" customHeight="true" outlineLevel="0" collapsed="false">
      <c r="B29" s="38" t="str">
        <f aca="false">IF($J29=0,"",IF(INDEX(Deals!$B$6:$B$305,$J29)="","",INDEX(Deals!$B$6:$B$305,$J29)))</f>
        <v/>
      </c>
      <c r="C29" s="39" t="str">
        <f aca="false">IF($J29=0,"",IF(INDEX(Deals!$C$6:$C$305,$J29)="","",INDEX(Deals!$C$6:$C$305,$J29)))</f>
        <v/>
      </c>
      <c r="D29" s="39" t="str">
        <f aca="false">IF($J29=0,"",IF(INDEX(Deals!$D$6:$D$305,$J29)="","",INDEX(Deals!$D$6:$D$305,$J29)))</f>
        <v/>
      </c>
      <c r="E29" s="40" t="str">
        <f aca="false">IF($J29=0,"",IF(INDEX(Deals!$E$6:$E$305,$J29)="","",INDEX(Deals!$E$6:$E$305,$J29)))</f>
        <v/>
      </c>
      <c r="F29" s="39" t="str">
        <f aca="false">IF($J29=0,"",IF(INDEX(Deals!$F$6:$F$305,$J29)="","",INDEX(Deals!$F$6:$F$305,$J29)))</f>
        <v/>
      </c>
      <c r="G29" s="41" t="str">
        <f aca="false">IF($J29=0,"",IF(INDEX(Deals!$H$6:$H$305,$J29)="","",INDEX(Deals!$H$6:$H$305,$J29)))</f>
        <v/>
      </c>
      <c r="H29" s="42" t="str">
        <f aca="false">IF($J29=0,"",IF(INDEX(Deals!$I$6:$I$305,$J29)="","",INDEX(Deals!$I$6:$I$305,$J29)))</f>
        <v/>
      </c>
      <c r="J29" s="27" t="n">
        <f aca="false">IFERROR(MATCH(17,Deals!$K$6:$K$305,0),0)</f>
        <v>0</v>
      </c>
    </row>
    <row r="30" customFormat="false" ht="15.75" hidden="false" customHeight="true" outlineLevel="0" collapsed="false">
      <c r="B30" s="38" t="str">
        <f aca="false">IF($J30=0,"",IF(INDEX(Deals!$B$6:$B$305,$J30)="","",INDEX(Deals!$B$6:$B$305,$J30)))</f>
        <v/>
      </c>
      <c r="C30" s="39" t="str">
        <f aca="false">IF($J30=0,"",IF(INDEX(Deals!$C$6:$C$305,$J30)="","",INDEX(Deals!$C$6:$C$305,$J30)))</f>
        <v/>
      </c>
      <c r="D30" s="39" t="str">
        <f aca="false">IF($J30=0,"",IF(INDEX(Deals!$D$6:$D$305,$J30)="","",INDEX(Deals!$D$6:$D$305,$J30)))</f>
        <v/>
      </c>
      <c r="E30" s="40" t="str">
        <f aca="false">IF($J30=0,"",IF(INDEX(Deals!$E$6:$E$305,$J30)="","",INDEX(Deals!$E$6:$E$305,$J30)))</f>
        <v/>
      </c>
      <c r="F30" s="39" t="str">
        <f aca="false">IF($J30=0,"",IF(INDEX(Deals!$F$6:$F$305,$J30)="","",INDEX(Deals!$F$6:$F$305,$J30)))</f>
        <v/>
      </c>
      <c r="G30" s="41" t="str">
        <f aca="false">IF($J30=0,"",IF(INDEX(Deals!$H$6:$H$305,$J30)="","",INDEX(Deals!$H$6:$H$305,$J30)))</f>
        <v/>
      </c>
      <c r="H30" s="42" t="str">
        <f aca="false">IF($J30=0,"",IF(INDEX(Deals!$I$6:$I$305,$J30)="","",INDEX(Deals!$I$6:$I$305,$J30)))</f>
        <v/>
      </c>
      <c r="J30" s="27" t="n">
        <f aca="false">IFERROR(MATCH(18,Deals!$K$6:$K$305,0),0)</f>
        <v>0</v>
      </c>
    </row>
    <row r="31" customFormat="false" ht="15.75" hidden="false" customHeight="true" outlineLevel="0" collapsed="false">
      <c r="B31" s="38" t="str">
        <f aca="false">IF($J31=0,"",IF(INDEX(Deals!$B$6:$B$305,$J31)="","",INDEX(Deals!$B$6:$B$305,$J31)))</f>
        <v/>
      </c>
      <c r="C31" s="39" t="str">
        <f aca="false">IF($J31=0,"",IF(INDEX(Deals!$C$6:$C$305,$J31)="","",INDEX(Deals!$C$6:$C$305,$J31)))</f>
        <v/>
      </c>
      <c r="D31" s="39" t="str">
        <f aca="false">IF($J31=0,"",IF(INDEX(Deals!$D$6:$D$305,$J31)="","",INDEX(Deals!$D$6:$D$305,$J31)))</f>
        <v/>
      </c>
      <c r="E31" s="40" t="str">
        <f aca="false">IF($J31=0,"",IF(INDEX(Deals!$E$6:$E$305,$J31)="","",INDEX(Deals!$E$6:$E$305,$J31)))</f>
        <v/>
      </c>
      <c r="F31" s="39" t="str">
        <f aca="false">IF($J31=0,"",IF(INDEX(Deals!$F$6:$F$305,$J31)="","",INDEX(Deals!$F$6:$F$305,$J31)))</f>
        <v/>
      </c>
      <c r="G31" s="41" t="str">
        <f aca="false">IF($J31=0,"",IF(INDEX(Deals!$H$6:$H$305,$J31)="","",INDEX(Deals!$H$6:$H$305,$J31)))</f>
        <v/>
      </c>
      <c r="H31" s="42" t="str">
        <f aca="false">IF($J31=0,"",IF(INDEX(Deals!$I$6:$I$305,$J31)="","",INDEX(Deals!$I$6:$I$305,$J31)))</f>
        <v/>
      </c>
      <c r="J31" s="27" t="n">
        <f aca="false">IFERROR(MATCH(19,Deals!$K$6:$K$305,0),0)</f>
        <v>0</v>
      </c>
    </row>
    <row r="32" customFormat="false" ht="15.75" hidden="false" customHeight="true" outlineLevel="0" collapsed="false">
      <c r="B32" s="38" t="str">
        <f aca="false">IF($J32=0,"",IF(INDEX(Deals!$B$6:$B$305,$J32)="","",INDEX(Deals!$B$6:$B$305,$J32)))</f>
        <v/>
      </c>
      <c r="C32" s="39" t="str">
        <f aca="false">IF($J32=0,"",IF(INDEX(Deals!$C$6:$C$305,$J32)="","",INDEX(Deals!$C$6:$C$305,$J32)))</f>
        <v/>
      </c>
      <c r="D32" s="39" t="str">
        <f aca="false">IF($J32=0,"",IF(INDEX(Deals!$D$6:$D$305,$J32)="","",INDEX(Deals!$D$6:$D$305,$J32)))</f>
        <v/>
      </c>
      <c r="E32" s="40" t="str">
        <f aca="false">IF($J32=0,"",IF(INDEX(Deals!$E$6:$E$305,$J32)="","",INDEX(Deals!$E$6:$E$305,$J32)))</f>
        <v/>
      </c>
      <c r="F32" s="39" t="str">
        <f aca="false">IF($J32=0,"",IF(INDEX(Deals!$F$6:$F$305,$J32)="","",INDEX(Deals!$F$6:$F$305,$J32)))</f>
        <v/>
      </c>
      <c r="G32" s="41" t="str">
        <f aca="false">IF($J32=0,"",IF(INDEX(Deals!$H$6:$H$305,$J32)="","",INDEX(Deals!$H$6:$H$305,$J32)))</f>
        <v/>
      </c>
      <c r="H32" s="42" t="str">
        <f aca="false">IF($J32=0,"",IF(INDEX(Deals!$I$6:$I$305,$J32)="","",INDEX(Deals!$I$6:$I$305,$J32)))</f>
        <v/>
      </c>
      <c r="J32" s="27" t="n">
        <f aca="false">IFERROR(MATCH(20,Deals!$K$6:$K$305,0),0)</f>
        <v>0</v>
      </c>
    </row>
    <row r="33" customFormat="false" ht="15.75" hidden="false" customHeight="true" outlineLevel="0" collapsed="false">
      <c r="B33" s="38" t="str">
        <f aca="false">IF($J33=0,"",IF(INDEX(Deals!$B$6:$B$305,$J33)="","",INDEX(Deals!$B$6:$B$305,$J33)))</f>
        <v/>
      </c>
      <c r="C33" s="39" t="str">
        <f aca="false">IF($J33=0,"",IF(INDEX(Deals!$C$6:$C$305,$J33)="","",INDEX(Deals!$C$6:$C$305,$J33)))</f>
        <v/>
      </c>
      <c r="D33" s="39" t="str">
        <f aca="false">IF($J33=0,"",IF(INDEX(Deals!$D$6:$D$305,$J33)="","",INDEX(Deals!$D$6:$D$305,$J33)))</f>
        <v/>
      </c>
      <c r="E33" s="40" t="str">
        <f aca="false">IF($J33=0,"",IF(INDEX(Deals!$E$6:$E$305,$J33)="","",INDEX(Deals!$E$6:$E$305,$J33)))</f>
        <v/>
      </c>
      <c r="F33" s="39" t="str">
        <f aca="false">IF($J33=0,"",IF(INDEX(Deals!$F$6:$F$305,$J33)="","",INDEX(Deals!$F$6:$F$305,$J33)))</f>
        <v/>
      </c>
      <c r="G33" s="41" t="str">
        <f aca="false">IF($J33=0,"",IF(INDEX(Deals!$H$6:$H$305,$J33)="","",INDEX(Deals!$H$6:$H$305,$J33)))</f>
        <v/>
      </c>
      <c r="H33" s="42" t="str">
        <f aca="false">IF($J33=0,"",IF(INDEX(Deals!$I$6:$I$305,$J33)="","",INDEX(Deals!$I$6:$I$305,$J33)))</f>
        <v/>
      </c>
      <c r="J33" s="27" t="n">
        <f aca="false">IFERROR(MATCH(21,Deals!$K$6:$K$305,0),0)</f>
        <v>0</v>
      </c>
    </row>
    <row r="34" customFormat="false" ht="15.75" hidden="false" customHeight="true" outlineLevel="0" collapsed="false">
      <c r="B34" s="38" t="str">
        <f aca="false">IF($J34=0,"",IF(INDEX(Deals!$B$6:$B$305,$J34)="","",INDEX(Deals!$B$6:$B$305,$J34)))</f>
        <v/>
      </c>
      <c r="C34" s="39" t="str">
        <f aca="false">IF($J34=0,"",IF(INDEX(Deals!$C$6:$C$305,$J34)="","",INDEX(Deals!$C$6:$C$305,$J34)))</f>
        <v/>
      </c>
      <c r="D34" s="39" t="str">
        <f aca="false">IF($J34=0,"",IF(INDEX(Deals!$D$6:$D$305,$J34)="","",INDEX(Deals!$D$6:$D$305,$J34)))</f>
        <v/>
      </c>
      <c r="E34" s="40" t="str">
        <f aca="false">IF($J34=0,"",IF(INDEX(Deals!$E$6:$E$305,$J34)="","",INDEX(Deals!$E$6:$E$305,$J34)))</f>
        <v/>
      </c>
      <c r="F34" s="39" t="str">
        <f aca="false">IF($J34=0,"",IF(INDEX(Deals!$F$6:$F$305,$J34)="","",INDEX(Deals!$F$6:$F$305,$J34)))</f>
        <v/>
      </c>
      <c r="G34" s="41" t="str">
        <f aca="false">IF($J34=0,"",IF(INDEX(Deals!$H$6:$H$305,$J34)="","",INDEX(Deals!$H$6:$H$305,$J34)))</f>
        <v/>
      </c>
      <c r="H34" s="42" t="str">
        <f aca="false">IF($J34=0,"",IF(INDEX(Deals!$I$6:$I$305,$J34)="","",INDEX(Deals!$I$6:$I$305,$J34)))</f>
        <v/>
      </c>
      <c r="J34" s="27" t="n">
        <f aca="false">IFERROR(MATCH(22,Deals!$K$6:$K$305,0),0)</f>
        <v>0</v>
      </c>
    </row>
    <row r="35" customFormat="false" ht="15.75" hidden="false" customHeight="true" outlineLevel="0" collapsed="false">
      <c r="B35" s="38" t="str">
        <f aca="false">IF($J35=0,"",IF(INDEX(Deals!$B$6:$B$305,$J35)="","",INDEX(Deals!$B$6:$B$305,$J35)))</f>
        <v/>
      </c>
      <c r="C35" s="39" t="str">
        <f aca="false">IF($J35=0,"",IF(INDEX(Deals!$C$6:$C$305,$J35)="","",INDEX(Deals!$C$6:$C$305,$J35)))</f>
        <v/>
      </c>
      <c r="D35" s="39" t="str">
        <f aca="false">IF($J35=0,"",IF(INDEX(Deals!$D$6:$D$305,$J35)="","",INDEX(Deals!$D$6:$D$305,$J35)))</f>
        <v/>
      </c>
      <c r="E35" s="40" t="str">
        <f aca="false">IF($J35=0,"",IF(INDEX(Deals!$E$6:$E$305,$J35)="","",INDEX(Deals!$E$6:$E$305,$J35)))</f>
        <v/>
      </c>
      <c r="F35" s="39" t="str">
        <f aca="false">IF($J35=0,"",IF(INDEX(Deals!$F$6:$F$305,$J35)="","",INDEX(Deals!$F$6:$F$305,$J35)))</f>
        <v/>
      </c>
      <c r="G35" s="41" t="str">
        <f aca="false">IF($J35=0,"",IF(INDEX(Deals!$H$6:$H$305,$J35)="","",INDEX(Deals!$H$6:$H$305,$J35)))</f>
        <v/>
      </c>
      <c r="H35" s="42" t="str">
        <f aca="false">IF($J35=0,"",IF(INDEX(Deals!$I$6:$I$305,$J35)="","",INDEX(Deals!$I$6:$I$305,$J35)))</f>
        <v/>
      </c>
      <c r="J35" s="27" t="n">
        <f aca="false">IFERROR(MATCH(23,Deals!$K$6:$K$305,0),0)</f>
        <v>0</v>
      </c>
    </row>
    <row r="36" customFormat="false" ht="15.75" hidden="false" customHeight="true" outlineLevel="0" collapsed="false">
      <c r="B36" s="38" t="str">
        <f aca="false">IF($J36=0,"",IF(INDEX(Deals!$B$6:$B$305,$J36)="","",INDEX(Deals!$B$6:$B$305,$J36)))</f>
        <v/>
      </c>
      <c r="C36" s="39" t="str">
        <f aca="false">IF($J36=0,"",IF(INDEX(Deals!$C$6:$C$305,$J36)="","",INDEX(Deals!$C$6:$C$305,$J36)))</f>
        <v/>
      </c>
      <c r="D36" s="39" t="str">
        <f aca="false">IF($J36=0,"",IF(INDEX(Deals!$D$6:$D$305,$J36)="","",INDEX(Deals!$D$6:$D$305,$J36)))</f>
        <v/>
      </c>
      <c r="E36" s="40" t="str">
        <f aca="false">IF($J36=0,"",IF(INDEX(Deals!$E$6:$E$305,$J36)="","",INDEX(Deals!$E$6:$E$305,$J36)))</f>
        <v/>
      </c>
      <c r="F36" s="39" t="str">
        <f aca="false">IF($J36=0,"",IF(INDEX(Deals!$F$6:$F$305,$J36)="","",INDEX(Deals!$F$6:$F$305,$J36)))</f>
        <v/>
      </c>
      <c r="G36" s="41" t="str">
        <f aca="false">IF($J36=0,"",IF(INDEX(Deals!$H$6:$H$305,$J36)="","",INDEX(Deals!$H$6:$H$305,$J36)))</f>
        <v/>
      </c>
      <c r="H36" s="42" t="str">
        <f aca="false">IF($J36=0,"",IF(INDEX(Deals!$I$6:$I$305,$J36)="","",INDEX(Deals!$I$6:$I$305,$J36)))</f>
        <v/>
      </c>
      <c r="J36" s="27" t="n">
        <f aca="false">IFERROR(MATCH(24,Deals!$K$6:$K$305,0),0)</f>
        <v>0</v>
      </c>
    </row>
    <row r="37" customFormat="false" ht="15.75" hidden="false" customHeight="true" outlineLevel="0" collapsed="false">
      <c r="B37" s="38" t="str">
        <f aca="false">IF($J37=0,"",IF(INDEX(Deals!$B$6:$B$305,$J37)="","",INDEX(Deals!$B$6:$B$305,$J37)))</f>
        <v/>
      </c>
      <c r="C37" s="39" t="str">
        <f aca="false">IF($J37=0,"",IF(INDEX(Deals!$C$6:$C$305,$J37)="","",INDEX(Deals!$C$6:$C$305,$J37)))</f>
        <v/>
      </c>
      <c r="D37" s="39" t="str">
        <f aca="false">IF($J37=0,"",IF(INDEX(Deals!$D$6:$D$305,$J37)="","",INDEX(Deals!$D$6:$D$305,$J37)))</f>
        <v/>
      </c>
      <c r="E37" s="40" t="str">
        <f aca="false">IF($J37=0,"",IF(INDEX(Deals!$E$6:$E$305,$J37)="","",INDEX(Deals!$E$6:$E$305,$J37)))</f>
        <v/>
      </c>
      <c r="F37" s="39" t="str">
        <f aca="false">IF($J37=0,"",IF(INDEX(Deals!$F$6:$F$305,$J37)="","",INDEX(Deals!$F$6:$F$305,$J37)))</f>
        <v/>
      </c>
      <c r="G37" s="41" t="str">
        <f aca="false">IF($J37=0,"",IF(INDEX(Deals!$H$6:$H$305,$J37)="","",INDEX(Deals!$H$6:$H$305,$J37)))</f>
        <v/>
      </c>
      <c r="H37" s="42" t="str">
        <f aca="false">IF($J37=0,"",IF(INDEX(Deals!$I$6:$I$305,$J37)="","",INDEX(Deals!$I$6:$I$305,$J37)))</f>
        <v/>
      </c>
      <c r="J37" s="27" t="n">
        <f aca="false">IFERROR(MATCH(25,Deals!$K$6:$K$305,0),0)</f>
        <v>0</v>
      </c>
    </row>
    <row r="38" customFormat="false" ht="15" hidden="false" customHeight="true" outlineLevel="0" collapsed="false">
      <c r="B38" s="43" t="s">
        <v>163</v>
      </c>
      <c r="C38" s="43"/>
      <c r="D38" s="43"/>
      <c r="E38" s="43"/>
      <c r="F38" s="43"/>
      <c r="G38" s="43"/>
      <c r="H38" s="44" t="n">
        <f aca="false">H57</f>
        <v>24600</v>
      </c>
    </row>
    <row r="39" customFormat="false" ht="15" hidden="false" customHeight="false" outlineLevel="0" collapsed="false">
      <c r="B39" s="18" t="str">
        <f aca="false">IF($K$6*$K$7=0,"",COUNTIF(Deals!$K$6:$K$305,"&gt;0")&amp;" deals in the period"&amp;IF(COUNTIF(Deals!$K$6:$K$305,"&gt;25")&gt;0,". Only the first 25 are listed, but all of them count in the statement below.",""))</f>
        <v>3 deals in the period</v>
      </c>
    </row>
    <row r="41" customFormat="false" ht="15" hidden="false" customHeight="false" outlineLevel="0" collapsed="false">
      <c r="B41" s="7" t="s">
        <v>164</v>
      </c>
    </row>
    <row r="42" customFormat="false" ht="21.75" hidden="false" customHeight="true" outlineLevel="0" collapsed="false">
      <c r="B42" s="23" t="s">
        <v>143</v>
      </c>
      <c r="C42" s="23" t="s">
        <v>103</v>
      </c>
      <c r="D42" s="23" t="s">
        <v>104</v>
      </c>
      <c r="E42" s="23" t="s">
        <v>145</v>
      </c>
      <c r="F42" s="23" t="s">
        <v>144</v>
      </c>
      <c r="G42" s="23" t="s">
        <v>162</v>
      </c>
      <c r="H42" s="23" t="s">
        <v>109</v>
      </c>
    </row>
    <row r="43" customFormat="false" ht="15.75" hidden="false" customHeight="true" outlineLevel="0" collapsed="false">
      <c r="B43" s="38" t="n">
        <f aca="false">IF($J43=0,"",IF(INDEX(Adjustments!$C$6:$C$105,$J43)="","",INDEX(Adjustments!$C$6:$C$105,$J43)))</f>
        <v>46077</v>
      </c>
      <c r="C43" s="39" t="str">
        <f aca="false">IF($J43=0,"",IF(INDEX(Adjustments!$D$6:$D$105,$J43)="","",INDEX(Adjustments!$D$6:$D$105,$J43)))</f>
        <v>Havnens Bageri</v>
      </c>
      <c r="D43" s="39" t="str">
        <f aca="false">IF($J43=0,"",IF(INDEX(Adjustments!$E$6:$E$105,$J43)="","",INDEX(Adjustments!$E$6:$E$105,$J43)))</f>
        <v>D-1004</v>
      </c>
      <c r="E43" s="40" t="n">
        <f aca="false">IF($J43=0,"",IF(INDEX(Adjustments!$G$6:$G$105,$J43)="","",INDEX(Adjustments!$G$6:$G$105,$J43)))</f>
        <v>50000</v>
      </c>
      <c r="F43" s="39" t="str">
        <f aca="false">IF($J43=0,"",IF(INDEX(Adjustments!$F$6:$F$105,$J43)="","",INDEX(Adjustments!$F$6:$F$105,$J43)))</f>
        <v>Clawback</v>
      </c>
      <c r="G43" s="41" t="n">
        <f aca="false">IF($J43=0,"",IF(INDEX(Adjustments!$I$6:$I$105,$J43)="","",INDEX(Adjustments!$I$6:$I$105,$J43)))</f>
        <v>0.08</v>
      </c>
      <c r="H43" s="42" t="n">
        <f aca="false">IF($J43=0,"",IF(INDEX(Adjustments!$J$6:$J$105,$J43)="","",INDEX(Adjustments!$J$6:$J$105,$J43)))</f>
        <v>-4000</v>
      </c>
      <c r="J43" s="27" t="n">
        <f aca="false">IFERROR(MATCH(1,Adjustments!$M$6:$M$105,0),0)</f>
        <v>1</v>
      </c>
    </row>
    <row r="44" customFormat="false" ht="15.75" hidden="false" customHeight="true" outlineLevel="0" collapsed="false">
      <c r="B44" s="38" t="n">
        <f aca="false">IF($J44=0,"",IF(INDEX(Adjustments!$C$6:$C$105,$J44)="","",INDEX(Adjustments!$C$6:$C$105,$J44)))</f>
        <v>46037</v>
      </c>
      <c r="C44" s="39" t="str">
        <f aca="false">IF($J44=0,"",IF(INDEX(Adjustments!$D$6:$D$105,$J44)="","",INDEX(Adjustments!$D$6:$D$105,$J44)))</f>
        <v>Fjordtech ApS</v>
      </c>
      <c r="D44" s="39" t="str">
        <f aca="false">IF($J44=0,"",IF(INDEX(Adjustments!$E$6:$E$105,$J44)="","",INDEX(Adjustments!$E$6:$E$105,$J44)))</f>
        <v>D-1001</v>
      </c>
      <c r="E44" s="40" t="n">
        <f aca="false">IF($J44=0,"",IF(INDEX(Adjustments!$G$6:$G$105,$J44)="","",INDEX(Adjustments!$G$6:$G$105,$J44)))</f>
        <v>10000</v>
      </c>
      <c r="F44" s="39" t="str">
        <f aca="false">IF($J44=0,"",IF(INDEX(Adjustments!$F$6:$F$105,$J44)="","",INDEX(Adjustments!$F$6:$F$105,$J44)))</f>
        <v>Adjustment</v>
      </c>
      <c r="G44" s="41" t="n">
        <f aca="false">IF($J44=0,"",IF(INDEX(Adjustments!$I$6:$I$105,$J44)="","",INDEX(Adjustments!$I$6:$I$105,$J44)))</f>
        <v>0.08</v>
      </c>
      <c r="H44" s="42" t="n">
        <f aca="false">IF($J44=0,"",IF(INDEX(Adjustments!$J$6:$J$105,$J44)="","",INDEX(Adjustments!$J$6:$J$105,$J44)))</f>
        <v>800</v>
      </c>
      <c r="J44" s="27" t="n">
        <f aca="false">IFERROR(MATCH(2,Adjustments!$M$6:$M$105,0),0)</f>
        <v>2</v>
      </c>
    </row>
    <row r="45" customFormat="false" ht="15.75" hidden="false" customHeight="true" outlineLevel="0" collapsed="false">
      <c r="B45" s="38" t="str">
        <f aca="false">IF($J45=0,"",IF(INDEX(Adjustments!$C$6:$C$105,$J45)="","",INDEX(Adjustments!$C$6:$C$105,$J45)))</f>
        <v/>
      </c>
      <c r="C45" s="39" t="str">
        <f aca="false">IF($J45=0,"",IF(INDEX(Adjustments!$D$6:$D$105,$J45)="","",INDEX(Adjustments!$D$6:$D$105,$J45)))</f>
        <v/>
      </c>
      <c r="D45" s="39" t="str">
        <f aca="false">IF($J45=0,"",IF(INDEX(Adjustments!$E$6:$E$105,$J45)="","",INDEX(Adjustments!$E$6:$E$105,$J45)))</f>
        <v/>
      </c>
      <c r="E45" s="40" t="str">
        <f aca="false">IF($J45=0,"",IF(INDEX(Adjustments!$G$6:$G$105,$J45)="","",INDEX(Adjustments!$G$6:$G$105,$J45)))</f>
        <v/>
      </c>
      <c r="F45" s="39" t="str">
        <f aca="false">IF($J45=0,"",IF(INDEX(Adjustments!$F$6:$F$105,$J45)="","",INDEX(Adjustments!$F$6:$F$105,$J45)))</f>
        <v/>
      </c>
      <c r="G45" s="41" t="str">
        <f aca="false">IF($J45=0,"",IF(INDEX(Adjustments!$I$6:$I$105,$J45)="","",INDEX(Adjustments!$I$6:$I$105,$J45)))</f>
        <v/>
      </c>
      <c r="H45" s="42" t="str">
        <f aca="false">IF($J45=0,"",IF(INDEX(Adjustments!$J$6:$J$105,$J45)="","",INDEX(Adjustments!$J$6:$J$105,$J45)))</f>
        <v/>
      </c>
      <c r="J45" s="27" t="n">
        <f aca="false">IFERROR(MATCH(3,Adjustments!$M$6:$M$105,0),0)</f>
        <v>0</v>
      </c>
    </row>
    <row r="46" customFormat="false" ht="15.75" hidden="false" customHeight="true" outlineLevel="0" collapsed="false">
      <c r="B46" s="38" t="str">
        <f aca="false">IF($J46=0,"",IF(INDEX(Adjustments!$C$6:$C$105,$J46)="","",INDEX(Adjustments!$C$6:$C$105,$J46)))</f>
        <v/>
      </c>
      <c r="C46" s="39" t="str">
        <f aca="false">IF($J46=0,"",IF(INDEX(Adjustments!$D$6:$D$105,$J46)="","",INDEX(Adjustments!$D$6:$D$105,$J46)))</f>
        <v/>
      </c>
      <c r="D46" s="39" t="str">
        <f aca="false">IF($J46=0,"",IF(INDEX(Adjustments!$E$6:$E$105,$J46)="","",INDEX(Adjustments!$E$6:$E$105,$J46)))</f>
        <v/>
      </c>
      <c r="E46" s="40" t="str">
        <f aca="false">IF($J46=0,"",IF(INDEX(Adjustments!$G$6:$G$105,$J46)="","",INDEX(Adjustments!$G$6:$G$105,$J46)))</f>
        <v/>
      </c>
      <c r="F46" s="39" t="str">
        <f aca="false">IF($J46=0,"",IF(INDEX(Adjustments!$F$6:$F$105,$J46)="","",INDEX(Adjustments!$F$6:$F$105,$J46)))</f>
        <v/>
      </c>
      <c r="G46" s="41" t="str">
        <f aca="false">IF($J46=0,"",IF(INDEX(Adjustments!$I$6:$I$105,$J46)="","",INDEX(Adjustments!$I$6:$I$105,$J46)))</f>
        <v/>
      </c>
      <c r="H46" s="42" t="str">
        <f aca="false">IF($J46=0,"",IF(INDEX(Adjustments!$J$6:$J$105,$J46)="","",INDEX(Adjustments!$J$6:$J$105,$J46)))</f>
        <v/>
      </c>
      <c r="J46" s="27" t="n">
        <f aca="false">IFERROR(MATCH(4,Adjustments!$M$6:$M$105,0),0)</f>
        <v>0</v>
      </c>
    </row>
    <row r="47" customFormat="false" ht="15.75" hidden="false" customHeight="true" outlineLevel="0" collapsed="false">
      <c r="B47" s="38" t="str">
        <f aca="false">IF($J47=0,"",IF(INDEX(Adjustments!$C$6:$C$105,$J47)="","",INDEX(Adjustments!$C$6:$C$105,$J47)))</f>
        <v/>
      </c>
      <c r="C47" s="39" t="str">
        <f aca="false">IF($J47=0,"",IF(INDEX(Adjustments!$D$6:$D$105,$J47)="","",INDEX(Adjustments!$D$6:$D$105,$J47)))</f>
        <v/>
      </c>
      <c r="D47" s="39" t="str">
        <f aca="false">IF($J47=0,"",IF(INDEX(Adjustments!$E$6:$E$105,$J47)="","",INDEX(Adjustments!$E$6:$E$105,$J47)))</f>
        <v/>
      </c>
      <c r="E47" s="40" t="str">
        <f aca="false">IF($J47=0,"",IF(INDEX(Adjustments!$G$6:$G$105,$J47)="","",INDEX(Adjustments!$G$6:$G$105,$J47)))</f>
        <v/>
      </c>
      <c r="F47" s="39" t="str">
        <f aca="false">IF($J47=0,"",IF(INDEX(Adjustments!$F$6:$F$105,$J47)="","",INDEX(Adjustments!$F$6:$F$105,$J47)))</f>
        <v/>
      </c>
      <c r="G47" s="41" t="str">
        <f aca="false">IF($J47=0,"",IF(INDEX(Adjustments!$I$6:$I$105,$J47)="","",INDEX(Adjustments!$I$6:$I$105,$J47)))</f>
        <v/>
      </c>
      <c r="H47" s="42" t="str">
        <f aca="false">IF($J47=0,"",IF(INDEX(Adjustments!$J$6:$J$105,$J47)="","",INDEX(Adjustments!$J$6:$J$105,$J47)))</f>
        <v/>
      </c>
      <c r="J47" s="27" t="n">
        <f aca="false">IFERROR(MATCH(5,Adjustments!$M$6:$M$105,0),0)</f>
        <v>0</v>
      </c>
    </row>
    <row r="48" customFormat="false" ht="15.75" hidden="false" customHeight="true" outlineLevel="0" collapsed="false">
      <c r="B48" s="38" t="str">
        <f aca="false">IF($J48=0,"",IF(INDEX(Adjustments!$C$6:$C$105,$J48)="","",INDEX(Adjustments!$C$6:$C$105,$J48)))</f>
        <v/>
      </c>
      <c r="C48" s="39" t="str">
        <f aca="false">IF($J48=0,"",IF(INDEX(Adjustments!$D$6:$D$105,$J48)="","",INDEX(Adjustments!$D$6:$D$105,$J48)))</f>
        <v/>
      </c>
      <c r="D48" s="39" t="str">
        <f aca="false">IF($J48=0,"",IF(INDEX(Adjustments!$E$6:$E$105,$J48)="","",INDEX(Adjustments!$E$6:$E$105,$J48)))</f>
        <v/>
      </c>
      <c r="E48" s="40" t="str">
        <f aca="false">IF($J48=0,"",IF(INDEX(Adjustments!$G$6:$G$105,$J48)="","",INDEX(Adjustments!$G$6:$G$105,$J48)))</f>
        <v/>
      </c>
      <c r="F48" s="39" t="str">
        <f aca="false">IF($J48=0,"",IF(INDEX(Adjustments!$F$6:$F$105,$J48)="","",INDEX(Adjustments!$F$6:$F$105,$J48)))</f>
        <v/>
      </c>
      <c r="G48" s="41" t="str">
        <f aca="false">IF($J48=0,"",IF(INDEX(Adjustments!$I$6:$I$105,$J48)="","",INDEX(Adjustments!$I$6:$I$105,$J48)))</f>
        <v/>
      </c>
      <c r="H48" s="42" t="str">
        <f aca="false">IF($J48=0,"",IF(INDEX(Adjustments!$J$6:$J$105,$J48)="","",INDEX(Adjustments!$J$6:$J$105,$J48)))</f>
        <v/>
      </c>
      <c r="J48" s="27" t="n">
        <f aca="false">IFERROR(MATCH(6,Adjustments!$M$6:$M$105,0),0)</f>
        <v>0</v>
      </c>
    </row>
    <row r="49" customFormat="false" ht="15.75" hidden="false" customHeight="true" outlineLevel="0" collapsed="false">
      <c r="B49" s="38" t="str">
        <f aca="false">IF($J49=0,"",IF(INDEX(Adjustments!$C$6:$C$105,$J49)="","",INDEX(Adjustments!$C$6:$C$105,$J49)))</f>
        <v/>
      </c>
      <c r="C49" s="39" t="str">
        <f aca="false">IF($J49=0,"",IF(INDEX(Adjustments!$D$6:$D$105,$J49)="","",INDEX(Adjustments!$D$6:$D$105,$J49)))</f>
        <v/>
      </c>
      <c r="D49" s="39" t="str">
        <f aca="false">IF($J49=0,"",IF(INDEX(Adjustments!$E$6:$E$105,$J49)="","",INDEX(Adjustments!$E$6:$E$105,$J49)))</f>
        <v/>
      </c>
      <c r="E49" s="40" t="str">
        <f aca="false">IF($J49=0,"",IF(INDEX(Adjustments!$G$6:$G$105,$J49)="","",INDEX(Adjustments!$G$6:$G$105,$J49)))</f>
        <v/>
      </c>
      <c r="F49" s="39" t="str">
        <f aca="false">IF($J49=0,"",IF(INDEX(Adjustments!$F$6:$F$105,$J49)="","",INDEX(Adjustments!$F$6:$F$105,$J49)))</f>
        <v/>
      </c>
      <c r="G49" s="41" t="str">
        <f aca="false">IF($J49=0,"",IF(INDEX(Adjustments!$I$6:$I$105,$J49)="","",INDEX(Adjustments!$I$6:$I$105,$J49)))</f>
        <v/>
      </c>
      <c r="H49" s="42" t="str">
        <f aca="false">IF($J49=0,"",IF(INDEX(Adjustments!$J$6:$J$105,$J49)="","",INDEX(Adjustments!$J$6:$J$105,$J49)))</f>
        <v/>
      </c>
      <c r="J49" s="27" t="n">
        <f aca="false">IFERROR(MATCH(7,Adjustments!$M$6:$M$105,0),0)</f>
        <v>0</v>
      </c>
    </row>
    <row r="50" customFormat="false" ht="15.75" hidden="false" customHeight="true" outlineLevel="0" collapsed="false">
      <c r="B50" s="38" t="str">
        <f aca="false">IF($J50=0,"",IF(INDEX(Adjustments!$C$6:$C$105,$J50)="","",INDEX(Adjustments!$C$6:$C$105,$J50)))</f>
        <v/>
      </c>
      <c r="C50" s="39" t="str">
        <f aca="false">IF($J50=0,"",IF(INDEX(Adjustments!$D$6:$D$105,$J50)="","",INDEX(Adjustments!$D$6:$D$105,$J50)))</f>
        <v/>
      </c>
      <c r="D50" s="39" t="str">
        <f aca="false">IF($J50=0,"",IF(INDEX(Adjustments!$E$6:$E$105,$J50)="","",INDEX(Adjustments!$E$6:$E$105,$J50)))</f>
        <v/>
      </c>
      <c r="E50" s="40" t="str">
        <f aca="false">IF($J50=0,"",IF(INDEX(Adjustments!$G$6:$G$105,$J50)="","",INDEX(Adjustments!$G$6:$G$105,$J50)))</f>
        <v/>
      </c>
      <c r="F50" s="39" t="str">
        <f aca="false">IF($J50=0,"",IF(INDEX(Adjustments!$F$6:$F$105,$J50)="","",INDEX(Adjustments!$F$6:$F$105,$J50)))</f>
        <v/>
      </c>
      <c r="G50" s="41" t="str">
        <f aca="false">IF($J50=0,"",IF(INDEX(Adjustments!$I$6:$I$105,$J50)="","",INDEX(Adjustments!$I$6:$I$105,$J50)))</f>
        <v/>
      </c>
      <c r="H50" s="42" t="str">
        <f aca="false">IF($J50=0,"",IF(INDEX(Adjustments!$J$6:$J$105,$J50)="","",INDEX(Adjustments!$J$6:$J$105,$J50)))</f>
        <v/>
      </c>
      <c r="J50" s="27" t="n">
        <f aca="false">IFERROR(MATCH(8,Adjustments!$M$6:$M$105,0),0)</f>
        <v>0</v>
      </c>
    </row>
    <row r="51" customFormat="false" ht="15.75" hidden="false" customHeight="true" outlineLevel="0" collapsed="false">
      <c r="B51" s="38" t="str">
        <f aca="false">IF($J51=0,"",IF(INDEX(Adjustments!$C$6:$C$105,$J51)="","",INDEX(Adjustments!$C$6:$C$105,$J51)))</f>
        <v/>
      </c>
      <c r="C51" s="39" t="str">
        <f aca="false">IF($J51=0,"",IF(INDEX(Adjustments!$D$6:$D$105,$J51)="","",INDEX(Adjustments!$D$6:$D$105,$J51)))</f>
        <v/>
      </c>
      <c r="D51" s="39" t="str">
        <f aca="false">IF($J51=0,"",IF(INDEX(Adjustments!$E$6:$E$105,$J51)="","",INDEX(Adjustments!$E$6:$E$105,$J51)))</f>
        <v/>
      </c>
      <c r="E51" s="40" t="str">
        <f aca="false">IF($J51=0,"",IF(INDEX(Adjustments!$G$6:$G$105,$J51)="","",INDEX(Adjustments!$G$6:$G$105,$J51)))</f>
        <v/>
      </c>
      <c r="F51" s="39" t="str">
        <f aca="false">IF($J51=0,"",IF(INDEX(Adjustments!$F$6:$F$105,$J51)="","",INDEX(Adjustments!$F$6:$F$105,$J51)))</f>
        <v/>
      </c>
      <c r="G51" s="41" t="str">
        <f aca="false">IF($J51=0,"",IF(INDEX(Adjustments!$I$6:$I$105,$J51)="","",INDEX(Adjustments!$I$6:$I$105,$J51)))</f>
        <v/>
      </c>
      <c r="H51" s="42" t="str">
        <f aca="false">IF($J51=0,"",IF(INDEX(Adjustments!$J$6:$J$105,$J51)="","",INDEX(Adjustments!$J$6:$J$105,$J51)))</f>
        <v/>
      </c>
      <c r="J51" s="27" t="n">
        <f aca="false">IFERROR(MATCH(9,Adjustments!$M$6:$M$105,0),0)</f>
        <v>0</v>
      </c>
    </row>
    <row r="52" customFormat="false" ht="15.75" hidden="false" customHeight="true" outlineLevel="0" collapsed="false">
      <c r="B52" s="38" t="str">
        <f aca="false">IF($J52=0,"",IF(INDEX(Adjustments!$C$6:$C$105,$J52)="","",INDEX(Adjustments!$C$6:$C$105,$J52)))</f>
        <v/>
      </c>
      <c r="C52" s="39" t="str">
        <f aca="false">IF($J52=0,"",IF(INDEX(Adjustments!$D$6:$D$105,$J52)="","",INDEX(Adjustments!$D$6:$D$105,$J52)))</f>
        <v/>
      </c>
      <c r="D52" s="39" t="str">
        <f aca="false">IF($J52=0,"",IF(INDEX(Adjustments!$E$6:$E$105,$J52)="","",INDEX(Adjustments!$E$6:$E$105,$J52)))</f>
        <v/>
      </c>
      <c r="E52" s="40" t="str">
        <f aca="false">IF($J52=0,"",IF(INDEX(Adjustments!$G$6:$G$105,$J52)="","",INDEX(Adjustments!$G$6:$G$105,$J52)))</f>
        <v/>
      </c>
      <c r="F52" s="39" t="str">
        <f aca="false">IF($J52=0,"",IF(INDEX(Adjustments!$F$6:$F$105,$J52)="","",INDEX(Adjustments!$F$6:$F$105,$J52)))</f>
        <v/>
      </c>
      <c r="G52" s="41" t="str">
        <f aca="false">IF($J52=0,"",IF(INDEX(Adjustments!$I$6:$I$105,$J52)="","",INDEX(Adjustments!$I$6:$I$105,$J52)))</f>
        <v/>
      </c>
      <c r="H52" s="42" t="str">
        <f aca="false">IF($J52=0,"",IF(INDEX(Adjustments!$J$6:$J$105,$J52)="","",INDEX(Adjustments!$J$6:$J$105,$J52)))</f>
        <v/>
      </c>
      <c r="J52" s="27" t="n">
        <f aca="false">IFERROR(MATCH(10,Adjustments!$M$6:$M$105,0),0)</f>
        <v>0</v>
      </c>
    </row>
    <row r="53" customFormat="false" ht="15" hidden="false" customHeight="true" outlineLevel="0" collapsed="false">
      <c r="B53" s="43" t="s">
        <v>165</v>
      </c>
      <c r="C53" s="43"/>
      <c r="D53" s="43"/>
      <c r="E53" s="43"/>
      <c r="F53" s="43"/>
      <c r="G53" s="43"/>
      <c r="H53" s="44" t="n">
        <f aca="false">H58</f>
        <v>-3200</v>
      </c>
    </row>
    <row r="54" customFormat="false" ht="15" hidden="false" customHeight="false" outlineLevel="0" collapsed="false">
      <c r="B54" s="45" t="str">
        <f aca="false">IF(COUNTIF(Adjustments!$M$6:$M$105,"&gt;10")&gt;0,"More than 10 adjustments: only the first 10 are listed, but all of them count.","")</f>
        <v/>
      </c>
    </row>
    <row r="56" customFormat="false" ht="15" hidden="false" customHeight="false" outlineLevel="0" collapsed="false">
      <c r="B56" s="7" t="s">
        <v>166</v>
      </c>
    </row>
    <row r="57" customFormat="false" ht="15" hidden="false" customHeight="false" outlineLevel="0" collapsed="false">
      <c r="B57" s="39" t="s">
        <v>163</v>
      </c>
      <c r="C57" s="39"/>
      <c r="D57" s="39"/>
      <c r="E57" s="39"/>
      <c r="F57" s="39"/>
      <c r="G57" s="39"/>
      <c r="H57" s="30" t="n">
        <f aca="false">IF($K$8=0,"",INDEX(Calculation!$C$6:$N$140,$K$8+0,$K$7))</f>
        <v>24600</v>
      </c>
    </row>
    <row r="58" customFormat="false" ht="15" hidden="false" customHeight="false" outlineLevel="0" collapsed="false">
      <c r="B58" s="39" t="s">
        <v>167</v>
      </c>
      <c r="C58" s="39"/>
      <c r="D58" s="39"/>
      <c r="E58" s="39"/>
      <c r="F58" s="39"/>
      <c r="G58" s="39"/>
      <c r="H58" s="30" t="n">
        <f aca="false">IF($K$8=0,"",INDEX(Calculation!$C$6:$N$140,$K$8+1,$K$7))</f>
        <v>-3200</v>
      </c>
    </row>
    <row r="59" customFormat="false" ht="15" hidden="false" customHeight="false" outlineLevel="0" collapsed="false">
      <c r="B59" s="46" t="s">
        <v>168</v>
      </c>
      <c r="C59" s="46"/>
      <c r="D59" s="46"/>
      <c r="E59" s="46"/>
      <c r="F59" s="46"/>
      <c r="G59" s="46"/>
      <c r="H59" s="47" t="n">
        <f aca="false">IF($K$8=0,"",INDEX(Calculation!$C$6:$N$140,$K$8+2,$K$7))</f>
        <v>21400</v>
      </c>
    </row>
    <row r="60" customFormat="false" ht="15" hidden="false" customHeight="false" outlineLevel="0" collapsed="false">
      <c r="B60" s="39" t="s">
        <v>169</v>
      </c>
      <c r="C60" s="39"/>
      <c r="D60" s="39"/>
      <c r="E60" s="39"/>
      <c r="F60" s="39"/>
      <c r="G60" s="39"/>
      <c r="H60" s="30" t="n">
        <f aca="false">IF($K$8=0,"",INDEX(Calculation!$C$6:$N$140,$K$8+3,$K$7))</f>
        <v>10000</v>
      </c>
    </row>
    <row r="61" customFormat="false" ht="15" hidden="false" customHeight="false" outlineLevel="0" collapsed="false">
      <c r="B61" s="39" t="s">
        <v>170</v>
      </c>
      <c r="C61" s="39"/>
      <c r="D61" s="39"/>
      <c r="E61" s="39"/>
      <c r="F61" s="39"/>
      <c r="G61" s="39"/>
      <c r="H61" s="30" t="n">
        <f aca="false">IF($K$8=0,"",INDEX(Calculation!$C$6:$N$140,$K$8+4,$K$7))</f>
        <v>-4000</v>
      </c>
    </row>
    <row r="62" customFormat="false" ht="15" hidden="false" customHeight="false" outlineLevel="0" collapsed="false">
      <c r="B62" s="39" t="s">
        <v>171</v>
      </c>
      <c r="C62" s="39"/>
      <c r="D62" s="39"/>
      <c r="E62" s="39"/>
      <c r="F62" s="39"/>
      <c r="G62" s="39"/>
      <c r="H62" s="30" t="n">
        <f aca="false">IF($K$8=0,"",INDEX(Calculation!$C$6:$N$140,$K$8+5,$K$7))</f>
        <v>7400</v>
      </c>
    </row>
    <row r="63" customFormat="false" ht="21.75" hidden="false" customHeight="true" outlineLevel="0" collapsed="false">
      <c r="B63" s="48" t="s">
        <v>172</v>
      </c>
      <c r="C63" s="48"/>
      <c r="D63" s="48"/>
      <c r="E63" s="48"/>
      <c r="F63" s="48"/>
      <c r="G63" s="48"/>
      <c r="H63" s="49" t="n">
        <f aca="false">IF($K$8=0,"",INDEX(Calculation!$C$6:$N$140,$K$8+6,$K$7))</f>
        <v>7400</v>
      </c>
    </row>
    <row r="64" customFormat="false" ht="15" hidden="false" customHeight="false" outlineLevel="0" collapsed="false">
      <c r="B64" s="39" t="s">
        <v>173</v>
      </c>
      <c r="C64" s="39"/>
      <c r="D64" s="39"/>
      <c r="E64" s="39"/>
      <c r="F64" s="39"/>
      <c r="G64" s="39"/>
      <c r="H64" s="30" t="n">
        <f aca="false">IF($K$8=0,"",INDEX(Calculation!$C$6:$N$140,$K$8+7,$K$7))</f>
        <v>0</v>
      </c>
    </row>
    <row r="65" customFormat="false" ht="25.5" hidden="false" customHeight="true" outlineLevel="0" collapsed="false">
      <c r="B65" s="50" t="s">
        <v>174</v>
      </c>
      <c r="C65" s="50"/>
      <c r="D65" s="50"/>
      <c r="E65" s="50"/>
      <c r="F65" s="50"/>
      <c r="G65" s="50"/>
      <c r="H65" s="50"/>
    </row>
    <row r="67" customFormat="false" ht="15" hidden="false" customHeight="false" outlineLevel="0" collapsed="false">
      <c r="B67" s="7" t="s">
        <v>175</v>
      </c>
    </row>
    <row r="68" customFormat="false" ht="21.75" hidden="false" customHeight="true" outlineLevel="0" collapsed="false">
      <c r="B68" s="23" t="s">
        <v>176</v>
      </c>
      <c r="C68" s="23" t="s">
        <v>60</v>
      </c>
      <c r="D68" s="23" t="s">
        <v>102</v>
      </c>
      <c r="E68" s="23"/>
      <c r="F68" s="23" t="s">
        <v>177</v>
      </c>
      <c r="G68" s="23"/>
      <c r="H68" s="23"/>
    </row>
    <row r="69" customFormat="false" ht="25.5" hidden="false" customHeight="true" outlineLevel="0" collapsed="false">
      <c r="B69" s="51" t="s">
        <v>178</v>
      </c>
      <c r="C69" s="12" t="str">
        <f aca="false">IF($K$6=0,"",$C$6)</f>
        <v>Anna Holm</v>
      </c>
      <c r="D69" s="52" t="n">
        <f aca="false">IF($K$10=0,"",IF(INDEX(Approvals!$C$6:$C$205,$K$10)="","",INDEX(Approvals!$C$6:$C$205,$K$10)))</f>
        <v>46114</v>
      </c>
      <c r="E69" s="52"/>
      <c r="F69" s="53"/>
      <c r="G69" s="53"/>
      <c r="H69" s="53"/>
    </row>
    <row r="70" customFormat="false" ht="25.5" hidden="false" customHeight="true" outlineLevel="0" collapsed="false">
      <c r="B70" s="51" t="s">
        <v>179</v>
      </c>
      <c r="C70" s="12" t="str">
        <f aca="false">IF(IF($K$10=0,"",IF(INDEX(Approvals!$D$6:$D$205,$K$10)="","",INDEX(Approvals!$D$6:$D$205,$K$10)))="",F8,IF($K$10=0,"",IF(INDEX(Approvals!$D$6:$D$205,$K$10)="","",INDEX(Approvals!$D$6:$D$205,$K$10))))</f>
        <v>Mette Lund</v>
      </c>
      <c r="D70" s="52" t="n">
        <f aca="false">IF($K$10=0,"",IF(INDEX(Approvals!$E$6:$E$205,$K$10)="","",INDEX(Approvals!$E$6:$E$205,$K$10)))</f>
        <v>46115</v>
      </c>
      <c r="E70" s="52"/>
      <c r="F70" s="53"/>
      <c r="G70" s="53"/>
      <c r="H70" s="53"/>
    </row>
    <row r="71" customFormat="false" ht="25.5" hidden="false" customHeight="true" outlineLevel="0" collapsed="false">
      <c r="B71" s="51" t="s">
        <v>180</v>
      </c>
      <c r="C71" s="12" t="str">
        <f aca="false">IF($K$10=0,"",IF(INDEX(Approvals!$F$6:$F$205,$K$10)="","",INDEX(Approvals!$F$6:$F$205,$K$10)))</f>
        <v>Louise Winther</v>
      </c>
      <c r="D71" s="52" t="n">
        <f aca="false">IF($K$10=0,"",IF(INDEX(Approvals!$G$6:$G$205,$K$10)="","",INDEX(Approvals!$G$6:$G$205,$K$10)))</f>
        <v>46118</v>
      </c>
      <c r="E71" s="52"/>
      <c r="F71" s="53"/>
      <c r="G71" s="53"/>
      <c r="H71" s="53"/>
    </row>
    <row r="72" customFormat="false" ht="15" hidden="false" customHeight="false" outlineLevel="0" collapsed="false">
      <c r="B72" s="54" t="str">
        <f aca="false">"Status: "&amp;IF($K$10=0,"not started (no row in Approvals)",INDEX(Approvals!$I$6:$I$205,$K$10))</f>
        <v>Status: Approved</v>
      </c>
    </row>
    <row r="74" customFormat="false" ht="15" hidden="false" customHeight="false" outlineLevel="0" collapsed="false">
      <c r="B74" s="16" t="s">
        <v>44</v>
      </c>
    </row>
  </sheetData>
  <mergeCells count="23">
    <mergeCell ref="F6:H6"/>
    <mergeCell ref="F7:H7"/>
    <mergeCell ref="F8:H8"/>
    <mergeCell ref="G9:H9"/>
    <mergeCell ref="B38:G38"/>
    <mergeCell ref="B53:G53"/>
    <mergeCell ref="B57:G57"/>
    <mergeCell ref="B58:G58"/>
    <mergeCell ref="B59:G59"/>
    <mergeCell ref="B60:G60"/>
    <mergeCell ref="B61:G61"/>
    <mergeCell ref="B62:G62"/>
    <mergeCell ref="B63:G63"/>
    <mergeCell ref="B64:G64"/>
    <mergeCell ref="B65:H65"/>
    <mergeCell ref="D68:E68"/>
    <mergeCell ref="F68:H68"/>
    <mergeCell ref="D69:E69"/>
    <mergeCell ref="F69:H69"/>
    <mergeCell ref="D70:E70"/>
    <mergeCell ref="F70:H70"/>
    <mergeCell ref="D71:E71"/>
    <mergeCell ref="F71:H71"/>
  </mergeCells>
  <conditionalFormatting sqref="H62">
    <cfRule type="cellIs" priority="2" operator="lessThan" aboveAverage="0" equalAverage="0" bottom="0" percent="0" rank="0" text="" dxfId="6">
      <formula>0</formula>
    </cfRule>
  </conditionalFormatting>
  <conditionalFormatting sqref="H64">
    <cfRule type="cellIs" priority="3" operator="lessThan" aboveAverage="0" equalAverage="0" bottom="0" percent="0" rank="0" text="" dxfId="6">
      <formula>0</formula>
    </cfRule>
  </conditionalFormatting>
  <dataValidations count="2">
    <dataValidation allowBlank="false" errorStyle="stop" operator="between" showDropDown="false" showErrorMessage="false" showInputMessage="false" sqref="C6" type="list">
      <formula1>Settings!$C$13:$C$27</formula1>
      <formula2>0</formula2>
    </dataValidation>
    <dataValidation allowBlank="false" errorStyle="stop" operator="between" showDropDown="false" showErrorMessage="false" showInputMessage="false" sqref="C7" type="list">
      <formula1>Settings!$N$13:$N$24</formula1>
      <formula2>0</formula2>
    </dataValidation>
  </dataValidations>
  <hyperlinks>
    <hyperlink ref="B74" r:id="rId1" display="prowi.io · Free template from Prowi"/>
  </hyperlinks>
  <printOptions headings="false" gridLines="false" gridLinesSet="true" horizontalCentered="false" verticalCentered="false"/>
  <pageMargins left="0.5" right="0.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K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8"/>
    <col collapsed="false" customWidth="true" hidden="false" outlineLevel="0" max="3" min="3" style="0" width="13"/>
    <col collapsed="false" customWidth="true" hidden="false" outlineLevel="0" max="4" min="4" style="0" width="16"/>
    <col collapsed="false" customWidth="true" hidden="false" outlineLevel="0" max="5" min="5" style="0" width="13"/>
    <col collapsed="false" customWidth="true" hidden="false" outlineLevel="0" max="6" min="6" style="0" width="16"/>
    <col collapsed="false" customWidth="true" hidden="false" outlineLevel="0" max="7" min="7" style="0" width="13"/>
    <col collapsed="false" customWidth="true" hidden="false" outlineLevel="0" max="8" min="8" style="0" width="30"/>
    <col collapsed="false" customWidth="true" hidden="false" outlineLevel="0" max="9" min="9" style="0" width="17"/>
    <col collapsed="false" customWidth="true" hidden="false" outlineLevel="0" max="10" min="10" style="0" width="14"/>
    <col collapsed="false" customWidth="true" hidden="false" outlineLevel="0" max="11" min="11" style="0" width="20"/>
  </cols>
  <sheetData>
    <row r="2" customFormat="false" ht="30" hidden="false" customHeight="true" outlineLevel="0" collapsed="false">
      <c r="A2" s="17" t="s">
        <v>181</v>
      </c>
    </row>
    <row r="3" customFormat="false" ht="15" hidden="false" customHeight="false" outlineLevel="0" collapsed="false">
      <c r="A3" s="18" t="s">
        <v>182</v>
      </c>
    </row>
    <row r="5" customFormat="false" ht="31.5" hidden="false" customHeight="true" outlineLevel="0" collapsed="false">
      <c r="A5" s="23" t="s">
        <v>153</v>
      </c>
      <c r="B5" s="23" t="s">
        <v>101</v>
      </c>
      <c r="C5" s="23" t="s">
        <v>183</v>
      </c>
      <c r="D5" s="23" t="s">
        <v>62</v>
      </c>
      <c r="E5" s="23" t="s">
        <v>184</v>
      </c>
      <c r="F5" s="23" t="s">
        <v>185</v>
      </c>
      <c r="G5" s="23" t="s">
        <v>186</v>
      </c>
      <c r="H5" s="23" t="s">
        <v>69</v>
      </c>
      <c r="I5" s="23" t="s">
        <v>187</v>
      </c>
      <c r="J5" s="23" t="s">
        <v>188</v>
      </c>
      <c r="K5" s="23" t="s">
        <v>157</v>
      </c>
    </row>
    <row r="6" customFormat="false" ht="15" hidden="false" customHeight="false" outlineLevel="0" collapsed="false">
      <c r="A6" s="10" t="s">
        <v>76</v>
      </c>
      <c r="B6" s="10" t="s">
        <v>72</v>
      </c>
      <c r="C6" s="28" t="n">
        <v>46114</v>
      </c>
      <c r="D6" s="10" t="s">
        <v>74</v>
      </c>
      <c r="E6" s="28" t="n">
        <v>46115</v>
      </c>
      <c r="F6" s="10" t="s">
        <v>189</v>
      </c>
      <c r="G6" s="28" t="n">
        <v>46118</v>
      </c>
      <c r="H6" s="10"/>
      <c r="I6" s="12" t="str">
        <f aca="false">IF(OR(A6="",B6=""),"",IF(G6&lt;&gt;"","Approved",IF(E6&lt;&gt;"","Awaiting finance",IF(C6&lt;&gt;"","Awaiting manager","Awaiting rep"))))</f>
        <v>Approved</v>
      </c>
      <c r="J6" s="30" t="n">
        <f aca="false">IF(OR(A6="",B6=""),"",IFERROR(INDEX(Calculation!$C$6:$N$140,(MATCH(B6,Settings!$C$13:$C$27,0)-1)*9+7,MATCH(A6,Settings!$N$13:$N$24,0)),""))</f>
        <v>7400</v>
      </c>
      <c r="K6" s="55" t="str">
        <f aca="false">IF(OR(A6="",B6=""),"",A6&amp;"|"&amp;B6)</f>
        <v>March|Anna Holm</v>
      </c>
    </row>
    <row r="7" customFormat="false" ht="15" hidden="false" customHeight="false" outlineLevel="0" collapsed="false">
      <c r="A7" s="10" t="s">
        <v>76</v>
      </c>
      <c r="B7" s="10" t="s">
        <v>80</v>
      </c>
      <c r="C7" s="28" t="n">
        <v>46114</v>
      </c>
      <c r="D7" s="10" t="s">
        <v>74</v>
      </c>
      <c r="E7" s="28" t="n">
        <v>46115</v>
      </c>
      <c r="F7" s="10"/>
      <c r="G7" s="28"/>
      <c r="H7" s="10" t="s">
        <v>190</v>
      </c>
      <c r="I7" s="12" t="str">
        <f aca="false">IF(OR(A7="",B7=""),"",IF(G7&lt;&gt;"","Approved",IF(E7&lt;&gt;"","Awaiting finance",IF(C7&lt;&gt;"","Awaiting manager","Awaiting rep"))))</f>
        <v>Awaiting finance</v>
      </c>
      <c r="J7" s="30" t="n">
        <f aca="false">IF(OR(A7="",B7=""),"",IFERROR(INDEX(Calculation!$C$6:$N$140,(MATCH(B7,Settings!$C$13:$C$27,0)-1)*9+7,MATCH(A7,Settings!$N$13:$N$24,0)),""))</f>
        <v>21000</v>
      </c>
      <c r="K7" s="55" t="str">
        <f aca="false">IF(OR(A7="",B7=""),"",A7&amp;"|"&amp;B7)</f>
        <v>March|Bo Jensen</v>
      </c>
    </row>
    <row r="8" customFormat="false" ht="15" hidden="false" customHeight="false" outlineLevel="0" collapsed="false">
      <c r="A8" s="10" t="s">
        <v>76</v>
      </c>
      <c r="B8" s="10" t="s">
        <v>83</v>
      </c>
      <c r="C8" s="28" t="n">
        <v>46113</v>
      </c>
      <c r="D8" s="10" t="s">
        <v>85</v>
      </c>
      <c r="E8" s="28" t="n">
        <v>46114</v>
      </c>
      <c r="F8" s="10" t="s">
        <v>189</v>
      </c>
      <c r="G8" s="28" t="n">
        <v>46118</v>
      </c>
      <c r="H8" s="10"/>
      <c r="I8" s="12" t="str">
        <f aca="false">IF(OR(A8="",B8=""),"",IF(G8&lt;&gt;"","Approved",IF(E8&lt;&gt;"","Awaiting finance",IF(C8&lt;&gt;"","Awaiting manager","Awaiting rep"))))</f>
        <v>Approved</v>
      </c>
      <c r="J8" s="30" t="n">
        <f aca="false">IF(OR(A8="",B8=""),"",IFERROR(INDEX(Calculation!$C$6:$N$140,(MATCH(B8,Settings!$C$13:$C$27,0)-1)*9+7,MATCH(A8,Settings!$N$13:$N$24,0)),""))</f>
        <v>5000</v>
      </c>
      <c r="K8" s="55" t="str">
        <f aca="false">IF(OR(A8="",B8=""),"",A8&amp;"|"&amp;B8)</f>
        <v>March|Camilla Nørgaard</v>
      </c>
    </row>
    <row r="9" customFormat="false" ht="15" hidden="false" customHeight="false" outlineLevel="0" collapsed="false">
      <c r="A9" s="10"/>
      <c r="B9" s="10"/>
      <c r="C9" s="28"/>
      <c r="D9" s="10"/>
      <c r="E9" s="28"/>
      <c r="F9" s="10"/>
      <c r="G9" s="28"/>
      <c r="H9" s="10"/>
      <c r="I9" s="12" t="str">
        <f aca="false">IF(OR(A9="",B9=""),"",IF(G9&lt;&gt;"","Approved",IF(E9&lt;&gt;"","Awaiting finance",IF(C9&lt;&gt;"","Awaiting manager","Awaiting rep"))))</f>
        <v/>
      </c>
      <c r="J9" s="30" t="str">
        <f aca="false">IF(OR(A9="",B9=""),"",IFERROR(INDEX(Calculation!$C$6:$N$140,(MATCH(B9,Settings!$C$13:$C$27,0)-1)*9+7,MATCH(A9,Settings!$N$13:$N$24,0)),""))</f>
        <v/>
      </c>
      <c r="K9" s="55" t="str">
        <f aca="false">IF(OR(A9="",B9=""),"",A9&amp;"|"&amp;B9)</f>
        <v/>
      </c>
    </row>
    <row r="10" customFormat="false" ht="15" hidden="false" customHeight="false" outlineLevel="0" collapsed="false">
      <c r="A10" s="10"/>
      <c r="B10" s="10"/>
      <c r="C10" s="28"/>
      <c r="D10" s="10"/>
      <c r="E10" s="28"/>
      <c r="F10" s="10"/>
      <c r="G10" s="28"/>
      <c r="H10" s="10"/>
      <c r="I10" s="12" t="str">
        <f aca="false">IF(OR(A10="",B10=""),"",IF(G10&lt;&gt;"","Approved",IF(E10&lt;&gt;"","Awaiting finance",IF(C10&lt;&gt;"","Awaiting manager","Awaiting rep"))))</f>
        <v/>
      </c>
      <c r="J10" s="30" t="str">
        <f aca="false">IF(OR(A10="",B10=""),"",IFERROR(INDEX(Calculation!$C$6:$N$140,(MATCH(B10,Settings!$C$13:$C$27,0)-1)*9+7,MATCH(A10,Settings!$N$13:$N$24,0)),""))</f>
        <v/>
      </c>
      <c r="K10" s="55" t="str">
        <f aca="false">IF(OR(A10="",B10=""),"",A10&amp;"|"&amp;B10)</f>
        <v/>
      </c>
    </row>
    <row r="11" customFormat="false" ht="15" hidden="false" customHeight="false" outlineLevel="0" collapsed="false">
      <c r="A11" s="10"/>
      <c r="B11" s="10"/>
      <c r="C11" s="28"/>
      <c r="D11" s="10"/>
      <c r="E11" s="28"/>
      <c r="F11" s="10"/>
      <c r="G11" s="28"/>
      <c r="H11" s="10"/>
      <c r="I11" s="12" t="str">
        <f aca="false">IF(OR(A11="",B11=""),"",IF(G11&lt;&gt;"","Approved",IF(E11&lt;&gt;"","Awaiting finance",IF(C11&lt;&gt;"","Awaiting manager","Awaiting rep"))))</f>
        <v/>
      </c>
      <c r="J11" s="30" t="str">
        <f aca="false">IF(OR(A11="",B11=""),"",IFERROR(INDEX(Calculation!$C$6:$N$140,(MATCH(B11,Settings!$C$13:$C$27,0)-1)*9+7,MATCH(A11,Settings!$N$13:$N$24,0)),""))</f>
        <v/>
      </c>
      <c r="K11" s="55" t="str">
        <f aca="false">IF(OR(A11="",B11=""),"",A11&amp;"|"&amp;B11)</f>
        <v/>
      </c>
    </row>
    <row r="12" customFormat="false" ht="15" hidden="false" customHeight="false" outlineLevel="0" collapsed="false">
      <c r="A12" s="10"/>
      <c r="B12" s="10"/>
      <c r="C12" s="28"/>
      <c r="D12" s="10"/>
      <c r="E12" s="28"/>
      <c r="F12" s="10"/>
      <c r="G12" s="28"/>
      <c r="H12" s="10"/>
      <c r="I12" s="12" t="str">
        <f aca="false">IF(OR(A12="",B12=""),"",IF(G12&lt;&gt;"","Approved",IF(E12&lt;&gt;"","Awaiting finance",IF(C12&lt;&gt;"","Awaiting manager","Awaiting rep"))))</f>
        <v/>
      </c>
      <c r="J12" s="30" t="str">
        <f aca="false">IF(OR(A12="",B12=""),"",IFERROR(INDEX(Calculation!$C$6:$N$140,(MATCH(B12,Settings!$C$13:$C$27,0)-1)*9+7,MATCH(A12,Settings!$N$13:$N$24,0)),""))</f>
        <v/>
      </c>
      <c r="K12" s="55" t="str">
        <f aca="false">IF(OR(A12="",B12=""),"",A12&amp;"|"&amp;B12)</f>
        <v/>
      </c>
    </row>
    <row r="13" customFormat="false" ht="15" hidden="false" customHeight="false" outlineLevel="0" collapsed="false">
      <c r="A13" s="10"/>
      <c r="B13" s="10"/>
      <c r="C13" s="28"/>
      <c r="D13" s="10"/>
      <c r="E13" s="28"/>
      <c r="F13" s="10"/>
      <c r="G13" s="28"/>
      <c r="H13" s="10"/>
      <c r="I13" s="12" t="str">
        <f aca="false">IF(OR(A13="",B13=""),"",IF(G13&lt;&gt;"","Approved",IF(E13&lt;&gt;"","Awaiting finance",IF(C13&lt;&gt;"","Awaiting manager","Awaiting rep"))))</f>
        <v/>
      </c>
      <c r="J13" s="30" t="str">
        <f aca="false">IF(OR(A13="",B13=""),"",IFERROR(INDEX(Calculation!$C$6:$N$140,(MATCH(B13,Settings!$C$13:$C$27,0)-1)*9+7,MATCH(A13,Settings!$N$13:$N$24,0)),""))</f>
        <v/>
      </c>
      <c r="K13" s="55" t="str">
        <f aca="false">IF(OR(A13="",B13=""),"",A13&amp;"|"&amp;B13)</f>
        <v/>
      </c>
    </row>
    <row r="14" customFormat="false" ht="15" hidden="false" customHeight="false" outlineLevel="0" collapsed="false">
      <c r="A14" s="10"/>
      <c r="B14" s="10"/>
      <c r="C14" s="28"/>
      <c r="D14" s="10"/>
      <c r="E14" s="28"/>
      <c r="F14" s="10"/>
      <c r="G14" s="28"/>
      <c r="H14" s="10"/>
      <c r="I14" s="12" t="str">
        <f aca="false">IF(OR(A14="",B14=""),"",IF(G14&lt;&gt;"","Approved",IF(E14&lt;&gt;"","Awaiting finance",IF(C14&lt;&gt;"","Awaiting manager","Awaiting rep"))))</f>
        <v/>
      </c>
      <c r="J14" s="30" t="str">
        <f aca="false">IF(OR(A14="",B14=""),"",IFERROR(INDEX(Calculation!$C$6:$N$140,(MATCH(B14,Settings!$C$13:$C$27,0)-1)*9+7,MATCH(A14,Settings!$N$13:$N$24,0)),""))</f>
        <v/>
      </c>
      <c r="K14" s="55" t="str">
        <f aca="false">IF(OR(A14="",B14=""),"",A14&amp;"|"&amp;B14)</f>
        <v/>
      </c>
    </row>
    <row r="15" customFormat="false" ht="15" hidden="false" customHeight="false" outlineLevel="0" collapsed="false">
      <c r="A15" s="10"/>
      <c r="B15" s="10"/>
      <c r="C15" s="28"/>
      <c r="D15" s="10"/>
      <c r="E15" s="28"/>
      <c r="F15" s="10"/>
      <c r="G15" s="28"/>
      <c r="H15" s="10"/>
      <c r="I15" s="12" t="str">
        <f aca="false">IF(OR(A15="",B15=""),"",IF(G15&lt;&gt;"","Approved",IF(E15&lt;&gt;"","Awaiting finance",IF(C15&lt;&gt;"","Awaiting manager","Awaiting rep"))))</f>
        <v/>
      </c>
      <c r="J15" s="30" t="str">
        <f aca="false">IF(OR(A15="",B15=""),"",IFERROR(INDEX(Calculation!$C$6:$N$140,(MATCH(B15,Settings!$C$13:$C$27,0)-1)*9+7,MATCH(A15,Settings!$N$13:$N$24,0)),""))</f>
        <v/>
      </c>
      <c r="K15" s="55" t="str">
        <f aca="false">IF(OR(A15="",B15=""),"",A15&amp;"|"&amp;B15)</f>
        <v/>
      </c>
    </row>
    <row r="16" customFormat="false" ht="15" hidden="false" customHeight="false" outlineLevel="0" collapsed="false">
      <c r="A16" s="10"/>
      <c r="B16" s="10"/>
      <c r="C16" s="28"/>
      <c r="D16" s="10"/>
      <c r="E16" s="28"/>
      <c r="F16" s="10"/>
      <c r="G16" s="28"/>
      <c r="H16" s="10"/>
      <c r="I16" s="12" t="str">
        <f aca="false">IF(OR(A16="",B16=""),"",IF(G16&lt;&gt;"","Approved",IF(E16&lt;&gt;"","Awaiting finance",IF(C16&lt;&gt;"","Awaiting manager","Awaiting rep"))))</f>
        <v/>
      </c>
      <c r="J16" s="30" t="str">
        <f aca="false">IF(OR(A16="",B16=""),"",IFERROR(INDEX(Calculation!$C$6:$N$140,(MATCH(B16,Settings!$C$13:$C$27,0)-1)*9+7,MATCH(A16,Settings!$N$13:$N$24,0)),""))</f>
        <v/>
      </c>
      <c r="K16" s="55" t="str">
        <f aca="false">IF(OR(A16="",B16=""),"",A16&amp;"|"&amp;B16)</f>
        <v/>
      </c>
    </row>
    <row r="17" customFormat="false" ht="15" hidden="false" customHeight="false" outlineLevel="0" collapsed="false">
      <c r="A17" s="10"/>
      <c r="B17" s="10"/>
      <c r="C17" s="28"/>
      <c r="D17" s="10"/>
      <c r="E17" s="28"/>
      <c r="F17" s="10"/>
      <c r="G17" s="28"/>
      <c r="H17" s="10"/>
      <c r="I17" s="12" t="str">
        <f aca="false">IF(OR(A17="",B17=""),"",IF(G17&lt;&gt;"","Approved",IF(E17&lt;&gt;"","Awaiting finance",IF(C17&lt;&gt;"","Awaiting manager","Awaiting rep"))))</f>
        <v/>
      </c>
      <c r="J17" s="30" t="str">
        <f aca="false">IF(OR(A17="",B17=""),"",IFERROR(INDEX(Calculation!$C$6:$N$140,(MATCH(B17,Settings!$C$13:$C$27,0)-1)*9+7,MATCH(A17,Settings!$N$13:$N$24,0)),""))</f>
        <v/>
      </c>
      <c r="K17" s="55" t="str">
        <f aca="false">IF(OR(A17="",B17=""),"",A17&amp;"|"&amp;B17)</f>
        <v/>
      </c>
    </row>
    <row r="18" customFormat="false" ht="15" hidden="false" customHeight="false" outlineLevel="0" collapsed="false">
      <c r="A18" s="10"/>
      <c r="B18" s="10"/>
      <c r="C18" s="28"/>
      <c r="D18" s="10"/>
      <c r="E18" s="28"/>
      <c r="F18" s="10"/>
      <c r="G18" s="28"/>
      <c r="H18" s="10"/>
      <c r="I18" s="12" t="str">
        <f aca="false">IF(OR(A18="",B18=""),"",IF(G18&lt;&gt;"","Approved",IF(E18&lt;&gt;"","Awaiting finance",IF(C18&lt;&gt;"","Awaiting manager","Awaiting rep"))))</f>
        <v/>
      </c>
      <c r="J18" s="30" t="str">
        <f aca="false">IF(OR(A18="",B18=""),"",IFERROR(INDEX(Calculation!$C$6:$N$140,(MATCH(B18,Settings!$C$13:$C$27,0)-1)*9+7,MATCH(A18,Settings!$N$13:$N$24,0)),""))</f>
        <v/>
      </c>
      <c r="K18" s="55" t="str">
        <f aca="false">IF(OR(A18="",B18=""),"",A18&amp;"|"&amp;B18)</f>
        <v/>
      </c>
    </row>
    <row r="19" customFormat="false" ht="15" hidden="false" customHeight="false" outlineLevel="0" collapsed="false">
      <c r="A19" s="10"/>
      <c r="B19" s="10"/>
      <c r="C19" s="28"/>
      <c r="D19" s="10"/>
      <c r="E19" s="28"/>
      <c r="F19" s="10"/>
      <c r="G19" s="28"/>
      <c r="H19" s="10"/>
      <c r="I19" s="12" t="str">
        <f aca="false">IF(OR(A19="",B19=""),"",IF(G19&lt;&gt;"","Approved",IF(E19&lt;&gt;"","Awaiting finance",IF(C19&lt;&gt;"","Awaiting manager","Awaiting rep"))))</f>
        <v/>
      </c>
      <c r="J19" s="30" t="str">
        <f aca="false">IF(OR(A19="",B19=""),"",IFERROR(INDEX(Calculation!$C$6:$N$140,(MATCH(B19,Settings!$C$13:$C$27,0)-1)*9+7,MATCH(A19,Settings!$N$13:$N$24,0)),""))</f>
        <v/>
      </c>
      <c r="K19" s="55" t="str">
        <f aca="false">IF(OR(A19="",B19=""),"",A19&amp;"|"&amp;B19)</f>
        <v/>
      </c>
    </row>
    <row r="20" customFormat="false" ht="15" hidden="false" customHeight="false" outlineLevel="0" collapsed="false">
      <c r="A20" s="10"/>
      <c r="B20" s="10"/>
      <c r="C20" s="28"/>
      <c r="D20" s="10"/>
      <c r="E20" s="28"/>
      <c r="F20" s="10"/>
      <c r="G20" s="28"/>
      <c r="H20" s="10"/>
      <c r="I20" s="12" t="str">
        <f aca="false">IF(OR(A20="",B20=""),"",IF(G20&lt;&gt;"","Approved",IF(E20&lt;&gt;"","Awaiting finance",IF(C20&lt;&gt;"","Awaiting manager","Awaiting rep"))))</f>
        <v/>
      </c>
      <c r="J20" s="30" t="str">
        <f aca="false">IF(OR(A20="",B20=""),"",IFERROR(INDEX(Calculation!$C$6:$N$140,(MATCH(B20,Settings!$C$13:$C$27,0)-1)*9+7,MATCH(A20,Settings!$N$13:$N$24,0)),""))</f>
        <v/>
      </c>
      <c r="K20" s="55" t="str">
        <f aca="false">IF(OR(A20="",B20=""),"",A20&amp;"|"&amp;B20)</f>
        <v/>
      </c>
    </row>
    <row r="21" customFormat="false" ht="15" hidden="false" customHeight="false" outlineLevel="0" collapsed="false">
      <c r="A21" s="10"/>
      <c r="B21" s="10"/>
      <c r="C21" s="28"/>
      <c r="D21" s="10"/>
      <c r="E21" s="28"/>
      <c r="F21" s="10"/>
      <c r="G21" s="28"/>
      <c r="H21" s="10"/>
      <c r="I21" s="12" t="str">
        <f aca="false">IF(OR(A21="",B21=""),"",IF(G21&lt;&gt;"","Approved",IF(E21&lt;&gt;"","Awaiting finance",IF(C21&lt;&gt;"","Awaiting manager","Awaiting rep"))))</f>
        <v/>
      </c>
      <c r="J21" s="30" t="str">
        <f aca="false">IF(OR(A21="",B21=""),"",IFERROR(INDEX(Calculation!$C$6:$N$140,(MATCH(B21,Settings!$C$13:$C$27,0)-1)*9+7,MATCH(A21,Settings!$N$13:$N$24,0)),""))</f>
        <v/>
      </c>
      <c r="K21" s="55" t="str">
        <f aca="false">IF(OR(A21="",B21=""),"",A21&amp;"|"&amp;B21)</f>
        <v/>
      </c>
    </row>
    <row r="22" customFormat="false" ht="15" hidden="false" customHeight="false" outlineLevel="0" collapsed="false">
      <c r="A22" s="10"/>
      <c r="B22" s="10"/>
      <c r="C22" s="28"/>
      <c r="D22" s="10"/>
      <c r="E22" s="28"/>
      <c r="F22" s="10"/>
      <c r="G22" s="28"/>
      <c r="H22" s="10"/>
      <c r="I22" s="12" t="str">
        <f aca="false">IF(OR(A22="",B22=""),"",IF(G22&lt;&gt;"","Approved",IF(E22&lt;&gt;"","Awaiting finance",IF(C22&lt;&gt;"","Awaiting manager","Awaiting rep"))))</f>
        <v/>
      </c>
      <c r="J22" s="30" t="str">
        <f aca="false">IF(OR(A22="",B22=""),"",IFERROR(INDEX(Calculation!$C$6:$N$140,(MATCH(B22,Settings!$C$13:$C$27,0)-1)*9+7,MATCH(A22,Settings!$N$13:$N$24,0)),""))</f>
        <v/>
      </c>
      <c r="K22" s="55" t="str">
        <f aca="false">IF(OR(A22="",B22=""),"",A22&amp;"|"&amp;B22)</f>
        <v/>
      </c>
    </row>
    <row r="23" customFormat="false" ht="15" hidden="false" customHeight="false" outlineLevel="0" collapsed="false">
      <c r="A23" s="10"/>
      <c r="B23" s="10"/>
      <c r="C23" s="28"/>
      <c r="D23" s="10"/>
      <c r="E23" s="28"/>
      <c r="F23" s="10"/>
      <c r="G23" s="28"/>
      <c r="H23" s="10"/>
      <c r="I23" s="12" t="str">
        <f aca="false">IF(OR(A23="",B23=""),"",IF(G23&lt;&gt;"","Approved",IF(E23&lt;&gt;"","Awaiting finance",IF(C23&lt;&gt;"","Awaiting manager","Awaiting rep"))))</f>
        <v/>
      </c>
      <c r="J23" s="30" t="str">
        <f aca="false">IF(OR(A23="",B23=""),"",IFERROR(INDEX(Calculation!$C$6:$N$140,(MATCH(B23,Settings!$C$13:$C$27,0)-1)*9+7,MATCH(A23,Settings!$N$13:$N$24,0)),""))</f>
        <v/>
      </c>
      <c r="K23" s="55" t="str">
        <f aca="false">IF(OR(A23="",B23=""),"",A23&amp;"|"&amp;B23)</f>
        <v/>
      </c>
    </row>
    <row r="24" customFormat="false" ht="15" hidden="false" customHeight="false" outlineLevel="0" collapsed="false">
      <c r="A24" s="10"/>
      <c r="B24" s="10"/>
      <c r="C24" s="28"/>
      <c r="D24" s="10"/>
      <c r="E24" s="28"/>
      <c r="F24" s="10"/>
      <c r="G24" s="28"/>
      <c r="H24" s="10"/>
      <c r="I24" s="12" t="str">
        <f aca="false">IF(OR(A24="",B24=""),"",IF(G24&lt;&gt;"","Approved",IF(E24&lt;&gt;"","Awaiting finance",IF(C24&lt;&gt;"","Awaiting manager","Awaiting rep"))))</f>
        <v/>
      </c>
      <c r="J24" s="30" t="str">
        <f aca="false">IF(OR(A24="",B24=""),"",IFERROR(INDEX(Calculation!$C$6:$N$140,(MATCH(B24,Settings!$C$13:$C$27,0)-1)*9+7,MATCH(A24,Settings!$N$13:$N$24,0)),""))</f>
        <v/>
      </c>
      <c r="K24" s="55" t="str">
        <f aca="false">IF(OR(A24="",B24=""),"",A24&amp;"|"&amp;B24)</f>
        <v/>
      </c>
    </row>
    <row r="25" customFormat="false" ht="15" hidden="false" customHeight="false" outlineLevel="0" collapsed="false">
      <c r="A25" s="10"/>
      <c r="B25" s="10"/>
      <c r="C25" s="28"/>
      <c r="D25" s="10"/>
      <c r="E25" s="28"/>
      <c r="F25" s="10"/>
      <c r="G25" s="28"/>
      <c r="H25" s="10"/>
      <c r="I25" s="12" t="str">
        <f aca="false">IF(OR(A25="",B25=""),"",IF(G25&lt;&gt;"","Approved",IF(E25&lt;&gt;"","Awaiting finance",IF(C25&lt;&gt;"","Awaiting manager","Awaiting rep"))))</f>
        <v/>
      </c>
      <c r="J25" s="30" t="str">
        <f aca="false">IF(OR(A25="",B25=""),"",IFERROR(INDEX(Calculation!$C$6:$N$140,(MATCH(B25,Settings!$C$13:$C$27,0)-1)*9+7,MATCH(A25,Settings!$N$13:$N$24,0)),""))</f>
        <v/>
      </c>
      <c r="K25" s="55" t="str">
        <f aca="false">IF(OR(A25="",B25=""),"",A25&amp;"|"&amp;B25)</f>
        <v/>
      </c>
    </row>
    <row r="26" customFormat="false" ht="15" hidden="false" customHeight="false" outlineLevel="0" collapsed="false">
      <c r="A26" s="10"/>
      <c r="B26" s="10"/>
      <c r="C26" s="28"/>
      <c r="D26" s="10"/>
      <c r="E26" s="28"/>
      <c r="F26" s="10"/>
      <c r="G26" s="28"/>
      <c r="H26" s="10"/>
      <c r="I26" s="12" t="str">
        <f aca="false">IF(OR(A26="",B26=""),"",IF(G26&lt;&gt;"","Approved",IF(E26&lt;&gt;"","Awaiting finance",IF(C26&lt;&gt;"","Awaiting manager","Awaiting rep"))))</f>
        <v/>
      </c>
      <c r="J26" s="30" t="str">
        <f aca="false">IF(OR(A26="",B26=""),"",IFERROR(INDEX(Calculation!$C$6:$N$140,(MATCH(B26,Settings!$C$13:$C$27,0)-1)*9+7,MATCH(A26,Settings!$N$13:$N$24,0)),""))</f>
        <v/>
      </c>
      <c r="K26" s="55" t="str">
        <f aca="false">IF(OR(A26="",B26=""),"",A26&amp;"|"&amp;B26)</f>
        <v/>
      </c>
    </row>
    <row r="27" customFormat="false" ht="15" hidden="false" customHeight="false" outlineLevel="0" collapsed="false">
      <c r="A27" s="10"/>
      <c r="B27" s="10"/>
      <c r="C27" s="28"/>
      <c r="D27" s="10"/>
      <c r="E27" s="28"/>
      <c r="F27" s="10"/>
      <c r="G27" s="28"/>
      <c r="H27" s="10"/>
      <c r="I27" s="12" t="str">
        <f aca="false">IF(OR(A27="",B27=""),"",IF(G27&lt;&gt;"","Approved",IF(E27&lt;&gt;"","Awaiting finance",IF(C27&lt;&gt;"","Awaiting manager","Awaiting rep"))))</f>
        <v/>
      </c>
      <c r="J27" s="30" t="str">
        <f aca="false">IF(OR(A27="",B27=""),"",IFERROR(INDEX(Calculation!$C$6:$N$140,(MATCH(B27,Settings!$C$13:$C$27,0)-1)*9+7,MATCH(A27,Settings!$N$13:$N$24,0)),""))</f>
        <v/>
      </c>
      <c r="K27" s="55" t="str">
        <f aca="false">IF(OR(A27="",B27=""),"",A27&amp;"|"&amp;B27)</f>
        <v/>
      </c>
    </row>
    <row r="28" customFormat="false" ht="15" hidden="false" customHeight="false" outlineLevel="0" collapsed="false">
      <c r="A28" s="10"/>
      <c r="B28" s="10"/>
      <c r="C28" s="28"/>
      <c r="D28" s="10"/>
      <c r="E28" s="28"/>
      <c r="F28" s="10"/>
      <c r="G28" s="28"/>
      <c r="H28" s="10"/>
      <c r="I28" s="12" t="str">
        <f aca="false">IF(OR(A28="",B28=""),"",IF(G28&lt;&gt;"","Approved",IF(E28&lt;&gt;"","Awaiting finance",IF(C28&lt;&gt;"","Awaiting manager","Awaiting rep"))))</f>
        <v/>
      </c>
      <c r="J28" s="30" t="str">
        <f aca="false">IF(OR(A28="",B28=""),"",IFERROR(INDEX(Calculation!$C$6:$N$140,(MATCH(B28,Settings!$C$13:$C$27,0)-1)*9+7,MATCH(A28,Settings!$N$13:$N$24,0)),""))</f>
        <v/>
      </c>
      <c r="K28" s="55" t="str">
        <f aca="false">IF(OR(A28="",B28=""),"",A28&amp;"|"&amp;B28)</f>
        <v/>
      </c>
    </row>
    <row r="29" customFormat="false" ht="15" hidden="false" customHeight="false" outlineLevel="0" collapsed="false">
      <c r="A29" s="10"/>
      <c r="B29" s="10"/>
      <c r="C29" s="28"/>
      <c r="D29" s="10"/>
      <c r="E29" s="28"/>
      <c r="F29" s="10"/>
      <c r="G29" s="28"/>
      <c r="H29" s="10"/>
      <c r="I29" s="12" t="str">
        <f aca="false">IF(OR(A29="",B29=""),"",IF(G29&lt;&gt;"","Approved",IF(E29&lt;&gt;"","Awaiting finance",IF(C29&lt;&gt;"","Awaiting manager","Awaiting rep"))))</f>
        <v/>
      </c>
      <c r="J29" s="30" t="str">
        <f aca="false">IF(OR(A29="",B29=""),"",IFERROR(INDEX(Calculation!$C$6:$N$140,(MATCH(B29,Settings!$C$13:$C$27,0)-1)*9+7,MATCH(A29,Settings!$N$13:$N$24,0)),""))</f>
        <v/>
      </c>
      <c r="K29" s="55" t="str">
        <f aca="false">IF(OR(A29="",B29=""),"",A29&amp;"|"&amp;B29)</f>
        <v/>
      </c>
    </row>
    <row r="30" customFormat="false" ht="15" hidden="false" customHeight="false" outlineLevel="0" collapsed="false">
      <c r="A30" s="10"/>
      <c r="B30" s="10"/>
      <c r="C30" s="28"/>
      <c r="D30" s="10"/>
      <c r="E30" s="28"/>
      <c r="F30" s="10"/>
      <c r="G30" s="28"/>
      <c r="H30" s="10"/>
      <c r="I30" s="12" t="str">
        <f aca="false">IF(OR(A30="",B30=""),"",IF(G30&lt;&gt;"","Approved",IF(E30&lt;&gt;"","Awaiting finance",IF(C30&lt;&gt;"","Awaiting manager","Awaiting rep"))))</f>
        <v/>
      </c>
      <c r="J30" s="30" t="str">
        <f aca="false">IF(OR(A30="",B30=""),"",IFERROR(INDEX(Calculation!$C$6:$N$140,(MATCH(B30,Settings!$C$13:$C$27,0)-1)*9+7,MATCH(A30,Settings!$N$13:$N$24,0)),""))</f>
        <v/>
      </c>
      <c r="K30" s="55" t="str">
        <f aca="false">IF(OR(A30="",B30=""),"",A30&amp;"|"&amp;B30)</f>
        <v/>
      </c>
    </row>
    <row r="31" customFormat="false" ht="15" hidden="false" customHeight="false" outlineLevel="0" collapsed="false">
      <c r="A31" s="10"/>
      <c r="B31" s="10"/>
      <c r="C31" s="28"/>
      <c r="D31" s="10"/>
      <c r="E31" s="28"/>
      <c r="F31" s="10"/>
      <c r="G31" s="28"/>
      <c r="H31" s="10"/>
      <c r="I31" s="12" t="str">
        <f aca="false">IF(OR(A31="",B31=""),"",IF(G31&lt;&gt;"","Approved",IF(E31&lt;&gt;"","Awaiting finance",IF(C31&lt;&gt;"","Awaiting manager","Awaiting rep"))))</f>
        <v/>
      </c>
      <c r="J31" s="30" t="str">
        <f aca="false">IF(OR(A31="",B31=""),"",IFERROR(INDEX(Calculation!$C$6:$N$140,(MATCH(B31,Settings!$C$13:$C$27,0)-1)*9+7,MATCH(A31,Settings!$N$13:$N$24,0)),""))</f>
        <v/>
      </c>
      <c r="K31" s="55" t="str">
        <f aca="false">IF(OR(A31="",B31=""),"",A31&amp;"|"&amp;B31)</f>
        <v/>
      </c>
    </row>
    <row r="32" customFormat="false" ht="15" hidden="false" customHeight="false" outlineLevel="0" collapsed="false">
      <c r="A32" s="10"/>
      <c r="B32" s="10"/>
      <c r="C32" s="28"/>
      <c r="D32" s="10"/>
      <c r="E32" s="28"/>
      <c r="F32" s="10"/>
      <c r="G32" s="28"/>
      <c r="H32" s="10"/>
      <c r="I32" s="12" t="str">
        <f aca="false">IF(OR(A32="",B32=""),"",IF(G32&lt;&gt;"","Approved",IF(E32&lt;&gt;"","Awaiting finance",IF(C32&lt;&gt;"","Awaiting manager","Awaiting rep"))))</f>
        <v/>
      </c>
      <c r="J32" s="30" t="str">
        <f aca="false">IF(OR(A32="",B32=""),"",IFERROR(INDEX(Calculation!$C$6:$N$140,(MATCH(B32,Settings!$C$13:$C$27,0)-1)*9+7,MATCH(A32,Settings!$N$13:$N$24,0)),""))</f>
        <v/>
      </c>
      <c r="K32" s="55" t="str">
        <f aca="false">IF(OR(A32="",B32=""),"",A32&amp;"|"&amp;B32)</f>
        <v/>
      </c>
    </row>
    <row r="33" customFormat="false" ht="15" hidden="false" customHeight="false" outlineLevel="0" collapsed="false">
      <c r="A33" s="10"/>
      <c r="B33" s="10"/>
      <c r="C33" s="28"/>
      <c r="D33" s="10"/>
      <c r="E33" s="28"/>
      <c r="F33" s="10"/>
      <c r="G33" s="28"/>
      <c r="H33" s="10"/>
      <c r="I33" s="12" t="str">
        <f aca="false">IF(OR(A33="",B33=""),"",IF(G33&lt;&gt;"","Approved",IF(E33&lt;&gt;"","Awaiting finance",IF(C33&lt;&gt;"","Awaiting manager","Awaiting rep"))))</f>
        <v/>
      </c>
      <c r="J33" s="30" t="str">
        <f aca="false">IF(OR(A33="",B33=""),"",IFERROR(INDEX(Calculation!$C$6:$N$140,(MATCH(B33,Settings!$C$13:$C$27,0)-1)*9+7,MATCH(A33,Settings!$N$13:$N$24,0)),""))</f>
        <v/>
      </c>
      <c r="K33" s="55" t="str">
        <f aca="false">IF(OR(A33="",B33=""),"",A33&amp;"|"&amp;B33)</f>
        <v/>
      </c>
    </row>
    <row r="34" customFormat="false" ht="15" hidden="false" customHeight="false" outlineLevel="0" collapsed="false">
      <c r="A34" s="10"/>
      <c r="B34" s="10"/>
      <c r="C34" s="28"/>
      <c r="D34" s="10"/>
      <c r="E34" s="28"/>
      <c r="F34" s="10"/>
      <c r="G34" s="28"/>
      <c r="H34" s="10"/>
      <c r="I34" s="12" t="str">
        <f aca="false">IF(OR(A34="",B34=""),"",IF(G34&lt;&gt;"","Approved",IF(E34&lt;&gt;"","Awaiting finance",IF(C34&lt;&gt;"","Awaiting manager","Awaiting rep"))))</f>
        <v/>
      </c>
      <c r="J34" s="30" t="str">
        <f aca="false">IF(OR(A34="",B34=""),"",IFERROR(INDEX(Calculation!$C$6:$N$140,(MATCH(B34,Settings!$C$13:$C$27,0)-1)*9+7,MATCH(A34,Settings!$N$13:$N$24,0)),""))</f>
        <v/>
      </c>
      <c r="K34" s="55" t="str">
        <f aca="false">IF(OR(A34="",B34=""),"",A34&amp;"|"&amp;B34)</f>
        <v/>
      </c>
    </row>
    <row r="35" customFormat="false" ht="15" hidden="false" customHeight="false" outlineLevel="0" collapsed="false">
      <c r="A35" s="10"/>
      <c r="B35" s="10"/>
      <c r="C35" s="28"/>
      <c r="D35" s="10"/>
      <c r="E35" s="28"/>
      <c r="F35" s="10"/>
      <c r="G35" s="28"/>
      <c r="H35" s="10"/>
      <c r="I35" s="12" t="str">
        <f aca="false">IF(OR(A35="",B35=""),"",IF(G35&lt;&gt;"","Approved",IF(E35&lt;&gt;"","Awaiting finance",IF(C35&lt;&gt;"","Awaiting manager","Awaiting rep"))))</f>
        <v/>
      </c>
      <c r="J35" s="30" t="str">
        <f aca="false">IF(OR(A35="",B35=""),"",IFERROR(INDEX(Calculation!$C$6:$N$140,(MATCH(B35,Settings!$C$13:$C$27,0)-1)*9+7,MATCH(A35,Settings!$N$13:$N$24,0)),""))</f>
        <v/>
      </c>
      <c r="K35" s="55" t="str">
        <f aca="false">IF(OR(A35="",B35=""),"",A35&amp;"|"&amp;B35)</f>
        <v/>
      </c>
    </row>
    <row r="36" customFormat="false" ht="15" hidden="false" customHeight="false" outlineLevel="0" collapsed="false">
      <c r="A36" s="10"/>
      <c r="B36" s="10"/>
      <c r="C36" s="28"/>
      <c r="D36" s="10"/>
      <c r="E36" s="28"/>
      <c r="F36" s="10"/>
      <c r="G36" s="28"/>
      <c r="H36" s="10"/>
      <c r="I36" s="12" t="str">
        <f aca="false">IF(OR(A36="",B36=""),"",IF(G36&lt;&gt;"","Approved",IF(E36&lt;&gt;"","Awaiting finance",IF(C36&lt;&gt;"","Awaiting manager","Awaiting rep"))))</f>
        <v/>
      </c>
      <c r="J36" s="30" t="str">
        <f aca="false">IF(OR(A36="",B36=""),"",IFERROR(INDEX(Calculation!$C$6:$N$140,(MATCH(B36,Settings!$C$13:$C$27,0)-1)*9+7,MATCH(A36,Settings!$N$13:$N$24,0)),""))</f>
        <v/>
      </c>
      <c r="K36" s="55" t="str">
        <f aca="false">IF(OR(A36="",B36=""),"",A36&amp;"|"&amp;B36)</f>
        <v/>
      </c>
    </row>
    <row r="37" customFormat="false" ht="15" hidden="false" customHeight="false" outlineLevel="0" collapsed="false">
      <c r="A37" s="10"/>
      <c r="B37" s="10"/>
      <c r="C37" s="28"/>
      <c r="D37" s="10"/>
      <c r="E37" s="28"/>
      <c r="F37" s="10"/>
      <c r="G37" s="28"/>
      <c r="H37" s="10"/>
      <c r="I37" s="12" t="str">
        <f aca="false">IF(OR(A37="",B37=""),"",IF(G37&lt;&gt;"","Approved",IF(E37&lt;&gt;"","Awaiting finance",IF(C37&lt;&gt;"","Awaiting manager","Awaiting rep"))))</f>
        <v/>
      </c>
      <c r="J37" s="30" t="str">
        <f aca="false">IF(OR(A37="",B37=""),"",IFERROR(INDEX(Calculation!$C$6:$N$140,(MATCH(B37,Settings!$C$13:$C$27,0)-1)*9+7,MATCH(A37,Settings!$N$13:$N$24,0)),""))</f>
        <v/>
      </c>
      <c r="K37" s="55" t="str">
        <f aca="false">IF(OR(A37="",B37=""),"",A37&amp;"|"&amp;B37)</f>
        <v/>
      </c>
    </row>
    <row r="38" customFormat="false" ht="15" hidden="false" customHeight="false" outlineLevel="0" collapsed="false">
      <c r="A38" s="10"/>
      <c r="B38" s="10"/>
      <c r="C38" s="28"/>
      <c r="D38" s="10"/>
      <c r="E38" s="28"/>
      <c r="F38" s="10"/>
      <c r="G38" s="28"/>
      <c r="H38" s="10"/>
      <c r="I38" s="12" t="str">
        <f aca="false">IF(OR(A38="",B38=""),"",IF(G38&lt;&gt;"","Approved",IF(E38&lt;&gt;"","Awaiting finance",IF(C38&lt;&gt;"","Awaiting manager","Awaiting rep"))))</f>
        <v/>
      </c>
      <c r="J38" s="30" t="str">
        <f aca="false">IF(OR(A38="",B38=""),"",IFERROR(INDEX(Calculation!$C$6:$N$140,(MATCH(B38,Settings!$C$13:$C$27,0)-1)*9+7,MATCH(A38,Settings!$N$13:$N$24,0)),""))</f>
        <v/>
      </c>
      <c r="K38" s="55" t="str">
        <f aca="false">IF(OR(A38="",B38=""),"",A38&amp;"|"&amp;B38)</f>
        <v/>
      </c>
    </row>
    <row r="39" customFormat="false" ht="15" hidden="false" customHeight="false" outlineLevel="0" collapsed="false">
      <c r="A39" s="10"/>
      <c r="B39" s="10"/>
      <c r="C39" s="28"/>
      <c r="D39" s="10"/>
      <c r="E39" s="28"/>
      <c r="F39" s="10"/>
      <c r="G39" s="28"/>
      <c r="H39" s="10"/>
      <c r="I39" s="12" t="str">
        <f aca="false">IF(OR(A39="",B39=""),"",IF(G39&lt;&gt;"","Approved",IF(E39&lt;&gt;"","Awaiting finance",IF(C39&lt;&gt;"","Awaiting manager","Awaiting rep"))))</f>
        <v/>
      </c>
      <c r="J39" s="30" t="str">
        <f aca="false">IF(OR(A39="",B39=""),"",IFERROR(INDEX(Calculation!$C$6:$N$140,(MATCH(B39,Settings!$C$13:$C$27,0)-1)*9+7,MATCH(A39,Settings!$N$13:$N$24,0)),""))</f>
        <v/>
      </c>
      <c r="K39" s="55" t="str">
        <f aca="false">IF(OR(A39="",B39=""),"",A39&amp;"|"&amp;B39)</f>
        <v/>
      </c>
    </row>
    <row r="40" customFormat="false" ht="15" hidden="false" customHeight="false" outlineLevel="0" collapsed="false">
      <c r="A40" s="10"/>
      <c r="B40" s="10"/>
      <c r="C40" s="28"/>
      <c r="D40" s="10"/>
      <c r="E40" s="28"/>
      <c r="F40" s="10"/>
      <c r="G40" s="28"/>
      <c r="H40" s="10"/>
      <c r="I40" s="12" t="str">
        <f aca="false">IF(OR(A40="",B40=""),"",IF(G40&lt;&gt;"","Approved",IF(E40&lt;&gt;"","Awaiting finance",IF(C40&lt;&gt;"","Awaiting manager","Awaiting rep"))))</f>
        <v/>
      </c>
      <c r="J40" s="30" t="str">
        <f aca="false">IF(OR(A40="",B40=""),"",IFERROR(INDEX(Calculation!$C$6:$N$140,(MATCH(B40,Settings!$C$13:$C$27,0)-1)*9+7,MATCH(A40,Settings!$N$13:$N$24,0)),""))</f>
        <v/>
      </c>
      <c r="K40" s="55" t="str">
        <f aca="false">IF(OR(A40="",B40=""),"",A40&amp;"|"&amp;B40)</f>
        <v/>
      </c>
    </row>
    <row r="41" customFormat="false" ht="15" hidden="false" customHeight="false" outlineLevel="0" collapsed="false">
      <c r="A41" s="10"/>
      <c r="B41" s="10"/>
      <c r="C41" s="28"/>
      <c r="D41" s="10"/>
      <c r="E41" s="28"/>
      <c r="F41" s="10"/>
      <c r="G41" s="28"/>
      <c r="H41" s="10"/>
      <c r="I41" s="12" t="str">
        <f aca="false">IF(OR(A41="",B41=""),"",IF(G41&lt;&gt;"","Approved",IF(E41&lt;&gt;"","Awaiting finance",IF(C41&lt;&gt;"","Awaiting manager","Awaiting rep"))))</f>
        <v/>
      </c>
      <c r="J41" s="30" t="str">
        <f aca="false">IF(OR(A41="",B41=""),"",IFERROR(INDEX(Calculation!$C$6:$N$140,(MATCH(B41,Settings!$C$13:$C$27,0)-1)*9+7,MATCH(A41,Settings!$N$13:$N$24,0)),""))</f>
        <v/>
      </c>
      <c r="K41" s="55" t="str">
        <f aca="false">IF(OR(A41="",B41=""),"",A41&amp;"|"&amp;B41)</f>
        <v/>
      </c>
    </row>
    <row r="42" customFormat="false" ht="15" hidden="false" customHeight="false" outlineLevel="0" collapsed="false">
      <c r="A42" s="10"/>
      <c r="B42" s="10"/>
      <c r="C42" s="28"/>
      <c r="D42" s="10"/>
      <c r="E42" s="28"/>
      <c r="F42" s="10"/>
      <c r="G42" s="28"/>
      <c r="H42" s="10"/>
      <c r="I42" s="12" t="str">
        <f aca="false">IF(OR(A42="",B42=""),"",IF(G42&lt;&gt;"","Approved",IF(E42&lt;&gt;"","Awaiting finance",IF(C42&lt;&gt;"","Awaiting manager","Awaiting rep"))))</f>
        <v/>
      </c>
      <c r="J42" s="30" t="str">
        <f aca="false">IF(OR(A42="",B42=""),"",IFERROR(INDEX(Calculation!$C$6:$N$140,(MATCH(B42,Settings!$C$13:$C$27,0)-1)*9+7,MATCH(A42,Settings!$N$13:$N$24,0)),""))</f>
        <v/>
      </c>
      <c r="K42" s="55" t="str">
        <f aca="false">IF(OR(A42="",B42=""),"",A42&amp;"|"&amp;B42)</f>
        <v/>
      </c>
    </row>
    <row r="43" customFormat="false" ht="15" hidden="false" customHeight="false" outlineLevel="0" collapsed="false">
      <c r="A43" s="10"/>
      <c r="B43" s="10"/>
      <c r="C43" s="28"/>
      <c r="D43" s="10"/>
      <c r="E43" s="28"/>
      <c r="F43" s="10"/>
      <c r="G43" s="28"/>
      <c r="H43" s="10"/>
      <c r="I43" s="12" t="str">
        <f aca="false">IF(OR(A43="",B43=""),"",IF(G43&lt;&gt;"","Approved",IF(E43&lt;&gt;"","Awaiting finance",IF(C43&lt;&gt;"","Awaiting manager","Awaiting rep"))))</f>
        <v/>
      </c>
      <c r="J43" s="30" t="str">
        <f aca="false">IF(OR(A43="",B43=""),"",IFERROR(INDEX(Calculation!$C$6:$N$140,(MATCH(B43,Settings!$C$13:$C$27,0)-1)*9+7,MATCH(A43,Settings!$N$13:$N$24,0)),""))</f>
        <v/>
      </c>
      <c r="K43" s="55" t="str">
        <f aca="false">IF(OR(A43="",B43=""),"",A43&amp;"|"&amp;B43)</f>
        <v/>
      </c>
    </row>
    <row r="44" customFormat="false" ht="15" hidden="false" customHeight="false" outlineLevel="0" collapsed="false">
      <c r="A44" s="10"/>
      <c r="B44" s="10"/>
      <c r="C44" s="28"/>
      <c r="D44" s="10"/>
      <c r="E44" s="28"/>
      <c r="F44" s="10"/>
      <c r="G44" s="28"/>
      <c r="H44" s="10"/>
      <c r="I44" s="12" t="str">
        <f aca="false">IF(OR(A44="",B44=""),"",IF(G44&lt;&gt;"","Approved",IF(E44&lt;&gt;"","Awaiting finance",IF(C44&lt;&gt;"","Awaiting manager","Awaiting rep"))))</f>
        <v/>
      </c>
      <c r="J44" s="30" t="str">
        <f aca="false">IF(OR(A44="",B44=""),"",IFERROR(INDEX(Calculation!$C$6:$N$140,(MATCH(B44,Settings!$C$13:$C$27,0)-1)*9+7,MATCH(A44,Settings!$N$13:$N$24,0)),""))</f>
        <v/>
      </c>
      <c r="K44" s="55" t="str">
        <f aca="false">IF(OR(A44="",B44=""),"",A44&amp;"|"&amp;B44)</f>
        <v/>
      </c>
    </row>
    <row r="45" customFormat="false" ht="15" hidden="false" customHeight="false" outlineLevel="0" collapsed="false">
      <c r="A45" s="10"/>
      <c r="B45" s="10"/>
      <c r="C45" s="28"/>
      <c r="D45" s="10"/>
      <c r="E45" s="28"/>
      <c r="F45" s="10"/>
      <c r="G45" s="28"/>
      <c r="H45" s="10"/>
      <c r="I45" s="12" t="str">
        <f aca="false">IF(OR(A45="",B45=""),"",IF(G45&lt;&gt;"","Approved",IF(E45&lt;&gt;"","Awaiting finance",IF(C45&lt;&gt;"","Awaiting manager","Awaiting rep"))))</f>
        <v/>
      </c>
      <c r="J45" s="30" t="str">
        <f aca="false">IF(OR(A45="",B45=""),"",IFERROR(INDEX(Calculation!$C$6:$N$140,(MATCH(B45,Settings!$C$13:$C$27,0)-1)*9+7,MATCH(A45,Settings!$N$13:$N$24,0)),""))</f>
        <v/>
      </c>
      <c r="K45" s="55" t="str">
        <f aca="false">IF(OR(A45="",B45=""),"",A45&amp;"|"&amp;B45)</f>
        <v/>
      </c>
    </row>
    <row r="46" customFormat="false" ht="15" hidden="false" customHeight="false" outlineLevel="0" collapsed="false">
      <c r="A46" s="10"/>
      <c r="B46" s="10"/>
      <c r="C46" s="28"/>
      <c r="D46" s="10"/>
      <c r="E46" s="28"/>
      <c r="F46" s="10"/>
      <c r="G46" s="28"/>
      <c r="H46" s="10"/>
      <c r="I46" s="12" t="str">
        <f aca="false">IF(OR(A46="",B46=""),"",IF(G46&lt;&gt;"","Approved",IF(E46&lt;&gt;"","Awaiting finance",IF(C46&lt;&gt;"","Awaiting manager","Awaiting rep"))))</f>
        <v/>
      </c>
      <c r="J46" s="30" t="str">
        <f aca="false">IF(OR(A46="",B46=""),"",IFERROR(INDEX(Calculation!$C$6:$N$140,(MATCH(B46,Settings!$C$13:$C$27,0)-1)*9+7,MATCH(A46,Settings!$N$13:$N$24,0)),""))</f>
        <v/>
      </c>
      <c r="K46" s="55" t="str">
        <f aca="false">IF(OR(A46="",B46=""),"",A46&amp;"|"&amp;B46)</f>
        <v/>
      </c>
    </row>
    <row r="47" customFormat="false" ht="15" hidden="false" customHeight="false" outlineLevel="0" collapsed="false">
      <c r="A47" s="10"/>
      <c r="B47" s="10"/>
      <c r="C47" s="28"/>
      <c r="D47" s="10"/>
      <c r="E47" s="28"/>
      <c r="F47" s="10"/>
      <c r="G47" s="28"/>
      <c r="H47" s="10"/>
      <c r="I47" s="12" t="str">
        <f aca="false">IF(OR(A47="",B47=""),"",IF(G47&lt;&gt;"","Approved",IF(E47&lt;&gt;"","Awaiting finance",IF(C47&lt;&gt;"","Awaiting manager","Awaiting rep"))))</f>
        <v/>
      </c>
      <c r="J47" s="30" t="str">
        <f aca="false">IF(OR(A47="",B47=""),"",IFERROR(INDEX(Calculation!$C$6:$N$140,(MATCH(B47,Settings!$C$13:$C$27,0)-1)*9+7,MATCH(A47,Settings!$N$13:$N$24,0)),""))</f>
        <v/>
      </c>
      <c r="K47" s="55" t="str">
        <f aca="false">IF(OR(A47="",B47=""),"",A47&amp;"|"&amp;B47)</f>
        <v/>
      </c>
    </row>
    <row r="48" customFormat="false" ht="15" hidden="false" customHeight="false" outlineLevel="0" collapsed="false">
      <c r="A48" s="10"/>
      <c r="B48" s="10"/>
      <c r="C48" s="28"/>
      <c r="D48" s="10"/>
      <c r="E48" s="28"/>
      <c r="F48" s="10"/>
      <c r="G48" s="28"/>
      <c r="H48" s="10"/>
      <c r="I48" s="12" t="str">
        <f aca="false">IF(OR(A48="",B48=""),"",IF(G48&lt;&gt;"","Approved",IF(E48&lt;&gt;"","Awaiting finance",IF(C48&lt;&gt;"","Awaiting manager","Awaiting rep"))))</f>
        <v/>
      </c>
      <c r="J48" s="30" t="str">
        <f aca="false">IF(OR(A48="",B48=""),"",IFERROR(INDEX(Calculation!$C$6:$N$140,(MATCH(B48,Settings!$C$13:$C$27,0)-1)*9+7,MATCH(A48,Settings!$N$13:$N$24,0)),""))</f>
        <v/>
      </c>
      <c r="K48" s="55" t="str">
        <f aca="false">IF(OR(A48="",B48=""),"",A48&amp;"|"&amp;B48)</f>
        <v/>
      </c>
    </row>
    <row r="49" customFormat="false" ht="15" hidden="false" customHeight="false" outlineLevel="0" collapsed="false">
      <c r="A49" s="10"/>
      <c r="B49" s="10"/>
      <c r="C49" s="28"/>
      <c r="D49" s="10"/>
      <c r="E49" s="28"/>
      <c r="F49" s="10"/>
      <c r="G49" s="28"/>
      <c r="H49" s="10"/>
      <c r="I49" s="12" t="str">
        <f aca="false">IF(OR(A49="",B49=""),"",IF(G49&lt;&gt;"","Approved",IF(E49&lt;&gt;"","Awaiting finance",IF(C49&lt;&gt;"","Awaiting manager","Awaiting rep"))))</f>
        <v/>
      </c>
      <c r="J49" s="30" t="str">
        <f aca="false">IF(OR(A49="",B49=""),"",IFERROR(INDEX(Calculation!$C$6:$N$140,(MATCH(B49,Settings!$C$13:$C$27,0)-1)*9+7,MATCH(A49,Settings!$N$13:$N$24,0)),""))</f>
        <v/>
      </c>
      <c r="K49" s="55" t="str">
        <f aca="false">IF(OR(A49="",B49=""),"",A49&amp;"|"&amp;B49)</f>
        <v/>
      </c>
    </row>
    <row r="50" customFormat="false" ht="15" hidden="false" customHeight="false" outlineLevel="0" collapsed="false">
      <c r="A50" s="10"/>
      <c r="B50" s="10"/>
      <c r="C50" s="28"/>
      <c r="D50" s="10"/>
      <c r="E50" s="28"/>
      <c r="F50" s="10"/>
      <c r="G50" s="28"/>
      <c r="H50" s="10"/>
      <c r="I50" s="12" t="str">
        <f aca="false">IF(OR(A50="",B50=""),"",IF(G50&lt;&gt;"","Approved",IF(E50&lt;&gt;"","Awaiting finance",IF(C50&lt;&gt;"","Awaiting manager","Awaiting rep"))))</f>
        <v/>
      </c>
      <c r="J50" s="30" t="str">
        <f aca="false">IF(OR(A50="",B50=""),"",IFERROR(INDEX(Calculation!$C$6:$N$140,(MATCH(B50,Settings!$C$13:$C$27,0)-1)*9+7,MATCH(A50,Settings!$N$13:$N$24,0)),""))</f>
        <v/>
      </c>
      <c r="K50" s="55" t="str">
        <f aca="false">IF(OR(A50="",B50=""),"",A50&amp;"|"&amp;B50)</f>
        <v/>
      </c>
    </row>
    <row r="51" customFormat="false" ht="15" hidden="false" customHeight="false" outlineLevel="0" collapsed="false">
      <c r="A51" s="10"/>
      <c r="B51" s="10"/>
      <c r="C51" s="28"/>
      <c r="D51" s="10"/>
      <c r="E51" s="28"/>
      <c r="F51" s="10"/>
      <c r="G51" s="28"/>
      <c r="H51" s="10"/>
      <c r="I51" s="12" t="str">
        <f aca="false">IF(OR(A51="",B51=""),"",IF(G51&lt;&gt;"","Approved",IF(E51&lt;&gt;"","Awaiting finance",IF(C51&lt;&gt;"","Awaiting manager","Awaiting rep"))))</f>
        <v/>
      </c>
      <c r="J51" s="30" t="str">
        <f aca="false">IF(OR(A51="",B51=""),"",IFERROR(INDEX(Calculation!$C$6:$N$140,(MATCH(B51,Settings!$C$13:$C$27,0)-1)*9+7,MATCH(A51,Settings!$N$13:$N$24,0)),""))</f>
        <v/>
      </c>
      <c r="K51" s="55" t="str">
        <f aca="false">IF(OR(A51="",B51=""),"",A51&amp;"|"&amp;B51)</f>
        <v/>
      </c>
    </row>
    <row r="52" customFormat="false" ht="15" hidden="false" customHeight="false" outlineLevel="0" collapsed="false">
      <c r="A52" s="10"/>
      <c r="B52" s="10"/>
      <c r="C52" s="28"/>
      <c r="D52" s="10"/>
      <c r="E52" s="28"/>
      <c r="F52" s="10"/>
      <c r="G52" s="28"/>
      <c r="H52" s="10"/>
      <c r="I52" s="12" t="str">
        <f aca="false">IF(OR(A52="",B52=""),"",IF(G52&lt;&gt;"","Approved",IF(E52&lt;&gt;"","Awaiting finance",IF(C52&lt;&gt;"","Awaiting manager","Awaiting rep"))))</f>
        <v/>
      </c>
      <c r="J52" s="30" t="str">
        <f aca="false">IF(OR(A52="",B52=""),"",IFERROR(INDEX(Calculation!$C$6:$N$140,(MATCH(B52,Settings!$C$13:$C$27,0)-1)*9+7,MATCH(A52,Settings!$N$13:$N$24,0)),""))</f>
        <v/>
      </c>
      <c r="K52" s="55" t="str">
        <f aca="false">IF(OR(A52="",B52=""),"",A52&amp;"|"&amp;B52)</f>
        <v/>
      </c>
    </row>
    <row r="53" customFormat="false" ht="15" hidden="false" customHeight="false" outlineLevel="0" collapsed="false">
      <c r="A53" s="10"/>
      <c r="B53" s="10"/>
      <c r="C53" s="28"/>
      <c r="D53" s="10"/>
      <c r="E53" s="28"/>
      <c r="F53" s="10"/>
      <c r="G53" s="28"/>
      <c r="H53" s="10"/>
      <c r="I53" s="12" t="str">
        <f aca="false">IF(OR(A53="",B53=""),"",IF(G53&lt;&gt;"","Approved",IF(E53&lt;&gt;"","Awaiting finance",IF(C53&lt;&gt;"","Awaiting manager","Awaiting rep"))))</f>
        <v/>
      </c>
      <c r="J53" s="30" t="str">
        <f aca="false">IF(OR(A53="",B53=""),"",IFERROR(INDEX(Calculation!$C$6:$N$140,(MATCH(B53,Settings!$C$13:$C$27,0)-1)*9+7,MATCH(A53,Settings!$N$13:$N$24,0)),""))</f>
        <v/>
      </c>
      <c r="K53" s="55" t="str">
        <f aca="false">IF(OR(A53="",B53=""),"",A53&amp;"|"&amp;B53)</f>
        <v/>
      </c>
    </row>
    <row r="54" customFormat="false" ht="15" hidden="false" customHeight="false" outlineLevel="0" collapsed="false">
      <c r="A54" s="10"/>
      <c r="B54" s="10"/>
      <c r="C54" s="28"/>
      <c r="D54" s="10"/>
      <c r="E54" s="28"/>
      <c r="F54" s="10"/>
      <c r="G54" s="28"/>
      <c r="H54" s="10"/>
      <c r="I54" s="12" t="str">
        <f aca="false">IF(OR(A54="",B54=""),"",IF(G54&lt;&gt;"","Approved",IF(E54&lt;&gt;"","Awaiting finance",IF(C54&lt;&gt;"","Awaiting manager","Awaiting rep"))))</f>
        <v/>
      </c>
      <c r="J54" s="30" t="str">
        <f aca="false">IF(OR(A54="",B54=""),"",IFERROR(INDEX(Calculation!$C$6:$N$140,(MATCH(B54,Settings!$C$13:$C$27,0)-1)*9+7,MATCH(A54,Settings!$N$13:$N$24,0)),""))</f>
        <v/>
      </c>
      <c r="K54" s="55" t="str">
        <f aca="false">IF(OR(A54="",B54=""),"",A54&amp;"|"&amp;B54)</f>
        <v/>
      </c>
    </row>
    <row r="55" customFormat="false" ht="15" hidden="false" customHeight="false" outlineLevel="0" collapsed="false">
      <c r="A55" s="10"/>
      <c r="B55" s="10"/>
      <c r="C55" s="28"/>
      <c r="D55" s="10"/>
      <c r="E55" s="28"/>
      <c r="F55" s="10"/>
      <c r="G55" s="28"/>
      <c r="H55" s="10"/>
      <c r="I55" s="12" t="str">
        <f aca="false">IF(OR(A55="",B55=""),"",IF(G55&lt;&gt;"","Approved",IF(E55&lt;&gt;"","Awaiting finance",IF(C55&lt;&gt;"","Awaiting manager","Awaiting rep"))))</f>
        <v/>
      </c>
      <c r="J55" s="30" t="str">
        <f aca="false">IF(OR(A55="",B55=""),"",IFERROR(INDEX(Calculation!$C$6:$N$140,(MATCH(B55,Settings!$C$13:$C$27,0)-1)*9+7,MATCH(A55,Settings!$N$13:$N$24,0)),""))</f>
        <v/>
      </c>
      <c r="K55" s="55" t="str">
        <f aca="false">IF(OR(A55="",B55=""),"",A55&amp;"|"&amp;B55)</f>
        <v/>
      </c>
    </row>
    <row r="56" customFormat="false" ht="15" hidden="false" customHeight="false" outlineLevel="0" collapsed="false">
      <c r="A56" s="10"/>
      <c r="B56" s="10"/>
      <c r="C56" s="28"/>
      <c r="D56" s="10"/>
      <c r="E56" s="28"/>
      <c r="F56" s="10"/>
      <c r="G56" s="28"/>
      <c r="H56" s="10"/>
      <c r="I56" s="12" t="str">
        <f aca="false">IF(OR(A56="",B56=""),"",IF(G56&lt;&gt;"","Approved",IF(E56&lt;&gt;"","Awaiting finance",IF(C56&lt;&gt;"","Awaiting manager","Awaiting rep"))))</f>
        <v/>
      </c>
      <c r="J56" s="30" t="str">
        <f aca="false">IF(OR(A56="",B56=""),"",IFERROR(INDEX(Calculation!$C$6:$N$140,(MATCH(B56,Settings!$C$13:$C$27,0)-1)*9+7,MATCH(A56,Settings!$N$13:$N$24,0)),""))</f>
        <v/>
      </c>
      <c r="K56" s="55" t="str">
        <f aca="false">IF(OR(A56="",B56=""),"",A56&amp;"|"&amp;B56)</f>
        <v/>
      </c>
    </row>
    <row r="57" customFormat="false" ht="15" hidden="false" customHeight="false" outlineLevel="0" collapsed="false">
      <c r="A57" s="10"/>
      <c r="B57" s="10"/>
      <c r="C57" s="28"/>
      <c r="D57" s="10"/>
      <c r="E57" s="28"/>
      <c r="F57" s="10"/>
      <c r="G57" s="28"/>
      <c r="H57" s="10"/>
      <c r="I57" s="12" t="str">
        <f aca="false">IF(OR(A57="",B57=""),"",IF(G57&lt;&gt;"","Approved",IF(E57&lt;&gt;"","Awaiting finance",IF(C57&lt;&gt;"","Awaiting manager","Awaiting rep"))))</f>
        <v/>
      </c>
      <c r="J57" s="30" t="str">
        <f aca="false">IF(OR(A57="",B57=""),"",IFERROR(INDEX(Calculation!$C$6:$N$140,(MATCH(B57,Settings!$C$13:$C$27,0)-1)*9+7,MATCH(A57,Settings!$N$13:$N$24,0)),""))</f>
        <v/>
      </c>
      <c r="K57" s="55" t="str">
        <f aca="false">IF(OR(A57="",B57=""),"",A57&amp;"|"&amp;B57)</f>
        <v/>
      </c>
    </row>
    <row r="58" customFormat="false" ht="15" hidden="false" customHeight="false" outlineLevel="0" collapsed="false">
      <c r="A58" s="10"/>
      <c r="B58" s="10"/>
      <c r="C58" s="28"/>
      <c r="D58" s="10"/>
      <c r="E58" s="28"/>
      <c r="F58" s="10"/>
      <c r="G58" s="28"/>
      <c r="H58" s="10"/>
      <c r="I58" s="12" t="str">
        <f aca="false">IF(OR(A58="",B58=""),"",IF(G58&lt;&gt;"","Approved",IF(E58&lt;&gt;"","Awaiting finance",IF(C58&lt;&gt;"","Awaiting manager","Awaiting rep"))))</f>
        <v/>
      </c>
      <c r="J58" s="30" t="str">
        <f aca="false">IF(OR(A58="",B58=""),"",IFERROR(INDEX(Calculation!$C$6:$N$140,(MATCH(B58,Settings!$C$13:$C$27,0)-1)*9+7,MATCH(A58,Settings!$N$13:$N$24,0)),""))</f>
        <v/>
      </c>
      <c r="K58" s="55" t="str">
        <f aca="false">IF(OR(A58="",B58=""),"",A58&amp;"|"&amp;B58)</f>
        <v/>
      </c>
    </row>
    <row r="59" customFormat="false" ht="15" hidden="false" customHeight="false" outlineLevel="0" collapsed="false">
      <c r="A59" s="10"/>
      <c r="B59" s="10"/>
      <c r="C59" s="28"/>
      <c r="D59" s="10"/>
      <c r="E59" s="28"/>
      <c r="F59" s="10"/>
      <c r="G59" s="28"/>
      <c r="H59" s="10"/>
      <c r="I59" s="12" t="str">
        <f aca="false">IF(OR(A59="",B59=""),"",IF(G59&lt;&gt;"","Approved",IF(E59&lt;&gt;"","Awaiting finance",IF(C59&lt;&gt;"","Awaiting manager","Awaiting rep"))))</f>
        <v/>
      </c>
      <c r="J59" s="30" t="str">
        <f aca="false">IF(OR(A59="",B59=""),"",IFERROR(INDEX(Calculation!$C$6:$N$140,(MATCH(B59,Settings!$C$13:$C$27,0)-1)*9+7,MATCH(A59,Settings!$N$13:$N$24,0)),""))</f>
        <v/>
      </c>
      <c r="K59" s="55" t="str">
        <f aca="false">IF(OR(A59="",B59=""),"",A59&amp;"|"&amp;B59)</f>
        <v/>
      </c>
    </row>
    <row r="60" customFormat="false" ht="15" hidden="false" customHeight="false" outlineLevel="0" collapsed="false">
      <c r="A60" s="10"/>
      <c r="B60" s="10"/>
      <c r="C60" s="28"/>
      <c r="D60" s="10"/>
      <c r="E60" s="28"/>
      <c r="F60" s="10"/>
      <c r="G60" s="28"/>
      <c r="H60" s="10"/>
      <c r="I60" s="12" t="str">
        <f aca="false">IF(OR(A60="",B60=""),"",IF(G60&lt;&gt;"","Approved",IF(E60&lt;&gt;"","Awaiting finance",IF(C60&lt;&gt;"","Awaiting manager","Awaiting rep"))))</f>
        <v/>
      </c>
      <c r="J60" s="30" t="str">
        <f aca="false">IF(OR(A60="",B60=""),"",IFERROR(INDEX(Calculation!$C$6:$N$140,(MATCH(B60,Settings!$C$13:$C$27,0)-1)*9+7,MATCH(A60,Settings!$N$13:$N$24,0)),""))</f>
        <v/>
      </c>
      <c r="K60" s="55" t="str">
        <f aca="false">IF(OR(A60="",B60=""),"",A60&amp;"|"&amp;B60)</f>
        <v/>
      </c>
    </row>
    <row r="61" customFormat="false" ht="15" hidden="false" customHeight="false" outlineLevel="0" collapsed="false">
      <c r="A61" s="10"/>
      <c r="B61" s="10"/>
      <c r="C61" s="28"/>
      <c r="D61" s="10"/>
      <c r="E61" s="28"/>
      <c r="F61" s="10"/>
      <c r="G61" s="28"/>
      <c r="H61" s="10"/>
      <c r="I61" s="12" t="str">
        <f aca="false">IF(OR(A61="",B61=""),"",IF(G61&lt;&gt;"","Approved",IF(E61&lt;&gt;"","Awaiting finance",IF(C61&lt;&gt;"","Awaiting manager","Awaiting rep"))))</f>
        <v/>
      </c>
      <c r="J61" s="30" t="str">
        <f aca="false">IF(OR(A61="",B61=""),"",IFERROR(INDEX(Calculation!$C$6:$N$140,(MATCH(B61,Settings!$C$13:$C$27,0)-1)*9+7,MATCH(A61,Settings!$N$13:$N$24,0)),""))</f>
        <v/>
      </c>
      <c r="K61" s="55" t="str">
        <f aca="false">IF(OR(A61="",B61=""),"",A61&amp;"|"&amp;B61)</f>
        <v/>
      </c>
    </row>
    <row r="62" customFormat="false" ht="15" hidden="false" customHeight="false" outlineLevel="0" collapsed="false">
      <c r="A62" s="10"/>
      <c r="B62" s="10"/>
      <c r="C62" s="28"/>
      <c r="D62" s="10"/>
      <c r="E62" s="28"/>
      <c r="F62" s="10"/>
      <c r="G62" s="28"/>
      <c r="H62" s="10"/>
      <c r="I62" s="12" t="str">
        <f aca="false">IF(OR(A62="",B62=""),"",IF(G62&lt;&gt;"","Approved",IF(E62&lt;&gt;"","Awaiting finance",IF(C62&lt;&gt;"","Awaiting manager","Awaiting rep"))))</f>
        <v/>
      </c>
      <c r="J62" s="30" t="str">
        <f aca="false">IF(OR(A62="",B62=""),"",IFERROR(INDEX(Calculation!$C$6:$N$140,(MATCH(B62,Settings!$C$13:$C$27,0)-1)*9+7,MATCH(A62,Settings!$N$13:$N$24,0)),""))</f>
        <v/>
      </c>
      <c r="K62" s="55" t="str">
        <f aca="false">IF(OR(A62="",B62=""),"",A62&amp;"|"&amp;B62)</f>
        <v/>
      </c>
    </row>
    <row r="63" customFormat="false" ht="15" hidden="false" customHeight="false" outlineLevel="0" collapsed="false">
      <c r="A63" s="10"/>
      <c r="B63" s="10"/>
      <c r="C63" s="28"/>
      <c r="D63" s="10"/>
      <c r="E63" s="28"/>
      <c r="F63" s="10"/>
      <c r="G63" s="28"/>
      <c r="H63" s="10"/>
      <c r="I63" s="12" t="str">
        <f aca="false">IF(OR(A63="",B63=""),"",IF(G63&lt;&gt;"","Approved",IF(E63&lt;&gt;"","Awaiting finance",IF(C63&lt;&gt;"","Awaiting manager","Awaiting rep"))))</f>
        <v/>
      </c>
      <c r="J63" s="30" t="str">
        <f aca="false">IF(OR(A63="",B63=""),"",IFERROR(INDEX(Calculation!$C$6:$N$140,(MATCH(B63,Settings!$C$13:$C$27,0)-1)*9+7,MATCH(A63,Settings!$N$13:$N$24,0)),""))</f>
        <v/>
      </c>
      <c r="K63" s="55" t="str">
        <f aca="false">IF(OR(A63="",B63=""),"",A63&amp;"|"&amp;B63)</f>
        <v/>
      </c>
    </row>
    <row r="64" customFormat="false" ht="15" hidden="false" customHeight="false" outlineLevel="0" collapsed="false">
      <c r="A64" s="10"/>
      <c r="B64" s="10"/>
      <c r="C64" s="28"/>
      <c r="D64" s="10"/>
      <c r="E64" s="28"/>
      <c r="F64" s="10"/>
      <c r="G64" s="28"/>
      <c r="H64" s="10"/>
      <c r="I64" s="12" t="str">
        <f aca="false">IF(OR(A64="",B64=""),"",IF(G64&lt;&gt;"","Approved",IF(E64&lt;&gt;"","Awaiting finance",IF(C64&lt;&gt;"","Awaiting manager","Awaiting rep"))))</f>
        <v/>
      </c>
      <c r="J64" s="30" t="str">
        <f aca="false">IF(OR(A64="",B64=""),"",IFERROR(INDEX(Calculation!$C$6:$N$140,(MATCH(B64,Settings!$C$13:$C$27,0)-1)*9+7,MATCH(A64,Settings!$N$13:$N$24,0)),""))</f>
        <v/>
      </c>
      <c r="K64" s="55" t="str">
        <f aca="false">IF(OR(A64="",B64=""),"",A64&amp;"|"&amp;B64)</f>
        <v/>
      </c>
    </row>
    <row r="65" customFormat="false" ht="15" hidden="false" customHeight="false" outlineLevel="0" collapsed="false">
      <c r="A65" s="10"/>
      <c r="B65" s="10"/>
      <c r="C65" s="28"/>
      <c r="D65" s="10"/>
      <c r="E65" s="28"/>
      <c r="F65" s="10"/>
      <c r="G65" s="28"/>
      <c r="H65" s="10"/>
      <c r="I65" s="12" t="str">
        <f aca="false">IF(OR(A65="",B65=""),"",IF(G65&lt;&gt;"","Approved",IF(E65&lt;&gt;"","Awaiting finance",IF(C65&lt;&gt;"","Awaiting manager","Awaiting rep"))))</f>
        <v/>
      </c>
      <c r="J65" s="30" t="str">
        <f aca="false">IF(OR(A65="",B65=""),"",IFERROR(INDEX(Calculation!$C$6:$N$140,(MATCH(B65,Settings!$C$13:$C$27,0)-1)*9+7,MATCH(A65,Settings!$N$13:$N$24,0)),""))</f>
        <v/>
      </c>
      <c r="K65" s="55" t="str">
        <f aca="false">IF(OR(A65="",B65=""),"",A65&amp;"|"&amp;B65)</f>
        <v/>
      </c>
    </row>
    <row r="66" customFormat="false" ht="15" hidden="false" customHeight="false" outlineLevel="0" collapsed="false">
      <c r="A66" s="10"/>
      <c r="B66" s="10"/>
      <c r="C66" s="28"/>
      <c r="D66" s="10"/>
      <c r="E66" s="28"/>
      <c r="F66" s="10"/>
      <c r="G66" s="28"/>
      <c r="H66" s="10"/>
      <c r="I66" s="12" t="str">
        <f aca="false">IF(OR(A66="",B66=""),"",IF(G66&lt;&gt;"","Approved",IF(E66&lt;&gt;"","Awaiting finance",IF(C66&lt;&gt;"","Awaiting manager","Awaiting rep"))))</f>
        <v/>
      </c>
      <c r="J66" s="30" t="str">
        <f aca="false">IF(OR(A66="",B66=""),"",IFERROR(INDEX(Calculation!$C$6:$N$140,(MATCH(B66,Settings!$C$13:$C$27,0)-1)*9+7,MATCH(A66,Settings!$N$13:$N$24,0)),""))</f>
        <v/>
      </c>
      <c r="K66" s="55" t="str">
        <f aca="false">IF(OR(A66="",B66=""),"",A66&amp;"|"&amp;B66)</f>
        <v/>
      </c>
    </row>
    <row r="67" customFormat="false" ht="15" hidden="false" customHeight="false" outlineLevel="0" collapsed="false">
      <c r="A67" s="10"/>
      <c r="B67" s="10"/>
      <c r="C67" s="28"/>
      <c r="D67" s="10"/>
      <c r="E67" s="28"/>
      <c r="F67" s="10"/>
      <c r="G67" s="28"/>
      <c r="H67" s="10"/>
      <c r="I67" s="12" t="str">
        <f aca="false">IF(OR(A67="",B67=""),"",IF(G67&lt;&gt;"","Approved",IF(E67&lt;&gt;"","Awaiting finance",IF(C67&lt;&gt;"","Awaiting manager","Awaiting rep"))))</f>
        <v/>
      </c>
      <c r="J67" s="30" t="str">
        <f aca="false">IF(OR(A67="",B67=""),"",IFERROR(INDEX(Calculation!$C$6:$N$140,(MATCH(B67,Settings!$C$13:$C$27,0)-1)*9+7,MATCH(A67,Settings!$N$13:$N$24,0)),""))</f>
        <v/>
      </c>
      <c r="K67" s="55" t="str">
        <f aca="false">IF(OR(A67="",B67=""),"",A67&amp;"|"&amp;B67)</f>
        <v/>
      </c>
    </row>
    <row r="68" customFormat="false" ht="15" hidden="false" customHeight="false" outlineLevel="0" collapsed="false">
      <c r="A68" s="10"/>
      <c r="B68" s="10"/>
      <c r="C68" s="28"/>
      <c r="D68" s="10"/>
      <c r="E68" s="28"/>
      <c r="F68" s="10"/>
      <c r="G68" s="28"/>
      <c r="H68" s="10"/>
      <c r="I68" s="12" t="str">
        <f aca="false">IF(OR(A68="",B68=""),"",IF(G68&lt;&gt;"","Approved",IF(E68&lt;&gt;"","Awaiting finance",IF(C68&lt;&gt;"","Awaiting manager","Awaiting rep"))))</f>
        <v/>
      </c>
      <c r="J68" s="30" t="str">
        <f aca="false">IF(OR(A68="",B68=""),"",IFERROR(INDEX(Calculation!$C$6:$N$140,(MATCH(B68,Settings!$C$13:$C$27,0)-1)*9+7,MATCH(A68,Settings!$N$13:$N$24,0)),""))</f>
        <v/>
      </c>
      <c r="K68" s="55" t="str">
        <f aca="false">IF(OR(A68="",B68=""),"",A68&amp;"|"&amp;B68)</f>
        <v/>
      </c>
    </row>
    <row r="69" customFormat="false" ht="15" hidden="false" customHeight="false" outlineLevel="0" collapsed="false">
      <c r="A69" s="10"/>
      <c r="B69" s="10"/>
      <c r="C69" s="28"/>
      <c r="D69" s="10"/>
      <c r="E69" s="28"/>
      <c r="F69" s="10"/>
      <c r="G69" s="28"/>
      <c r="H69" s="10"/>
      <c r="I69" s="12" t="str">
        <f aca="false">IF(OR(A69="",B69=""),"",IF(G69&lt;&gt;"","Approved",IF(E69&lt;&gt;"","Awaiting finance",IF(C69&lt;&gt;"","Awaiting manager","Awaiting rep"))))</f>
        <v/>
      </c>
      <c r="J69" s="30" t="str">
        <f aca="false">IF(OR(A69="",B69=""),"",IFERROR(INDEX(Calculation!$C$6:$N$140,(MATCH(B69,Settings!$C$13:$C$27,0)-1)*9+7,MATCH(A69,Settings!$N$13:$N$24,0)),""))</f>
        <v/>
      </c>
      <c r="K69" s="55" t="str">
        <f aca="false">IF(OR(A69="",B69=""),"",A69&amp;"|"&amp;B69)</f>
        <v/>
      </c>
    </row>
    <row r="70" customFormat="false" ht="15" hidden="false" customHeight="false" outlineLevel="0" collapsed="false">
      <c r="A70" s="10"/>
      <c r="B70" s="10"/>
      <c r="C70" s="28"/>
      <c r="D70" s="10"/>
      <c r="E70" s="28"/>
      <c r="F70" s="10"/>
      <c r="G70" s="28"/>
      <c r="H70" s="10"/>
      <c r="I70" s="12" t="str">
        <f aca="false">IF(OR(A70="",B70=""),"",IF(G70&lt;&gt;"","Approved",IF(E70&lt;&gt;"","Awaiting finance",IF(C70&lt;&gt;"","Awaiting manager","Awaiting rep"))))</f>
        <v/>
      </c>
      <c r="J70" s="30" t="str">
        <f aca="false">IF(OR(A70="",B70=""),"",IFERROR(INDEX(Calculation!$C$6:$N$140,(MATCH(B70,Settings!$C$13:$C$27,0)-1)*9+7,MATCH(A70,Settings!$N$13:$N$24,0)),""))</f>
        <v/>
      </c>
      <c r="K70" s="55" t="str">
        <f aca="false">IF(OR(A70="",B70=""),"",A70&amp;"|"&amp;B70)</f>
        <v/>
      </c>
    </row>
    <row r="71" customFormat="false" ht="15" hidden="false" customHeight="false" outlineLevel="0" collapsed="false">
      <c r="A71" s="10"/>
      <c r="B71" s="10"/>
      <c r="C71" s="28"/>
      <c r="D71" s="10"/>
      <c r="E71" s="28"/>
      <c r="F71" s="10"/>
      <c r="G71" s="28"/>
      <c r="H71" s="10"/>
      <c r="I71" s="12" t="str">
        <f aca="false">IF(OR(A71="",B71=""),"",IF(G71&lt;&gt;"","Approved",IF(E71&lt;&gt;"","Awaiting finance",IF(C71&lt;&gt;"","Awaiting manager","Awaiting rep"))))</f>
        <v/>
      </c>
      <c r="J71" s="30" t="str">
        <f aca="false">IF(OR(A71="",B71=""),"",IFERROR(INDEX(Calculation!$C$6:$N$140,(MATCH(B71,Settings!$C$13:$C$27,0)-1)*9+7,MATCH(A71,Settings!$N$13:$N$24,0)),""))</f>
        <v/>
      </c>
      <c r="K71" s="55" t="str">
        <f aca="false">IF(OR(A71="",B71=""),"",A71&amp;"|"&amp;B71)</f>
        <v/>
      </c>
    </row>
    <row r="72" customFormat="false" ht="15" hidden="false" customHeight="false" outlineLevel="0" collapsed="false">
      <c r="A72" s="10"/>
      <c r="B72" s="10"/>
      <c r="C72" s="28"/>
      <c r="D72" s="10"/>
      <c r="E72" s="28"/>
      <c r="F72" s="10"/>
      <c r="G72" s="28"/>
      <c r="H72" s="10"/>
      <c r="I72" s="12" t="str">
        <f aca="false">IF(OR(A72="",B72=""),"",IF(G72&lt;&gt;"","Approved",IF(E72&lt;&gt;"","Awaiting finance",IF(C72&lt;&gt;"","Awaiting manager","Awaiting rep"))))</f>
        <v/>
      </c>
      <c r="J72" s="30" t="str">
        <f aca="false">IF(OR(A72="",B72=""),"",IFERROR(INDEX(Calculation!$C$6:$N$140,(MATCH(B72,Settings!$C$13:$C$27,0)-1)*9+7,MATCH(A72,Settings!$N$13:$N$24,0)),""))</f>
        <v/>
      </c>
      <c r="K72" s="55" t="str">
        <f aca="false">IF(OR(A72="",B72=""),"",A72&amp;"|"&amp;B72)</f>
        <v/>
      </c>
    </row>
    <row r="73" customFormat="false" ht="15" hidden="false" customHeight="false" outlineLevel="0" collapsed="false">
      <c r="A73" s="10"/>
      <c r="B73" s="10"/>
      <c r="C73" s="28"/>
      <c r="D73" s="10"/>
      <c r="E73" s="28"/>
      <c r="F73" s="10"/>
      <c r="G73" s="28"/>
      <c r="H73" s="10"/>
      <c r="I73" s="12" t="str">
        <f aca="false">IF(OR(A73="",B73=""),"",IF(G73&lt;&gt;"","Approved",IF(E73&lt;&gt;"","Awaiting finance",IF(C73&lt;&gt;"","Awaiting manager","Awaiting rep"))))</f>
        <v/>
      </c>
      <c r="J73" s="30" t="str">
        <f aca="false">IF(OR(A73="",B73=""),"",IFERROR(INDEX(Calculation!$C$6:$N$140,(MATCH(B73,Settings!$C$13:$C$27,0)-1)*9+7,MATCH(A73,Settings!$N$13:$N$24,0)),""))</f>
        <v/>
      </c>
      <c r="K73" s="55" t="str">
        <f aca="false">IF(OR(A73="",B73=""),"",A73&amp;"|"&amp;B73)</f>
        <v/>
      </c>
    </row>
    <row r="74" customFormat="false" ht="15" hidden="false" customHeight="false" outlineLevel="0" collapsed="false">
      <c r="A74" s="10"/>
      <c r="B74" s="10"/>
      <c r="C74" s="28"/>
      <c r="D74" s="10"/>
      <c r="E74" s="28"/>
      <c r="F74" s="10"/>
      <c r="G74" s="28"/>
      <c r="H74" s="10"/>
      <c r="I74" s="12" t="str">
        <f aca="false">IF(OR(A74="",B74=""),"",IF(G74&lt;&gt;"","Approved",IF(E74&lt;&gt;"","Awaiting finance",IF(C74&lt;&gt;"","Awaiting manager","Awaiting rep"))))</f>
        <v/>
      </c>
      <c r="J74" s="30" t="str">
        <f aca="false">IF(OR(A74="",B74=""),"",IFERROR(INDEX(Calculation!$C$6:$N$140,(MATCH(B74,Settings!$C$13:$C$27,0)-1)*9+7,MATCH(A74,Settings!$N$13:$N$24,0)),""))</f>
        <v/>
      </c>
      <c r="K74" s="55" t="str">
        <f aca="false">IF(OR(A74="",B74=""),"",A74&amp;"|"&amp;B74)</f>
        <v/>
      </c>
    </row>
    <row r="75" customFormat="false" ht="15" hidden="false" customHeight="false" outlineLevel="0" collapsed="false">
      <c r="A75" s="10"/>
      <c r="B75" s="10"/>
      <c r="C75" s="28"/>
      <c r="D75" s="10"/>
      <c r="E75" s="28"/>
      <c r="F75" s="10"/>
      <c r="G75" s="28"/>
      <c r="H75" s="10"/>
      <c r="I75" s="12" t="str">
        <f aca="false">IF(OR(A75="",B75=""),"",IF(G75&lt;&gt;"","Approved",IF(E75&lt;&gt;"","Awaiting finance",IF(C75&lt;&gt;"","Awaiting manager","Awaiting rep"))))</f>
        <v/>
      </c>
      <c r="J75" s="30" t="str">
        <f aca="false">IF(OR(A75="",B75=""),"",IFERROR(INDEX(Calculation!$C$6:$N$140,(MATCH(B75,Settings!$C$13:$C$27,0)-1)*9+7,MATCH(A75,Settings!$N$13:$N$24,0)),""))</f>
        <v/>
      </c>
      <c r="K75" s="55" t="str">
        <f aca="false">IF(OR(A75="",B75=""),"",A75&amp;"|"&amp;B75)</f>
        <v/>
      </c>
    </row>
    <row r="76" customFormat="false" ht="15" hidden="false" customHeight="false" outlineLevel="0" collapsed="false">
      <c r="A76" s="10"/>
      <c r="B76" s="10"/>
      <c r="C76" s="28"/>
      <c r="D76" s="10"/>
      <c r="E76" s="28"/>
      <c r="F76" s="10"/>
      <c r="G76" s="28"/>
      <c r="H76" s="10"/>
      <c r="I76" s="12" t="str">
        <f aca="false">IF(OR(A76="",B76=""),"",IF(G76&lt;&gt;"","Approved",IF(E76&lt;&gt;"","Awaiting finance",IF(C76&lt;&gt;"","Awaiting manager","Awaiting rep"))))</f>
        <v/>
      </c>
      <c r="J76" s="30" t="str">
        <f aca="false">IF(OR(A76="",B76=""),"",IFERROR(INDEX(Calculation!$C$6:$N$140,(MATCH(B76,Settings!$C$13:$C$27,0)-1)*9+7,MATCH(A76,Settings!$N$13:$N$24,0)),""))</f>
        <v/>
      </c>
      <c r="K76" s="55" t="str">
        <f aca="false">IF(OR(A76="",B76=""),"",A76&amp;"|"&amp;B76)</f>
        <v/>
      </c>
    </row>
    <row r="77" customFormat="false" ht="15" hidden="false" customHeight="false" outlineLevel="0" collapsed="false">
      <c r="A77" s="10"/>
      <c r="B77" s="10"/>
      <c r="C77" s="28"/>
      <c r="D77" s="10"/>
      <c r="E77" s="28"/>
      <c r="F77" s="10"/>
      <c r="G77" s="28"/>
      <c r="H77" s="10"/>
      <c r="I77" s="12" t="str">
        <f aca="false">IF(OR(A77="",B77=""),"",IF(G77&lt;&gt;"","Approved",IF(E77&lt;&gt;"","Awaiting finance",IF(C77&lt;&gt;"","Awaiting manager","Awaiting rep"))))</f>
        <v/>
      </c>
      <c r="J77" s="30" t="str">
        <f aca="false">IF(OR(A77="",B77=""),"",IFERROR(INDEX(Calculation!$C$6:$N$140,(MATCH(B77,Settings!$C$13:$C$27,0)-1)*9+7,MATCH(A77,Settings!$N$13:$N$24,0)),""))</f>
        <v/>
      </c>
      <c r="K77" s="55" t="str">
        <f aca="false">IF(OR(A77="",B77=""),"",A77&amp;"|"&amp;B77)</f>
        <v/>
      </c>
    </row>
    <row r="78" customFormat="false" ht="15" hidden="false" customHeight="false" outlineLevel="0" collapsed="false">
      <c r="A78" s="10"/>
      <c r="B78" s="10"/>
      <c r="C78" s="28"/>
      <c r="D78" s="10"/>
      <c r="E78" s="28"/>
      <c r="F78" s="10"/>
      <c r="G78" s="28"/>
      <c r="H78" s="10"/>
      <c r="I78" s="12" t="str">
        <f aca="false">IF(OR(A78="",B78=""),"",IF(G78&lt;&gt;"","Approved",IF(E78&lt;&gt;"","Awaiting finance",IF(C78&lt;&gt;"","Awaiting manager","Awaiting rep"))))</f>
        <v/>
      </c>
      <c r="J78" s="30" t="str">
        <f aca="false">IF(OR(A78="",B78=""),"",IFERROR(INDEX(Calculation!$C$6:$N$140,(MATCH(B78,Settings!$C$13:$C$27,0)-1)*9+7,MATCH(A78,Settings!$N$13:$N$24,0)),""))</f>
        <v/>
      </c>
      <c r="K78" s="55" t="str">
        <f aca="false">IF(OR(A78="",B78=""),"",A78&amp;"|"&amp;B78)</f>
        <v/>
      </c>
    </row>
    <row r="79" customFormat="false" ht="15" hidden="false" customHeight="false" outlineLevel="0" collapsed="false">
      <c r="A79" s="10"/>
      <c r="B79" s="10"/>
      <c r="C79" s="28"/>
      <c r="D79" s="10"/>
      <c r="E79" s="28"/>
      <c r="F79" s="10"/>
      <c r="G79" s="28"/>
      <c r="H79" s="10"/>
      <c r="I79" s="12" t="str">
        <f aca="false">IF(OR(A79="",B79=""),"",IF(G79&lt;&gt;"","Approved",IF(E79&lt;&gt;"","Awaiting finance",IF(C79&lt;&gt;"","Awaiting manager","Awaiting rep"))))</f>
        <v/>
      </c>
      <c r="J79" s="30" t="str">
        <f aca="false">IF(OR(A79="",B79=""),"",IFERROR(INDEX(Calculation!$C$6:$N$140,(MATCH(B79,Settings!$C$13:$C$27,0)-1)*9+7,MATCH(A79,Settings!$N$13:$N$24,0)),""))</f>
        <v/>
      </c>
      <c r="K79" s="55" t="str">
        <f aca="false">IF(OR(A79="",B79=""),"",A79&amp;"|"&amp;B79)</f>
        <v/>
      </c>
    </row>
    <row r="80" customFormat="false" ht="15" hidden="false" customHeight="false" outlineLevel="0" collapsed="false">
      <c r="A80" s="10"/>
      <c r="B80" s="10"/>
      <c r="C80" s="28"/>
      <c r="D80" s="10"/>
      <c r="E80" s="28"/>
      <c r="F80" s="10"/>
      <c r="G80" s="28"/>
      <c r="H80" s="10"/>
      <c r="I80" s="12" t="str">
        <f aca="false">IF(OR(A80="",B80=""),"",IF(G80&lt;&gt;"","Approved",IF(E80&lt;&gt;"","Awaiting finance",IF(C80&lt;&gt;"","Awaiting manager","Awaiting rep"))))</f>
        <v/>
      </c>
      <c r="J80" s="30" t="str">
        <f aca="false">IF(OR(A80="",B80=""),"",IFERROR(INDEX(Calculation!$C$6:$N$140,(MATCH(B80,Settings!$C$13:$C$27,0)-1)*9+7,MATCH(A80,Settings!$N$13:$N$24,0)),""))</f>
        <v/>
      </c>
      <c r="K80" s="55" t="str">
        <f aca="false">IF(OR(A80="",B80=""),"",A80&amp;"|"&amp;B80)</f>
        <v/>
      </c>
    </row>
    <row r="81" customFormat="false" ht="15" hidden="false" customHeight="false" outlineLevel="0" collapsed="false">
      <c r="A81" s="10"/>
      <c r="B81" s="10"/>
      <c r="C81" s="28"/>
      <c r="D81" s="10"/>
      <c r="E81" s="28"/>
      <c r="F81" s="10"/>
      <c r="G81" s="28"/>
      <c r="H81" s="10"/>
      <c r="I81" s="12" t="str">
        <f aca="false">IF(OR(A81="",B81=""),"",IF(G81&lt;&gt;"","Approved",IF(E81&lt;&gt;"","Awaiting finance",IF(C81&lt;&gt;"","Awaiting manager","Awaiting rep"))))</f>
        <v/>
      </c>
      <c r="J81" s="30" t="str">
        <f aca="false">IF(OR(A81="",B81=""),"",IFERROR(INDEX(Calculation!$C$6:$N$140,(MATCH(B81,Settings!$C$13:$C$27,0)-1)*9+7,MATCH(A81,Settings!$N$13:$N$24,0)),""))</f>
        <v/>
      </c>
      <c r="K81" s="55" t="str">
        <f aca="false">IF(OR(A81="",B81=""),"",A81&amp;"|"&amp;B81)</f>
        <v/>
      </c>
    </row>
    <row r="82" customFormat="false" ht="15" hidden="false" customHeight="false" outlineLevel="0" collapsed="false">
      <c r="A82" s="10"/>
      <c r="B82" s="10"/>
      <c r="C82" s="28"/>
      <c r="D82" s="10"/>
      <c r="E82" s="28"/>
      <c r="F82" s="10"/>
      <c r="G82" s="28"/>
      <c r="H82" s="10"/>
      <c r="I82" s="12" t="str">
        <f aca="false">IF(OR(A82="",B82=""),"",IF(G82&lt;&gt;"","Approved",IF(E82&lt;&gt;"","Awaiting finance",IF(C82&lt;&gt;"","Awaiting manager","Awaiting rep"))))</f>
        <v/>
      </c>
      <c r="J82" s="30" t="str">
        <f aca="false">IF(OR(A82="",B82=""),"",IFERROR(INDEX(Calculation!$C$6:$N$140,(MATCH(B82,Settings!$C$13:$C$27,0)-1)*9+7,MATCH(A82,Settings!$N$13:$N$24,0)),""))</f>
        <v/>
      </c>
      <c r="K82" s="55" t="str">
        <f aca="false">IF(OR(A82="",B82=""),"",A82&amp;"|"&amp;B82)</f>
        <v/>
      </c>
    </row>
    <row r="83" customFormat="false" ht="15" hidden="false" customHeight="false" outlineLevel="0" collapsed="false">
      <c r="A83" s="10"/>
      <c r="B83" s="10"/>
      <c r="C83" s="28"/>
      <c r="D83" s="10"/>
      <c r="E83" s="28"/>
      <c r="F83" s="10"/>
      <c r="G83" s="28"/>
      <c r="H83" s="10"/>
      <c r="I83" s="12" t="str">
        <f aca="false">IF(OR(A83="",B83=""),"",IF(G83&lt;&gt;"","Approved",IF(E83&lt;&gt;"","Awaiting finance",IF(C83&lt;&gt;"","Awaiting manager","Awaiting rep"))))</f>
        <v/>
      </c>
      <c r="J83" s="30" t="str">
        <f aca="false">IF(OR(A83="",B83=""),"",IFERROR(INDEX(Calculation!$C$6:$N$140,(MATCH(B83,Settings!$C$13:$C$27,0)-1)*9+7,MATCH(A83,Settings!$N$13:$N$24,0)),""))</f>
        <v/>
      </c>
      <c r="K83" s="55" t="str">
        <f aca="false">IF(OR(A83="",B83=""),"",A83&amp;"|"&amp;B83)</f>
        <v/>
      </c>
    </row>
    <row r="84" customFormat="false" ht="15" hidden="false" customHeight="false" outlineLevel="0" collapsed="false">
      <c r="A84" s="10"/>
      <c r="B84" s="10"/>
      <c r="C84" s="28"/>
      <c r="D84" s="10"/>
      <c r="E84" s="28"/>
      <c r="F84" s="10"/>
      <c r="G84" s="28"/>
      <c r="H84" s="10"/>
      <c r="I84" s="12" t="str">
        <f aca="false">IF(OR(A84="",B84=""),"",IF(G84&lt;&gt;"","Approved",IF(E84&lt;&gt;"","Awaiting finance",IF(C84&lt;&gt;"","Awaiting manager","Awaiting rep"))))</f>
        <v/>
      </c>
      <c r="J84" s="30" t="str">
        <f aca="false">IF(OR(A84="",B84=""),"",IFERROR(INDEX(Calculation!$C$6:$N$140,(MATCH(B84,Settings!$C$13:$C$27,0)-1)*9+7,MATCH(A84,Settings!$N$13:$N$24,0)),""))</f>
        <v/>
      </c>
      <c r="K84" s="55" t="str">
        <f aca="false">IF(OR(A84="",B84=""),"",A84&amp;"|"&amp;B84)</f>
        <v/>
      </c>
    </row>
    <row r="85" customFormat="false" ht="15" hidden="false" customHeight="false" outlineLevel="0" collapsed="false">
      <c r="A85" s="10"/>
      <c r="B85" s="10"/>
      <c r="C85" s="28"/>
      <c r="D85" s="10"/>
      <c r="E85" s="28"/>
      <c r="F85" s="10"/>
      <c r="G85" s="28"/>
      <c r="H85" s="10"/>
      <c r="I85" s="12" t="str">
        <f aca="false">IF(OR(A85="",B85=""),"",IF(G85&lt;&gt;"","Approved",IF(E85&lt;&gt;"","Awaiting finance",IF(C85&lt;&gt;"","Awaiting manager","Awaiting rep"))))</f>
        <v/>
      </c>
      <c r="J85" s="30" t="str">
        <f aca="false">IF(OR(A85="",B85=""),"",IFERROR(INDEX(Calculation!$C$6:$N$140,(MATCH(B85,Settings!$C$13:$C$27,0)-1)*9+7,MATCH(A85,Settings!$N$13:$N$24,0)),""))</f>
        <v/>
      </c>
      <c r="K85" s="55" t="str">
        <f aca="false">IF(OR(A85="",B85=""),"",A85&amp;"|"&amp;B85)</f>
        <v/>
      </c>
    </row>
    <row r="86" customFormat="false" ht="15" hidden="false" customHeight="false" outlineLevel="0" collapsed="false">
      <c r="A86" s="10"/>
      <c r="B86" s="10"/>
      <c r="C86" s="28"/>
      <c r="D86" s="10"/>
      <c r="E86" s="28"/>
      <c r="F86" s="10"/>
      <c r="G86" s="28"/>
      <c r="H86" s="10"/>
      <c r="I86" s="12" t="str">
        <f aca="false">IF(OR(A86="",B86=""),"",IF(G86&lt;&gt;"","Approved",IF(E86&lt;&gt;"","Awaiting finance",IF(C86&lt;&gt;"","Awaiting manager","Awaiting rep"))))</f>
        <v/>
      </c>
      <c r="J86" s="30" t="str">
        <f aca="false">IF(OR(A86="",B86=""),"",IFERROR(INDEX(Calculation!$C$6:$N$140,(MATCH(B86,Settings!$C$13:$C$27,0)-1)*9+7,MATCH(A86,Settings!$N$13:$N$24,0)),""))</f>
        <v/>
      </c>
      <c r="K86" s="55" t="str">
        <f aca="false">IF(OR(A86="",B86=""),"",A86&amp;"|"&amp;B86)</f>
        <v/>
      </c>
    </row>
    <row r="87" customFormat="false" ht="15" hidden="false" customHeight="false" outlineLevel="0" collapsed="false">
      <c r="A87" s="10"/>
      <c r="B87" s="10"/>
      <c r="C87" s="28"/>
      <c r="D87" s="10"/>
      <c r="E87" s="28"/>
      <c r="F87" s="10"/>
      <c r="G87" s="28"/>
      <c r="H87" s="10"/>
      <c r="I87" s="12" t="str">
        <f aca="false">IF(OR(A87="",B87=""),"",IF(G87&lt;&gt;"","Approved",IF(E87&lt;&gt;"","Awaiting finance",IF(C87&lt;&gt;"","Awaiting manager","Awaiting rep"))))</f>
        <v/>
      </c>
      <c r="J87" s="30" t="str">
        <f aca="false">IF(OR(A87="",B87=""),"",IFERROR(INDEX(Calculation!$C$6:$N$140,(MATCH(B87,Settings!$C$13:$C$27,0)-1)*9+7,MATCH(A87,Settings!$N$13:$N$24,0)),""))</f>
        <v/>
      </c>
      <c r="K87" s="55" t="str">
        <f aca="false">IF(OR(A87="",B87=""),"",A87&amp;"|"&amp;B87)</f>
        <v/>
      </c>
    </row>
    <row r="88" customFormat="false" ht="15" hidden="false" customHeight="false" outlineLevel="0" collapsed="false">
      <c r="A88" s="10"/>
      <c r="B88" s="10"/>
      <c r="C88" s="28"/>
      <c r="D88" s="10"/>
      <c r="E88" s="28"/>
      <c r="F88" s="10"/>
      <c r="G88" s="28"/>
      <c r="H88" s="10"/>
      <c r="I88" s="12" t="str">
        <f aca="false">IF(OR(A88="",B88=""),"",IF(G88&lt;&gt;"","Approved",IF(E88&lt;&gt;"","Awaiting finance",IF(C88&lt;&gt;"","Awaiting manager","Awaiting rep"))))</f>
        <v/>
      </c>
      <c r="J88" s="30" t="str">
        <f aca="false">IF(OR(A88="",B88=""),"",IFERROR(INDEX(Calculation!$C$6:$N$140,(MATCH(B88,Settings!$C$13:$C$27,0)-1)*9+7,MATCH(A88,Settings!$N$13:$N$24,0)),""))</f>
        <v/>
      </c>
      <c r="K88" s="55" t="str">
        <f aca="false">IF(OR(A88="",B88=""),"",A88&amp;"|"&amp;B88)</f>
        <v/>
      </c>
    </row>
    <row r="89" customFormat="false" ht="15" hidden="false" customHeight="false" outlineLevel="0" collapsed="false">
      <c r="A89" s="10"/>
      <c r="B89" s="10"/>
      <c r="C89" s="28"/>
      <c r="D89" s="10"/>
      <c r="E89" s="28"/>
      <c r="F89" s="10"/>
      <c r="G89" s="28"/>
      <c r="H89" s="10"/>
      <c r="I89" s="12" t="str">
        <f aca="false">IF(OR(A89="",B89=""),"",IF(G89&lt;&gt;"","Approved",IF(E89&lt;&gt;"","Awaiting finance",IF(C89&lt;&gt;"","Awaiting manager","Awaiting rep"))))</f>
        <v/>
      </c>
      <c r="J89" s="30" t="str">
        <f aca="false">IF(OR(A89="",B89=""),"",IFERROR(INDEX(Calculation!$C$6:$N$140,(MATCH(B89,Settings!$C$13:$C$27,0)-1)*9+7,MATCH(A89,Settings!$N$13:$N$24,0)),""))</f>
        <v/>
      </c>
      <c r="K89" s="55" t="str">
        <f aca="false">IF(OR(A89="",B89=""),"",A89&amp;"|"&amp;B89)</f>
        <v/>
      </c>
    </row>
    <row r="90" customFormat="false" ht="15" hidden="false" customHeight="false" outlineLevel="0" collapsed="false">
      <c r="A90" s="10"/>
      <c r="B90" s="10"/>
      <c r="C90" s="28"/>
      <c r="D90" s="10"/>
      <c r="E90" s="28"/>
      <c r="F90" s="10"/>
      <c r="G90" s="28"/>
      <c r="H90" s="10"/>
      <c r="I90" s="12" t="str">
        <f aca="false">IF(OR(A90="",B90=""),"",IF(G90&lt;&gt;"","Approved",IF(E90&lt;&gt;"","Awaiting finance",IF(C90&lt;&gt;"","Awaiting manager","Awaiting rep"))))</f>
        <v/>
      </c>
      <c r="J90" s="30" t="str">
        <f aca="false">IF(OR(A90="",B90=""),"",IFERROR(INDEX(Calculation!$C$6:$N$140,(MATCH(B90,Settings!$C$13:$C$27,0)-1)*9+7,MATCH(A90,Settings!$N$13:$N$24,0)),""))</f>
        <v/>
      </c>
      <c r="K90" s="55" t="str">
        <f aca="false">IF(OR(A90="",B90=""),"",A90&amp;"|"&amp;B90)</f>
        <v/>
      </c>
    </row>
    <row r="91" customFormat="false" ht="15" hidden="false" customHeight="false" outlineLevel="0" collapsed="false">
      <c r="A91" s="10"/>
      <c r="B91" s="10"/>
      <c r="C91" s="28"/>
      <c r="D91" s="10"/>
      <c r="E91" s="28"/>
      <c r="F91" s="10"/>
      <c r="G91" s="28"/>
      <c r="H91" s="10"/>
      <c r="I91" s="12" t="str">
        <f aca="false">IF(OR(A91="",B91=""),"",IF(G91&lt;&gt;"","Approved",IF(E91&lt;&gt;"","Awaiting finance",IF(C91&lt;&gt;"","Awaiting manager","Awaiting rep"))))</f>
        <v/>
      </c>
      <c r="J91" s="30" t="str">
        <f aca="false">IF(OR(A91="",B91=""),"",IFERROR(INDEX(Calculation!$C$6:$N$140,(MATCH(B91,Settings!$C$13:$C$27,0)-1)*9+7,MATCH(A91,Settings!$N$13:$N$24,0)),""))</f>
        <v/>
      </c>
      <c r="K91" s="55" t="str">
        <f aca="false">IF(OR(A91="",B91=""),"",A91&amp;"|"&amp;B91)</f>
        <v/>
      </c>
    </row>
    <row r="92" customFormat="false" ht="15" hidden="false" customHeight="false" outlineLevel="0" collapsed="false">
      <c r="A92" s="10"/>
      <c r="B92" s="10"/>
      <c r="C92" s="28"/>
      <c r="D92" s="10"/>
      <c r="E92" s="28"/>
      <c r="F92" s="10"/>
      <c r="G92" s="28"/>
      <c r="H92" s="10"/>
      <c r="I92" s="12" t="str">
        <f aca="false">IF(OR(A92="",B92=""),"",IF(G92&lt;&gt;"","Approved",IF(E92&lt;&gt;"","Awaiting finance",IF(C92&lt;&gt;"","Awaiting manager","Awaiting rep"))))</f>
        <v/>
      </c>
      <c r="J92" s="30" t="str">
        <f aca="false">IF(OR(A92="",B92=""),"",IFERROR(INDEX(Calculation!$C$6:$N$140,(MATCH(B92,Settings!$C$13:$C$27,0)-1)*9+7,MATCH(A92,Settings!$N$13:$N$24,0)),""))</f>
        <v/>
      </c>
      <c r="K92" s="55" t="str">
        <f aca="false">IF(OR(A92="",B92=""),"",A92&amp;"|"&amp;B92)</f>
        <v/>
      </c>
    </row>
    <row r="93" customFormat="false" ht="15" hidden="false" customHeight="false" outlineLevel="0" collapsed="false">
      <c r="A93" s="10"/>
      <c r="B93" s="10"/>
      <c r="C93" s="28"/>
      <c r="D93" s="10"/>
      <c r="E93" s="28"/>
      <c r="F93" s="10"/>
      <c r="G93" s="28"/>
      <c r="H93" s="10"/>
      <c r="I93" s="12" t="str">
        <f aca="false">IF(OR(A93="",B93=""),"",IF(G93&lt;&gt;"","Approved",IF(E93&lt;&gt;"","Awaiting finance",IF(C93&lt;&gt;"","Awaiting manager","Awaiting rep"))))</f>
        <v/>
      </c>
      <c r="J93" s="30" t="str">
        <f aca="false">IF(OR(A93="",B93=""),"",IFERROR(INDEX(Calculation!$C$6:$N$140,(MATCH(B93,Settings!$C$13:$C$27,0)-1)*9+7,MATCH(A93,Settings!$N$13:$N$24,0)),""))</f>
        <v/>
      </c>
      <c r="K93" s="55" t="str">
        <f aca="false">IF(OR(A93="",B93=""),"",A93&amp;"|"&amp;B93)</f>
        <v/>
      </c>
    </row>
    <row r="94" customFormat="false" ht="15" hidden="false" customHeight="false" outlineLevel="0" collapsed="false">
      <c r="A94" s="10"/>
      <c r="B94" s="10"/>
      <c r="C94" s="28"/>
      <c r="D94" s="10"/>
      <c r="E94" s="28"/>
      <c r="F94" s="10"/>
      <c r="G94" s="28"/>
      <c r="H94" s="10"/>
      <c r="I94" s="12" t="str">
        <f aca="false">IF(OR(A94="",B94=""),"",IF(G94&lt;&gt;"","Approved",IF(E94&lt;&gt;"","Awaiting finance",IF(C94&lt;&gt;"","Awaiting manager","Awaiting rep"))))</f>
        <v/>
      </c>
      <c r="J94" s="30" t="str">
        <f aca="false">IF(OR(A94="",B94=""),"",IFERROR(INDEX(Calculation!$C$6:$N$140,(MATCH(B94,Settings!$C$13:$C$27,0)-1)*9+7,MATCH(A94,Settings!$N$13:$N$24,0)),""))</f>
        <v/>
      </c>
      <c r="K94" s="55" t="str">
        <f aca="false">IF(OR(A94="",B94=""),"",A94&amp;"|"&amp;B94)</f>
        <v/>
      </c>
    </row>
    <row r="95" customFormat="false" ht="15" hidden="false" customHeight="false" outlineLevel="0" collapsed="false">
      <c r="A95" s="10"/>
      <c r="B95" s="10"/>
      <c r="C95" s="28"/>
      <c r="D95" s="10"/>
      <c r="E95" s="28"/>
      <c r="F95" s="10"/>
      <c r="G95" s="28"/>
      <c r="H95" s="10"/>
      <c r="I95" s="12" t="str">
        <f aca="false">IF(OR(A95="",B95=""),"",IF(G95&lt;&gt;"","Approved",IF(E95&lt;&gt;"","Awaiting finance",IF(C95&lt;&gt;"","Awaiting manager","Awaiting rep"))))</f>
        <v/>
      </c>
      <c r="J95" s="30" t="str">
        <f aca="false">IF(OR(A95="",B95=""),"",IFERROR(INDEX(Calculation!$C$6:$N$140,(MATCH(B95,Settings!$C$13:$C$27,0)-1)*9+7,MATCH(A95,Settings!$N$13:$N$24,0)),""))</f>
        <v/>
      </c>
      <c r="K95" s="55" t="str">
        <f aca="false">IF(OR(A95="",B95=""),"",A95&amp;"|"&amp;B95)</f>
        <v/>
      </c>
    </row>
    <row r="96" customFormat="false" ht="15" hidden="false" customHeight="false" outlineLevel="0" collapsed="false">
      <c r="A96" s="10"/>
      <c r="B96" s="10"/>
      <c r="C96" s="28"/>
      <c r="D96" s="10"/>
      <c r="E96" s="28"/>
      <c r="F96" s="10"/>
      <c r="G96" s="28"/>
      <c r="H96" s="10"/>
      <c r="I96" s="12" t="str">
        <f aca="false">IF(OR(A96="",B96=""),"",IF(G96&lt;&gt;"","Approved",IF(E96&lt;&gt;"","Awaiting finance",IF(C96&lt;&gt;"","Awaiting manager","Awaiting rep"))))</f>
        <v/>
      </c>
      <c r="J96" s="30" t="str">
        <f aca="false">IF(OR(A96="",B96=""),"",IFERROR(INDEX(Calculation!$C$6:$N$140,(MATCH(B96,Settings!$C$13:$C$27,0)-1)*9+7,MATCH(A96,Settings!$N$13:$N$24,0)),""))</f>
        <v/>
      </c>
      <c r="K96" s="55" t="str">
        <f aca="false">IF(OR(A96="",B96=""),"",A96&amp;"|"&amp;B96)</f>
        <v/>
      </c>
    </row>
    <row r="97" customFormat="false" ht="15" hidden="false" customHeight="false" outlineLevel="0" collapsed="false">
      <c r="A97" s="10"/>
      <c r="B97" s="10"/>
      <c r="C97" s="28"/>
      <c r="D97" s="10"/>
      <c r="E97" s="28"/>
      <c r="F97" s="10"/>
      <c r="G97" s="28"/>
      <c r="H97" s="10"/>
      <c r="I97" s="12" t="str">
        <f aca="false">IF(OR(A97="",B97=""),"",IF(G97&lt;&gt;"","Approved",IF(E97&lt;&gt;"","Awaiting finance",IF(C97&lt;&gt;"","Awaiting manager","Awaiting rep"))))</f>
        <v/>
      </c>
      <c r="J97" s="30" t="str">
        <f aca="false">IF(OR(A97="",B97=""),"",IFERROR(INDEX(Calculation!$C$6:$N$140,(MATCH(B97,Settings!$C$13:$C$27,0)-1)*9+7,MATCH(A97,Settings!$N$13:$N$24,0)),""))</f>
        <v/>
      </c>
      <c r="K97" s="55" t="str">
        <f aca="false">IF(OR(A97="",B97=""),"",A97&amp;"|"&amp;B97)</f>
        <v/>
      </c>
    </row>
    <row r="98" customFormat="false" ht="15" hidden="false" customHeight="false" outlineLevel="0" collapsed="false">
      <c r="A98" s="10"/>
      <c r="B98" s="10"/>
      <c r="C98" s="28"/>
      <c r="D98" s="10"/>
      <c r="E98" s="28"/>
      <c r="F98" s="10"/>
      <c r="G98" s="28"/>
      <c r="H98" s="10"/>
      <c r="I98" s="12" t="str">
        <f aca="false">IF(OR(A98="",B98=""),"",IF(G98&lt;&gt;"","Approved",IF(E98&lt;&gt;"","Awaiting finance",IF(C98&lt;&gt;"","Awaiting manager","Awaiting rep"))))</f>
        <v/>
      </c>
      <c r="J98" s="30" t="str">
        <f aca="false">IF(OR(A98="",B98=""),"",IFERROR(INDEX(Calculation!$C$6:$N$140,(MATCH(B98,Settings!$C$13:$C$27,0)-1)*9+7,MATCH(A98,Settings!$N$13:$N$24,0)),""))</f>
        <v/>
      </c>
      <c r="K98" s="55" t="str">
        <f aca="false">IF(OR(A98="",B98=""),"",A98&amp;"|"&amp;B98)</f>
        <v/>
      </c>
    </row>
    <row r="99" customFormat="false" ht="15" hidden="false" customHeight="false" outlineLevel="0" collapsed="false">
      <c r="A99" s="10"/>
      <c r="B99" s="10"/>
      <c r="C99" s="28"/>
      <c r="D99" s="10"/>
      <c r="E99" s="28"/>
      <c r="F99" s="10"/>
      <c r="G99" s="28"/>
      <c r="H99" s="10"/>
      <c r="I99" s="12" t="str">
        <f aca="false">IF(OR(A99="",B99=""),"",IF(G99&lt;&gt;"","Approved",IF(E99&lt;&gt;"","Awaiting finance",IF(C99&lt;&gt;"","Awaiting manager","Awaiting rep"))))</f>
        <v/>
      </c>
      <c r="J99" s="30" t="str">
        <f aca="false">IF(OR(A99="",B99=""),"",IFERROR(INDEX(Calculation!$C$6:$N$140,(MATCH(B99,Settings!$C$13:$C$27,0)-1)*9+7,MATCH(A99,Settings!$N$13:$N$24,0)),""))</f>
        <v/>
      </c>
      <c r="K99" s="55" t="str">
        <f aca="false">IF(OR(A99="",B99=""),"",A99&amp;"|"&amp;B99)</f>
        <v/>
      </c>
    </row>
    <row r="100" customFormat="false" ht="15" hidden="false" customHeight="false" outlineLevel="0" collapsed="false">
      <c r="A100" s="10"/>
      <c r="B100" s="10"/>
      <c r="C100" s="28"/>
      <c r="D100" s="10"/>
      <c r="E100" s="28"/>
      <c r="F100" s="10"/>
      <c r="G100" s="28"/>
      <c r="H100" s="10"/>
      <c r="I100" s="12" t="str">
        <f aca="false">IF(OR(A100="",B100=""),"",IF(G100&lt;&gt;"","Approved",IF(E100&lt;&gt;"","Awaiting finance",IF(C100&lt;&gt;"","Awaiting manager","Awaiting rep"))))</f>
        <v/>
      </c>
      <c r="J100" s="30" t="str">
        <f aca="false">IF(OR(A100="",B100=""),"",IFERROR(INDEX(Calculation!$C$6:$N$140,(MATCH(B100,Settings!$C$13:$C$27,0)-1)*9+7,MATCH(A100,Settings!$N$13:$N$24,0)),""))</f>
        <v/>
      </c>
      <c r="K100" s="55" t="str">
        <f aca="false">IF(OR(A100="",B100=""),"",A100&amp;"|"&amp;B100)</f>
        <v/>
      </c>
    </row>
    <row r="101" customFormat="false" ht="15" hidden="false" customHeight="false" outlineLevel="0" collapsed="false">
      <c r="A101" s="10"/>
      <c r="B101" s="10"/>
      <c r="C101" s="28"/>
      <c r="D101" s="10"/>
      <c r="E101" s="28"/>
      <c r="F101" s="10"/>
      <c r="G101" s="28"/>
      <c r="H101" s="10"/>
      <c r="I101" s="12" t="str">
        <f aca="false">IF(OR(A101="",B101=""),"",IF(G101&lt;&gt;"","Approved",IF(E101&lt;&gt;"","Awaiting finance",IF(C101&lt;&gt;"","Awaiting manager","Awaiting rep"))))</f>
        <v/>
      </c>
      <c r="J101" s="30" t="str">
        <f aca="false">IF(OR(A101="",B101=""),"",IFERROR(INDEX(Calculation!$C$6:$N$140,(MATCH(B101,Settings!$C$13:$C$27,0)-1)*9+7,MATCH(A101,Settings!$N$13:$N$24,0)),""))</f>
        <v/>
      </c>
      <c r="K101" s="55" t="str">
        <f aca="false">IF(OR(A101="",B101=""),"",A101&amp;"|"&amp;B101)</f>
        <v/>
      </c>
    </row>
    <row r="102" customFormat="false" ht="15" hidden="false" customHeight="false" outlineLevel="0" collapsed="false">
      <c r="A102" s="10"/>
      <c r="B102" s="10"/>
      <c r="C102" s="28"/>
      <c r="D102" s="10"/>
      <c r="E102" s="28"/>
      <c r="F102" s="10"/>
      <c r="G102" s="28"/>
      <c r="H102" s="10"/>
      <c r="I102" s="12" t="str">
        <f aca="false">IF(OR(A102="",B102=""),"",IF(G102&lt;&gt;"","Approved",IF(E102&lt;&gt;"","Awaiting finance",IF(C102&lt;&gt;"","Awaiting manager","Awaiting rep"))))</f>
        <v/>
      </c>
      <c r="J102" s="30" t="str">
        <f aca="false">IF(OR(A102="",B102=""),"",IFERROR(INDEX(Calculation!$C$6:$N$140,(MATCH(B102,Settings!$C$13:$C$27,0)-1)*9+7,MATCH(A102,Settings!$N$13:$N$24,0)),""))</f>
        <v/>
      </c>
      <c r="K102" s="55" t="str">
        <f aca="false">IF(OR(A102="",B102=""),"",A102&amp;"|"&amp;B102)</f>
        <v/>
      </c>
    </row>
    <row r="103" customFormat="false" ht="15" hidden="false" customHeight="false" outlineLevel="0" collapsed="false">
      <c r="A103" s="10"/>
      <c r="B103" s="10"/>
      <c r="C103" s="28"/>
      <c r="D103" s="10"/>
      <c r="E103" s="28"/>
      <c r="F103" s="10"/>
      <c r="G103" s="28"/>
      <c r="H103" s="10"/>
      <c r="I103" s="12" t="str">
        <f aca="false">IF(OR(A103="",B103=""),"",IF(G103&lt;&gt;"","Approved",IF(E103&lt;&gt;"","Awaiting finance",IF(C103&lt;&gt;"","Awaiting manager","Awaiting rep"))))</f>
        <v/>
      </c>
      <c r="J103" s="30" t="str">
        <f aca="false">IF(OR(A103="",B103=""),"",IFERROR(INDEX(Calculation!$C$6:$N$140,(MATCH(B103,Settings!$C$13:$C$27,0)-1)*9+7,MATCH(A103,Settings!$N$13:$N$24,0)),""))</f>
        <v/>
      </c>
      <c r="K103" s="55" t="str">
        <f aca="false">IF(OR(A103="",B103=""),"",A103&amp;"|"&amp;B103)</f>
        <v/>
      </c>
    </row>
    <row r="104" customFormat="false" ht="15" hidden="false" customHeight="false" outlineLevel="0" collapsed="false">
      <c r="A104" s="10"/>
      <c r="B104" s="10"/>
      <c r="C104" s="28"/>
      <c r="D104" s="10"/>
      <c r="E104" s="28"/>
      <c r="F104" s="10"/>
      <c r="G104" s="28"/>
      <c r="H104" s="10"/>
      <c r="I104" s="12" t="str">
        <f aca="false">IF(OR(A104="",B104=""),"",IF(G104&lt;&gt;"","Approved",IF(E104&lt;&gt;"","Awaiting finance",IF(C104&lt;&gt;"","Awaiting manager","Awaiting rep"))))</f>
        <v/>
      </c>
      <c r="J104" s="30" t="str">
        <f aca="false">IF(OR(A104="",B104=""),"",IFERROR(INDEX(Calculation!$C$6:$N$140,(MATCH(B104,Settings!$C$13:$C$27,0)-1)*9+7,MATCH(A104,Settings!$N$13:$N$24,0)),""))</f>
        <v/>
      </c>
      <c r="K104" s="55" t="str">
        <f aca="false">IF(OR(A104="",B104=""),"",A104&amp;"|"&amp;B104)</f>
        <v/>
      </c>
    </row>
    <row r="105" customFormat="false" ht="15" hidden="false" customHeight="false" outlineLevel="0" collapsed="false">
      <c r="A105" s="10"/>
      <c r="B105" s="10"/>
      <c r="C105" s="28"/>
      <c r="D105" s="10"/>
      <c r="E105" s="28"/>
      <c r="F105" s="10"/>
      <c r="G105" s="28"/>
      <c r="H105" s="10"/>
      <c r="I105" s="12" t="str">
        <f aca="false">IF(OR(A105="",B105=""),"",IF(G105&lt;&gt;"","Approved",IF(E105&lt;&gt;"","Awaiting finance",IF(C105&lt;&gt;"","Awaiting manager","Awaiting rep"))))</f>
        <v/>
      </c>
      <c r="J105" s="30" t="str">
        <f aca="false">IF(OR(A105="",B105=""),"",IFERROR(INDEX(Calculation!$C$6:$N$140,(MATCH(B105,Settings!$C$13:$C$27,0)-1)*9+7,MATCH(A105,Settings!$N$13:$N$24,0)),""))</f>
        <v/>
      </c>
      <c r="K105" s="55" t="str">
        <f aca="false">IF(OR(A105="",B105=""),"",A105&amp;"|"&amp;B105)</f>
        <v/>
      </c>
    </row>
    <row r="106" customFormat="false" ht="15" hidden="false" customHeight="false" outlineLevel="0" collapsed="false">
      <c r="A106" s="10"/>
      <c r="B106" s="10"/>
      <c r="C106" s="28"/>
      <c r="D106" s="10"/>
      <c r="E106" s="28"/>
      <c r="F106" s="10"/>
      <c r="G106" s="28"/>
      <c r="H106" s="10"/>
      <c r="I106" s="12" t="str">
        <f aca="false">IF(OR(A106="",B106=""),"",IF(G106&lt;&gt;"","Approved",IF(E106&lt;&gt;"","Awaiting finance",IF(C106&lt;&gt;"","Awaiting manager","Awaiting rep"))))</f>
        <v/>
      </c>
      <c r="J106" s="30" t="str">
        <f aca="false">IF(OR(A106="",B106=""),"",IFERROR(INDEX(Calculation!$C$6:$N$140,(MATCH(B106,Settings!$C$13:$C$27,0)-1)*9+7,MATCH(A106,Settings!$N$13:$N$24,0)),""))</f>
        <v/>
      </c>
      <c r="K106" s="55" t="str">
        <f aca="false">IF(OR(A106="",B106=""),"",A106&amp;"|"&amp;B106)</f>
        <v/>
      </c>
    </row>
    <row r="107" customFormat="false" ht="15" hidden="false" customHeight="false" outlineLevel="0" collapsed="false">
      <c r="A107" s="10"/>
      <c r="B107" s="10"/>
      <c r="C107" s="28"/>
      <c r="D107" s="10"/>
      <c r="E107" s="28"/>
      <c r="F107" s="10"/>
      <c r="G107" s="28"/>
      <c r="H107" s="10"/>
      <c r="I107" s="12" t="str">
        <f aca="false">IF(OR(A107="",B107=""),"",IF(G107&lt;&gt;"","Approved",IF(E107&lt;&gt;"","Awaiting finance",IF(C107&lt;&gt;"","Awaiting manager","Awaiting rep"))))</f>
        <v/>
      </c>
      <c r="J107" s="30" t="str">
        <f aca="false">IF(OR(A107="",B107=""),"",IFERROR(INDEX(Calculation!$C$6:$N$140,(MATCH(B107,Settings!$C$13:$C$27,0)-1)*9+7,MATCH(A107,Settings!$N$13:$N$24,0)),""))</f>
        <v/>
      </c>
      <c r="K107" s="55" t="str">
        <f aca="false">IF(OR(A107="",B107=""),"",A107&amp;"|"&amp;B107)</f>
        <v/>
      </c>
    </row>
    <row r="108" customFormat="false" ht="15" hidden="false" customHeight="false" outlineLevel="0" collapsed="false">
      <c r="A108" s="10"/>
      <c r="B108" s="10"/>
      <c r="C108" s="28"/>
      <c r="D108" s="10"/>
      <c r="E108" s="28"/>
      <c r="F108" s="10"/>
      <c r="G108" s="28"/>
      <c r="H108" s="10"/>
      <c r="I108" s="12" t="str">
        <f aca="false">IF(OR(A108="",B108=""),"",IF(G108&lt;&gt;"","Approved",IF(E108&lt;&gt;"","Awaiting finance",IF(C108&lt;&gt;"","Awaiting manager","Awaiting rep"))))</f>
        <v/>
      </c>
      <c r="J108" s="30" t="str">
        <f aca="false">IF(OR(A108="",B108=""),"",IFERROR(INDEX(Calculation!$C$6:$N$140,(MATCH(B108,Settings!$C$13:$C$27,0)-1)*9+7,MATCH(A108,Settings!$N$13:$N$24,0)),""))</f>
        <v/>
      </c>
      <c r="K108" s="55" t="str">
        <f aca="false">IF(OR(A108="",B108=""),"",A108&amp;"|"&amp;B108)</f>
        <v/>
      </c>
    </row>
    <row r="109" customFormat="false" ht="15" hidden="false" customHeight="false" outlineLevel="0" collapsed="false">
      <c r="A109" s="10"/>
      <c r="B109" s="10"/>
      <c r="C109" s="28"/>
      <c r="D109" s="10"/>
      <c r="E109" s="28"/>
      <c r="F109" s="10"/>
      <c r="G109" s="28"/>
      <c r="H109" s="10"/>
      <c r="I109" s="12" t="str">
        <f aca="false">IF(OR(A109="",B109=""),"",IF(G109&lt;&gt;"","Approved",IF(E109&lt;&gt;"","Awaiting finance",IF(C109&lt;&gt;"","Awaiting manager","Awaiting rep"))))</f>
        <v/>
      </c>
      <c r="J109" s="30" t="str">
        <f aca="false">IF(OR(A109="",B109=""),"",IFERROR(INDEX(Calculation!$C$6:$N$140,(MATCH(B109,Settings!$C$13:$C$27,0)-1)*9+7,MATCH(A109,Settings!$N$13:$N$24,0)),""))</f>
        <v/>
      </c>
      <c r="K109" s="55" t="str">
        <f aca="false">IF(OR(A109="",B109=""),"",A109&amp;"|"&amp;B109)</f>
        <v/>
      </c>
    </row>
    <row r="110" customFormat="false" ht="15" hidden="false" customHeight="false" outlineLevel="0" collapsed="false">
      <c r="A110" s="10"/>
      <c r="B110" s="10"/>
      <c r="C110" s="28"/>
      <c r="D110" s="10"/>
      <c r="E110" s="28"/>
      <c r="F110" s="10"/>
      <c r="G110" s="28"/>
      <c r="H110" s="10"/>
      <c r="I110" s="12" t="str">
        <f aca="false">IF(OR(A110="",B110=""),"",IF(G110&lt;&gt;"","Approved",IF(E110&lt;&gt;"","Awaiting finance",IF(C110&lt;&gt;"","Awaiting manager","Awaiting rep"))))</f>
        <v/>
      </c>
      <c r="J110" s="30" t="str">
        <f aca="false">IF(OR(A110="",B110=""),"",IFERROR(INDEX(Calculation!$C$6:$N$140,(MATCH(B110,Settings!$C$13:$C$27,0)-1)*9+7,MATCH(A110,Settings!$N$13:$N$24,0)),""))</f>
        <v/>
      </c>
      <c r="K110" s="55" t="str">
        <f aca="false">IF(OR(A110="",B110=""),"",A110&amp;"|"&amp;B110)</f>
        <v/>
      </c>
    </row>
    <row r="111" customFormat="false" ht="15" hidden="false" customHeight="false" outlineLevel="0" collapsed="false">
      <c r="A111" s="10"/>
      <c r="B111" s="10"/>
      <c r="C111" s="28"/>
      <c r="D111" s="10"/>
      <c r="E111" s="28"/>
      <c r="F111" s="10"/>
      <c r="G111" s="28"/>
      <c r="H111" s="10"/>
      <c r="I111" s="12" t="str">
        <f aca="false">IF(OR(A111="",B111=""),"",IF(G111&lt;&gt;"","Approved",IF(E111&lt;&gt;"","Awaiting finance",IF(C111&lt;&gt;"","Awaiting manager","Awaiting rep"))))</f>
        <v/>
      </c>
      <c r="J111" s="30" t="str">
        <f aca="false">IF(OR(A111="",B111=""),"",IFERROR(INDEX(Calculation!$C$6:$N$140,(MATCH(B111,Settings!$C$13:$C$27,0)-1)*9+7,MATCH(A111,Settings!$N$13:$N$24,0)),""))</f>
        <v/>
      </c>
      <c r="K111" s="55" t="str">
        <f aca="false">IF(OR(A111="",B111=""),"",A111&amp;"|"&amp;B111)</f>
        <v/>
      </c>
    </row>
    <row r="112" customFormat="false" ht="15" hidden="false" customHeight="false" outlineLevel="0" collapsed="false">
      <c r="A112" s="10"/>
      <c r="B112" s="10"/>
      <c r="C112" s="28"/>
      <c r="D112" s="10"/>
      <c r="E112" s="28"/>
      <c r="F112" s="10"/>
      <c r="G112" s="28"/>
      <c r="H112" s="10"/>
      <c r="I112" s="12" t="str">
        <f aca="false">IF(OR(A112="",B112=""),"",IF(G112&lt;&gt;"","Approved",IF(E112&lt;&gt;"","Awaiting finance",IF(C112&lt;&gt;"","Awaiting manager","Awaiting rep"))))</f>
        <v/>
      </c>
      <c r="J112" s="30" t="str">
        <f aca="false">IF(OR(A112="",B112=""),"",IFERROR(INDEX(Calculation!$C$6:$N$140,(MATCH(B112,Settings!$C$13:$C$27,0)-1)*9+7,MATCH(A112,Settings!$N$13:$N$24,0)),""))</f>
        <v/>
      </c>
      <c r="K112" s="55" t="str">
        <f aca="false">IF(OR(A112="",B112=""),"",A112&amp;"|"&amp;B112)</f>
        <v/>
      </c>
    </row>
    <row r="113" customFormat="false" ht="15" hidden="false" customHeight="false" outlineLevel="0" collapsed="false">
      <c r="A113" s="10"/>
      <c r="B113" s="10"/>
      <c r="C113" s="28"/>
      <c r="D113" s="10"/>
      <c r="E113" s="28"/>
      <c r="F113" s="10"/>
      <c r="G113" s="28"/>
      <c r="H113" s="10"/>
      <c r="I113" s="12" t="str">
        <f aca="false">IF(OR(A113="",B113=""),"",IF(G113&lt;&gt;"","Approved",IF(E113&lt;&gt;"","Awaiting finance",IF(C113&lt;&gt;"","Awaiting manager","Awaiting rep"))))</f>
        <v/>
      </c>
      <c r="J113" s="30" t="str">
        <f aca="false">IF(OR(A113="",B113=""),"",IFERROR(INDEX(Calculation!$C$6:$N$140,(MATCH(B113,Settings!$C$13:$C$27,0)-1)*9+7,MATCH(A113,Settings!$N$13:$N$24,0)),""))</f>
        <v/>
      </c>
      <c r="K113" s="55" t="str">
        <f aca="false">IF(OR(A113="",B113=""),"",A113&amp;"|"&amp;B113)</f>
        <v/>
      </c>
    </row>
    <row r="114" customFormat="false" ht="15" hidden="false" customHeight="false" outlineLevel="0" collapsed="false">
      <c r="A114" s="10"/>
      <c r="B114" s="10"/>
      <c r="C114" s="28"/>
      <c r="D114" s="10"/>
      <c r="E114" s="28"/>
      <c r="F114" s="10"/>
      <c r="G114" s="28"/>
      <c r="H114" s="10"/>
      <c r="I114" s="12" t="str">
        <f aca="false">IF(OR(A114="",B114=""),"",IF(G114&lt;&gt;"","Approved",IF(E114&lt;&gt;"","Awaiting finance",IF(C114&lt;&gt;"","Awaiting manager","Awaiting rep"))))</f>
        <v/>
      </c>
      <c r="J114" s="30" t="str">
        <f aca="false">IF(OR(A114="",B114=""),"",IFERROR(INDEX(Calculation!$C$6:$N$140,(MATCH(B114,Settings!$C$13:$C$27,0)-1)*9+7,MATCH(A114,Settings!$N$13:$N$24,0)),""))</f>
        <v/>
      </c>
      <c r="K114" s="55" t="str">
        <f aca="false">IF(OR(A114="",B114=""),"",A114&amp;"|"&amp;B114)</f>
        <v/>
      </c>
    </row>
    <row r="115" customFormat="false" ht="15" hidden="false" customHeight="false" outlineLevel="0" collapsed="false">
      <c r="A115" s="10"/>
      <c r="B115" s="10"/>
      <c r="C115" s="28"/>
      <c r="D115" s="10"/>
      <c r="E115" s="28"/>
      <c r="F115" s="10"/>
      <c r="G115" s="28"/>
      <c r="H115" s="10"/>
      <c r="I115" s="12" t="str">
        <f aca="false">IF(OR(A115="",B115=""),"",IF(G115&lt;&gt;"","Approved",IF(E115&lt;&gt;"","Awaiting finance",IF(C115&lt;&gt;"","Awaiting manager","Awaiting rep"))))</f>
        <v/>
      </c>
      <c r="J115" s="30" t="str">
        <f aca="false">IF(OR(A115="",B115=""),"",IFERROR(INDEX(Calculation!$C$6:$N$140,(MATCH(B115,Settings!$C$13:$C$27,0)-1)*9+7,MATCH(A115,Settings!$N$13:$N$24,0)),""))</f>
        <v/>
      </c>
      <c r="K115" s="55" t="str">
        <f aca="false">IF(OR(A115="",B115=""),"",A115&amp;"|"&amp;B115)</f>
        <v/>
      </c>
    </row>
    <row r="116" customFormat="false" ht="15" hidden="false" customHeight="false" outlineLevel="0" collapsed="false">
      <c r="A116" s="10"/>
      <c r="B116" s="10"/>
      <c r="C116" s="28"/>
      <c r="D116" s="10"/>
      <c r="E116" s="28"/>
      <c r="F116" s="10"/>
      <c r="G116" s="28"/>
      <c r="H116" s="10"/>
      <c r="I116" s="12" t="str">
        <f aca="false">IF(OR(A116="",B116=""),"",IF(G116&lt;&gt;"","Approved",IF(E116&lt;&gt;"","Awaiting finance",IF(C116&lt;&gt;"","Awaiting manager","Awaiting rep"))))</f>
        <v/>
      </c>
      <c r="J116" s="30" t="str">
        <f aca="false">IF(OR(A116="",B116=""),"",IFERROR(INDEX(Calculation!$C$6:$N$140,(MATCH(B116,Settings!$C$13:$C$27,0)-1)*9+7,MATCH(A116,Settings!$N$13:$N$24,0)),""))</f>
        <v/>
      </c>
      <c r="K116" s="55" t="str">
        <f aca="false">IF(OR(A116="",B116=""),"",A116&amp;"|"&amp;B116)</f>
        <v/>
      </c>
    </row>
    <row r="117" customFormat="false" ht="15" hidden="false" customHeight="false" outlineLevel="0" collapsed="false">
      <c r="A117" s="10"/>
      <c r="B117" s="10"/>
      <c r="C117" s="28"/>
      <c r="D117" s="10"/>
      <c r="E117" s="28"/>
      <c r="F117" s="10"/>
      <c r="G117" s="28"/>
      <c r="H117" s="10"/>
      <c r="I117" s="12" t="str">
        <f aca="false">IF(OR(A117="",B117=""),"",IF(G117&lt;&gt;"","Approved",IF(E117&lt;&gt;"","Awaiting finance",IF(C117&lt;&gt;"","Awaiting manager","Awaiting rep"))))</f>
        <v/>
      </c>
      <c r="J117" s="30" t="str">
        <f aca="false">IF(OR(A117="",B117=""),"",IFERROR(INDEX(Calculation!$C$6:$N$140,(MATCH(B117,Settings!$C$13:$C$27,0)-1)*9+7,MATCH(A117,Settings!$N$13:$N$24,0)),""))</f>
        <v/>
      </c>
      <c r="K117" s="55" t="str">
        <f aca="false">IF(OR(A117="",B117=""),"",A117&amp;"|"&amp;B117)</f>
        <v/>
      </c>
    </row>
    <row r="118" customFormat="false" ht="15" hidden="false" customHeight="false" outlineLevel="0" collapsed="false">
      <c r="A118" s="10"/>
      <c r="B118" s="10"/>
      <c r="C118" s="28"/>
      <c r="D118" s="10"/>
      <c r="E118" s="28"/>
      <c r="F118" s="10"/>
      <c r="G118" s="28"/>
      <c r="H118" s="10"/>
      <c r="I118" s="12" t="str">
        <f aca="false">IF(OR(A118="",B118=""),"",IF(G118&lt;&gt;"","Approved",IF(E118&lt;&gt;"","Awaiting finance",IF(C118&lt;&gt;"","Awaiting manager","Awaiting rep"))))</f>
        <v/>
      </c>
      <c r="J118" s="30" t="str">
        <f aca="false">IF(OR(A118="",B118=""),"",IFERROR(INDEX(Calculation!$C$6:$N$140,(MATCH(B118,Settings!$C$13:$C$27,0)-1)*9+7,MATCH(A118,Settings!$N$13:$N$24,0)),""))</f>
        <v/>
      </c>
      <c r="K118" s="55" t="str">
        <f aca="false">IF(OR(A118="",B118=""),"",A118&amp;"|"&amp;B118)</f>
        <v/>
      </c>
    </row>
    <row r="119" customFormat="false" ht="15" hidden="false" customHeight="false" outlineLevel="0" collapsed="false">
      <c r="A119" s="10"/>
      <c r="B119" s="10"/>
      <c r="C119" s="28"/>
      <c r="D119" s="10"/>
      <c r="E119" s="28"/>
      <c r="F119" s="10"/>
      <c r="G119" s="28"/>
      <c r="H119" s="10"/>
      <c r="I119" s="12" t="str">
        <f aca="false">IF(OR(A119="",B119=""),"",IF(G119&lt;&gt;"","Approved",IF(E119&lt;&gt;"","Awaiting finance",IF(C119&lt;&gt;"","Awaiting manager","Awaiting rep"))))</f>
        <v/>
      </c>
      <c r="J119" s="30" t="str">
        <f aca="false">IF(OR(A119="",B119=""),"",IFERROR(INDEX(Calculation!$C$6:$N$140,(MATCH(B119,Settings!$C$13:$C$27,0)-1)*9+7,MATCH(A119,Settings!$N$13:$N$24,0)),""))</f>
        <v/>
      </c>
      <c r="K119" s="55" t="str">
        <f aca="false">IF(OR(A119="",B119=""),"",A119&amp;"|"&amp;B119)</f>
        <v/>
      </c>
    </row>
    <row r="120" customFormat="false" ht="15" hidden="false" customHeight="false" outlineLevel="0" collapsed="false">
      <c r="A120" s="10"/>
      <c r="B120" s="10"/>
      <c r="C120" s="28"/>
      <c r="D120" s="10"/>
      <c r="E120" s="28"/>
      <c r="F120" s="10"/>
      <c r="G120" s="28"/>
      <c r="H120" s="10"/>
      <c r="I120" s="12" t="str">
        <f aca="false">IF(OR(A120="",B120=""),"",IF(G120&lt;&gt;"","Approved",IF(E120&lt;&gt;"","Awaiting finance",IF(C120&lt;&gt;"","Awaiting manager","Awaiting rep"))))</f>
        <v/>
      </c>
      <c r="J120" s="30" t="str">
        <f aca="false">IF(OR(A120="",B120=""),"",IFERROR(INDEX(Calculation!$C$6:$N$140,(MATCH(B120,Settings!$C$13:$C$27,0)-1)*9+7,MATCH(A120,Settings!$N$13:$N$24,0)),""))</f>
        <v/>
      </c>
      <c r="K120" s="55" t="str">
        <f aca="false">IF(OR(A120="",B120=""),"",A120&amp;"|"&amp;B120)</f>
        <v/>
      </c>
    </row>
    <row r="121" customFormat="false" ht="15" hidden="false" customHeight="false" outlineLevel="0" collapsed="false">
      <c r="A121" s="10"/>
      <c r="B121" s="10"/>
      <c r="C121" s="28"/>
      <c r="D121" s="10"/>
      <c r="E121" s="28"/>
      <c r="F121" s="10"/>
      <c r="G121" s="28"/>
      <c r="H121" s="10"/>
      <c r="I121" s="12" t="str">
        <f aca="false">IF(OR(A121="",B121=""),"",IF(G121&lt;&gt;"","Approved",IF(E121&lt;&gt;"","Awaiting finance",IF(C121&lt;&gt;"","Awaiting manager","Awaiting rep"))))</f>
        <v/>
      </c>
      <c r="J121" s="30" t="str">
        <f aca="false">IF(OR(A121="",B121=""),"",IFERROR(INDEX(Calculation!$C$6:$N$140,(MATCH(B121,Settings!$C$13:$C$27,0)-1)*9+7,MATCH(A121,Settings!$N$13:$N$24,0)),""))</f>
        <v/>
      </c>
      <c r="K121" s="55" t="str">
        <f aca="false">IF(OR(A121="",B121=""),"",A121&amp;"|"&amp;B121)</f>
        <v/>
      </c>
    </row>
    <row r="122" customFormat="false" ht="15" hidden="false" customHeight="false" outlineLevel="0" collapsed="false">
      <c r="A122" s="10"/>
      <c r="B122" s="10"/>
      <c r="C122" s="28"/>
      <c r="D122" s="10"/>
      <c r="E122" s="28"/>
      <c r="F122" s="10"/>
      <c r="G122" s="28"/>
      <c r="H122" s="10"/>
      <c r="I122" s="12" t="str">
        <f aca="false">IF(OR(A122="",B122=""),"",IF(G122&lt;&gt;"","Approved",IF(E122&lt;&gt;"","Awaiting finance",IF(C122&lt;&gt;"","Awaiting manager","Awaiting rep"))))</f>
        <v/>
      </c>
      <c r="J122" s="30" t="str">
        <f aca="false">IF(OR(A122="",B122=""),"",IFERROR(INDEX(Calculation!$C$6:$N$140,(MATCH(B122,Settings!$C$13:$C$27,0)-1)*9+7,MATCH(A122,Settings!$N$13:$N$24,0)),""))</f>
        <v/>
      </c>
      <c r="K122" s="55" t="str">
        <f aca="false">IF(OR(A122="",B122=""),"",A122&amp;"|"&amp;B122)</f>
        <v/>
      </c>
    </row>
    <row r="123" customFormat="false" ht="15" hidden="false" customHeight="false" outlineLevel="0" collapsed="false">
      <c r="A123" s="10"/>
      <c r="B123" s="10"/>
      <c r="C123" s="28"/>
      <c r="D123" s="10"/>
      <c r="E123" s="28"/>
      <c r="F123" s="10"/>
      <c r="G123" s="28"/>
      <c r="H123" s="10"/>
      <c r="I123" s="12" t="str">
        <f aca="false">IF(OR(A123="",B123=""),"",IF(G123&lt;&gt;"","Approved",IF(E123&lt;&gt;"","Awaiting finance",IF(C123&lt;&gt;"","Awaiting manager","Awaiting rep"))))</f>
        <v/>
      </c>
      <c r="J123" s="30" t="str">
        <f aca="false">IF(OR(A123="",B123=""),"",IFERROR(INDEX(Calculation!$C$6:$N$140,(MATCH(B123,Settings!$C$13:$C$27,0)-1)*9+7,MATCH(A123,Settings!$N$13:$N$24,0)),""))</f>
        <v/>
      </c>
      <c r="K123" s="55" t="str">
        <f aca="false">IF(OR(A123="",B123=""),"",A123&amp;"|"&amp;B123)</f>
        <v/>
      </c>
    </row>
    <row r="124" customFormat="false" ht="15" hidden="false" customHeight="false" outlineLevel="0" collapsed="false">
      <c r="A124" s="10"/>
      <c r="B124" s="10"/>
      <c r="C124" s="28"/>
      <c r="D124" s="10"/>
      <c r="E124" s="28"/>
      <c r="F124" s="10"/>
      <c r="G124" s="28"/>
      <c r="H124" s="10"/>
      <c r="I124" s="12" t="str">
        <f aca="false">IF(OR(A124="",B124=""),"",IF(G124&lt;&gt;"","Approved",IF(E124&lt;&gt;"","Awaiting finance",IF(C124&lt;&gt;"","Awaiting manager","Awaiting rep"))))</f>
        <v/>
      </c>
      <c r="J124" s="30" t="str">
        <f aca="false">IF(OR(A124="",B124=""),"",IFERROR(INDEX(Calculation!$C$6:$N$140,(MATCH(B124,Settings!$C$13:$C$27,0)-1)*9+7,MATCH(A124,Settings!$N$13:$N$24,0)),""))</f>
        <v/>
      </c>
      <c r="K124" s="55" t="str">
        <f aca="false">IF(OR(A124="",B124=""),"",A124&amp;"|"&amp;B124)</f>
        <v/>
      </c>
    </row>
    <row r="125" customFormat="false" ht="15" hidden="false" customHeight="false" outlineLevel="0" collapsed="false">
      <c r="A125" s="10"/>
      <c r="B125" s="10"/>
      <c r="C125" s="28"/>
      <c r="D125" s="10"/>
      <c r="E125" s="28"/>
      <c r="F125" s="10"/>
      <c r="G125" s="28"/>
      <c r="H125" s="10"/>
      <c r="I125" s="12" t="str">
        <f aca="false">IF(OR(A125="",B125=""),"",IF(G125&lt;&gt;"","Approved",IF(E125&lt;&gt;"","Awaiting finance",IF(C125&lt;&gt;"","Awaiting manager","Awaiting rep"))))</f>
        <v/>
      </c>
      <c r="J125" s="30" t="str">
        <f aca="false">IF(OR(A125="",B125=""),"",IFERROR(INDEX(Calculation!$C$6:$N$140,(MATCH(B125,Settings!$C$13:$C$27,0)-1)*9+7,MATCH(A125,Settings!$N$13:$N$24,0)),""))</f>
        <v/>
      </c>
      <c r="K125" s="55" t="str">
        <f aca="false">IF(OR(A125="",B125=""),"",A125&amp;"|"&amp;B125)</f>
        <v/>
      </c>
    </row>
    <row r="126" customFormat="false" ht="15" hidden="false" customHeight="false" outlineLevel="0" collapsed="false">
      <c r="A126" s="10"/>
      <c r="B126" s="10"/>
      <c r="C126" s="28"/>
      <c r="D126" s="10"/>
      <c r="E126" s="28"/>
      <c r="F126" s="10"/>
      <c r="G126" s="28"/>
      <c r="H126" s="10"/>
      <c r="I126" s="12" t="str">
        <f aca="false">IF(OR(A126="",B126=""),"",IF(G126&lt;&gt;"","Approved",IF(E126&lt;&gt;"","Awaiting finance",IF(C126&lt;&gt;"","Awaiting manager","Awaiting rep"))))</f>
        <v/>
      </c>
      <c r="J126" s="30" t="str">
        <f aca="false">IF(OR(A126="",B126=""),"",IFERROR(INDEX(Calculation!$C$6:$N$140,(MATCH(B126,Settings!$C$13:$C$27,0)-1)*9+7,MATCH(A126,Settings!$N$13:$N$24,0)),""))</f>
        <v/>
      </c>
      <c r="K126" s="55" t="str">
        <f aca="false">IF(OR(A126="",B126=""),"",A126&amp;"|"&amp;B126)</f>
        <v/>
      </c>
    </row>
    <row r="127" customFormat="false" ht="15" hidden="false" customHeight="false" outlineLevel="0" collapsed="false">
      <c r="A127" s="10"/>
      <c r="B127" s="10"/>
      <c r="C127" s="28"/>
      <c r="D127" s="10"/>
      <c r="E127" s="28"/>
      <c r="F127" s="10"/>
      <c r="G127" s="28"/>
      <c r="H127" s="10"/>
      <c r="I127" s="12" t="str">
        <f aca="false">IF(OR(A127="",B127=""),"",IF(G127&lt;&gt;"","Approved",IF(E127&lt;&gt;"","Awaiting finance",IF(C127&lt;&gt;"","Awaiting manager","Awaiting rep"))))</f>
        <v/>
      </c>
      <c r="J127" s="30" t="str">
        <f aca="false">IF(OR(A127="",B127=""),"",IFERROR(INDEX(Calculation!$C$6:$N$140,(MATCH(B127,Settings!$C$13:$C$27,0)-1)*9+7,MATCH(A127,Settings!$N$13:$N$24,0)),""))</f>
        <v/>
      </c>
      <c r="K127" s="55" t="str">
        <f aca="false">IF(OR(A127="",B127=""),"",A127&amp;"|"&amp;B127)</f>
        <v/>
      </c>
    </row>
    <row r="128" customFormat="false" ht="15" hidden="false" customHeight="false" outlineLevel="0" collapsed="false">
      <c r="A128" s="10"/>
      <c r="B128" s="10"/>
      <c r="C128" s="28"/>
      <c r="D128" s="10"/>
      <c r="E128" s="28"/>
      <c r="F128" s="10"/>
      <c r="G128" s="28"/>
      <c r="H128" s="10"/>
      <c r="I128" s="12" t="str">
        <f aca="false">IF(OR(A128="",B128=""),"",IF(G128&lt;&gt;"","Approved",IF(E128&lt;&gt;"","Awaiting finance",IF(C128&lt;&gt;"","Awaiting manager","Awaiting rep"))))</f>
        <v/>
      </c>
      <c r="J128" s="30" t="str">
        <f aca="false">IF(OR(A128="",B128=""),"",IFERROR(INDEX(Calculation!$C$6:$N$140,(MATCH(B128,Settings!$C$13:$C$27,0)-1)*9+7,MATCH(A128,Settings!$N$13:$N$24,0)),""))</f>
        <v/>
      </c>
      <c r="K128" s="55" t="str">
        <f aca="false">IF(OR(A128="",B128=""),"",A128&amp;"|"&amp;B128)</f>
        <v/>
      </c>
    </row>
    <row r="129" customFormat="false" ht="15" hidden="false" customHeight="false" outlineLevel="0" collapsed="false">
      <c r="A129" s="10"/>
      <c r="B129" s="10"/>
      <c r="C129" s="28"/>
      <c r="D129" s="10"/>
      <c r="E129" s="28"/>
      <c r="F129" s="10"/>
      <c r="G129" s="28"/>
      <c r="H129" s="10"/>
      <c r="I129" s="12" t="str">
        <f aca="false">IF(OR(A129="",B129=""),"",IF(G129&lt;&gt;"","Approved",IF(E129&lt;&gt;"","Awaiting finance",IF(C129&lt;&gt;"","Awaiting manager","Awaiting rep"))))</f>
        <v/>
      </c>
      <c r="J129" s="30" t="str">
        <f aca="false">IF(OR(A129="",B129=""),"",IFERROR(INDEX(Calculation!$C$6:$N$140,(MATCH(B129,Settings!$C$13:$C$27,0)-1)*9+7,MATCH(A129,Settings!$N$13:$N$24,0)),""))</f>
        <v/>
      </c>
      <c r="K129" s="55" t="str">
        <f aca="false">IF(OR(A129="",B129=""),"",A129&amp;"|"&amp;B129)</f>
        <v/>
      </c>
    </row>
    <row r="130" customFormat="false" ht="15" hidden="false" customHeight="false" outlineLevel="0" collapsed="false">
      <c r="A130" s="10"/>
      <c r="B130" s="10"/>
      <c r="C130" s="28"/>
      <c r="D130" s="10"/>
      <c r="E130" s="28"/>
      <c r="F130" s="10"/>
      <c r="G130" s="28"/>
      <c r="H130" s="10"/>
      <c r="I130" s="12" t="str">
        <f aca="false">IF(OR(A130="",B130=""),"",IF(G130&lt;&gt;"","Approved",IF(E130&lt;&gt;"","Awaiting finance",IF(C130&lt;&gt;"","Awaiting manager","Awaiting rep"))))</f>
        <v/>
      </c>
      <c r="J130" s="30" t="str">
        <f aca="false">IF(OR(A130="",B130=""),"",IFERROR(INDEX(Calculation!$C$6:$N$140,(MATCH(B130,Settings!$C$13:$C$27,0)-1)*9+7,MATCH(A130,Settings!$N$13:$N$24,0)),""))</f>
        <v/>
      </c>
      <c r="K130" s="55" t="str">
        <f aca="false">IF(OR(A130="",B130=""),"",A130&amp;"|"&amp;B130)</f>
        <v/>
      </c>
    </row>
    <row r="131" customFormat="false" ht="15" hidden="false" customHeight="false" outlineLevel="0" collapsed="false">
      <c r="A131" s="10"/>
      <c r="B131" s="10"/>
      <c r="C131" s="28"/>
      <c r="D131" s="10"/>
      <c r="E131" s="28"/>
      <c r="F131" s="10"/>
      <c r="G131" s="28"/>
      <c r="H131" s="10"/>
      <c r="I131" s="12" t="str">
        <f aca="false">IF(OR(A131="",B131=""),"",IF(G131&lt;&gt;"","Approved",IF(E131&lt;&gt;"","Awaiting finance",IF(C131&lt;&gt;"","Awaiting manager","Awaiting rep"))))</f>
        <v/>
      </c>
      <c r="J131" s="30" t="str">
        <f aca="false">IF(OR(A131="",B131=""),"",IFERROR(INDEX(Calculation!$C$6:$N$140,(MATCH(B131,Settings!$C$13:$C$27,0)-1)*9+7,MATCH(A131,Settings!$N$13:$N$24,0)),""))</f>
        <v/>
      </c>
      <c r="K131" s="55" t="str">
        <f aca="false">IF(OR(A131="",B131=""),"",A131&amp;"|"&amp;B131)</f>
        <v/>
      </c>
    </row>
    <row r="132" customFormat="false" ht="15" hidden="false" customHeight="false" outlineLevel="0" collapsed="false">
      <c r="A132" s="10"/>
      <c r="B132" s="10"/>
      <c r="C132" s="28"/>
      <c r="D132" s="10"/>
      <c r="E132" s="28"/>
      <c r="F132" s="10"/>
      <c r="G132" s="28"/>
      <c r="H132" s="10"/>
      <c r="I132" s="12" t="str">
        <f aca="false">IF(OR(A132="",B132=""),"",IF(G132&lt;&gt;"","Approved",IF(E132&lt;&gt;"","Awaiting finance",IF(C132&lt;&gt;"","Awaiting manager","Awaiting rep"))))</f>
        <v/>
      </c>
      <c r="J132" s="30" t="str">
        <f aca="false">IF(OR(A132="",B132=""),"",IFERROR(INDEX(Calculation!$C$6:$N$140,(MATCH(B132,Settings!$C$13:$C$27,0)-1)*9+7,MATCH(A132,Settings!$N$13:$N$24,0)),""))</f>
        <v/>
      </c>
      <c r="K132" s="55" t="str">
        <f aca="false">IF(OR(A132="",B132=""),"",A132&amp;"|"&amp;B132)</f>
        <v/>
      </c>
    </row>
    <row r="133" customFormat="false" ht="15" hidden="false" customHeight="false" outlineLevel="0" collapsed="false">
      <c r="A133" s="10"/>
      <c r="B133" s="10"/>
      <c r="C133" s="28"/>
      <c r="D133" s="10"/>
      <c r="E133" s="28"/>
      <c r="F133" s="10"/>
      <c r="G133" s="28"/>
      <c r="H133" s="10"/>
      <c r="I133" s="12" t="str">
        <f aca="false">IF(OR(A133="",B133=""),"",IF(G133&lt;&gt;"","Approved",IF(E133&lt;&gt;"","Awaiting finance",IF(C133&lt;&gt;"","Awaiting manager","Awaiting rep"))))</f>
        <v/>
      </c>
      <c r="J133" s="30" t="str">
        <f aca="false">IF(OR(A133="",B133=""),"",IFERROR(INDEX(Calculation!$C$6:$N$140,(MATCH(B133,Settings!$C$13:$C$27,0)-1)*9+7,MATCH(A133,Settings!$N$13:$N$24,0)),""))</f>
        <v/>
      </c>
      <c r="K133" s="55" t="str">
        <f aca="false">IF(OR(A133="",B133=""),"",A133&amp;"|"&amp;B133)</f>
        <v/>
      </c>
    </row>
    <row r="134" customFormat="false" ht="15" hidden="false" customHeight="false" outlineLevel="0" collapsed="false">
      <c r="A134" s="10"/>
      <c r="B134" s="10"/>
      <c r="C134" s="28"/>
      <c r="D134" s="10"/>
      <c r="E134" s="28"/>
      <c r="F134" s="10"/>
      <c r="G134" s="28"/>
      <c r="H134" s="10"/>
      <c r="I134" s="12" t="str">
        <f aca="false">IF(OR(A134="",B134=""),"",IF(G134&lt;&gt;"","Approved",IF(E134&lt;&gt;"","Awaiting finance",IF(C134&lt;&gt;"","Awaiting manager","Awaiting rep"))))</f>
        <v/>
      </c>
      <c r="J134" s="30" t="str">
        <f aca="false">IF(OR(A134="",B134=""),"",IFERROR(INDEX(Calculation!$C$6:$N$140,(MATCH(B134,Settings!$C$13:$C$27,0)-1)*9+7,MATCH(A134,Settings!$N$13:$N$24,0)),""))</f>
        <v/>
      </c>
      <c r="K134" s="55" t="str">
        <f aca="false">IF(OR(A134="",B134=""),"",A134&amp;"|"&amp;B134)</f>
        <v/>
      </c>
    </row>
    <row r="135" customFormat="false" ht="15" hidden="false" customHeight="false" outlineLevel="0" collapsed="false">
      <c r="A135" s="10"/>
      <c r="B135" s="10"/>
      <c r="C135" s="28"/>
      <c r="D135" s="10"/>
      <c r="E135" s="28"/>
      <c r="F135" s="10"/>
      <c r="G135" s="28"/>
      <c r="H135" s="10"/>
      <c r="I135" s="12" t="str">
        <f aca="false">IF(OR(A135="",B135=""),"",IF(G135&lt;&gt;"","Approved",IF(E135&lt;&gt;"","Awaiting finance",IF(C135&lt;&gt;"","Awaiting manager","Awaiting rep"))))</f>
        <v/>
      </c>
      <c r="J135" s="30" t="str">
        <f aca="false">IF(OR(A135="",B135=""),"",IFERROR(INDEX(Calculation!$C$6:$N$140,(MATCH(B135,Settings!$C$13:$C$27,0)-1)*9+7,MATCH(A135,Settings!$N$13:$N$24,0)),""))</f>
        <v/>
      </c>
      <c r="K135" s="55" t="str">
        <f aca="false">IF(OR(A135="",B135=""),"",A135&amp;"|"&amp;B135)</f>
        <v/>
      </c>
    </row>
    <row r="136" customFormat="false" ht="15" hidden="false" customHeight="false" outlineLevel="0" collapsed="false">
      <c r="A136" s="10"/>
      <c r="B136" s="10"/>
      <c r="C136" s="28"/>
      <c r="D136" s="10"/>
      <c r="E136" s="28"/>
      <c r="F136" s="10"/>
      <c r="G136" s="28"/>
      <c r="H136" s="10"/>
      <c r="I136" s="12" t="str">
        <f aca="false">IF(OR(A136="",B136=""),"",IF(G136&lt;&gt;"","Approved",IF(E136&lt;&gt;"","Awaiting finance",IF(C136&lt;&gt;"","Awaiting manager","Awaiting rep"))))</f>
        <v/>
      </c>
      <c r="J136" s="30" t="str">
        <f aca="false">IF(OR(A136="",B136=""),"",IFERROR(INDEX(Calculation!$C$6:$N$140,(MATCH(B136,Settings!$C$13:$C$27,0)-1)*9+7,MATCH(A136,Settings!$N$13:$N$24,0)),""))</f>
        <v/>
      </c>
      <c r="K136" s="55" t="str">
        <f aca="false">IF(OR(A136="",B136=""),"",A136&amp;"|"&amp;B136)</f>
        <v/>
      </c>
    </row>
    <row r="137" customFormat="false" ht="15" hidden="false" customHeight="false" outlineLevel="0" collapsed="false">
      <c r="A137" s="10"/>
      <c r="B137" s="10"/>
      <c r="C137" s="28"/>
      <c r="D137" s="10"/>
      <c r="E137" s="28"/>
      <c r="F137" s="10"/>
      <c r="G137" s="28"/>
      <c r="H137" s="10"/>
      <c r="I137" s="12" t="str">
        <f aca="false">IF(OR(A137="",B137=""),"",IF(G137&lt;&gt;"","Approved",IF(E137&lt;&gt;"","Awaiting finance",IF(C137&lt;&gt;"","Awaiting manager","Awaiting rep"))))</f>
        <v/>
      </c>
      <c r="J137" s="30" t="str">
        <f aca="false">IF(OR(A137="",B137=""),"",IFERROR(INDEX(Calculation!$C$6:$N$140,(MATCH(B137,Settings!$C$13:$C$27,0)-1)*9+7,MATCH(A137,Settings!$N$13:$N$24,0)),""))</f>
        <v/>
      </c>
      <c r="K137" s="55" t="str">
        <f aca="false">IF(OR(A137="",B137=""),"",A137&amp;"|"&amp;B137)</f>
        <v/>
      </c>
    </row>
    <row r="138" customFormat="false" ht="15" hidden="false" customHeight="false" outlineLevel="0" collapsed="false">
      <c r="A138" s="10"/>
      <c r="B138" s="10"/>
      <c r="C138" s="28"/>
      <c r="D138" s="10"/>
      <c r="E138" s="28"/>
      <c r="F138" s="10"/>
      <c r="G138" s="28"/>
      <c r="H138" s="10"/>
      <c r="I138" s="12" t="str">
        <f aca="false">IF(OR(A138="",B138=""),"",IF(G138&lt;&gt;"","Approved",IF(E138&lt;&gt;"","Awaiting finance",IF(C138&lt;&gt;"","Awaiting manager","Awaiting rep"))))</f>
        <v/>
      </c>
      <c r="J138" s="30" t="str">
        <f aca="false">IF(OR(A138="",B138=""),"",IFERROR(INDEX(Calculation!$C$6:$N$140,(MATCH(B138,Settings!$C$13:$C$27,0)-1)*9+7,MATCH(A138,Settings!$N$13:$N$24,0)),""))</f>
        <v/>
      </c>
      <c r="K138" s="55" t="str">
        <f aca="false">IF(OR(A138="",B138=""),"",A138&amp;"|"&amp;B138)</f>
        <v/>
      </c>
    </row>
    <row r="139" customFormat="false" ht="15" hidden="false" customHeight="false" outlineLevel="0" collapsed="false">
      <c r="A139" s="10"/>
      <c r="B139" s="10"/>
      <c r="C139" s="28"/>
      <c r="D139" s="10"/>
      <c r="E139" s="28"/>
      <c r="F139" s="10"/>
      <c r="G139" s="28"/>
      <c r="H139" s="10"/>
      <c r="I139" s="12" t="str">
        <f aca="false">IF(OR(A139="",B139=""),"",IF(G139&lt;&gt;"","Approved",IF(E139&lt;&gt;"","Awaiting finance",IF(C139&lt;&gt;"","Awaiting manager","Awaiting rep"))))</f>
        <v/>
      </c>
      <c r="J139" s="30" t="str">
        <f aca="false">IF(OR(A139="",B139=""),"",IFERROR(INDEX(Calculation!$C$6:$N$140,(MATCH(B139,Settings!$C$13:$C$27,0)-1)*9+7,MATCH(A139,Settings!$N$13:$N$24,0)),""))</f>
        <v/>
      </c>
      <c r="K139" s="55" t="str">
        <f aca="false">IF(OR(A139="",B139=""),"",A139&amp;"|"&amp;B139)</f>
        <v/>
      </c>
    </row>
    <row r="140" customFormat="false" ht="15" hidden="false" customHeight="false" outlineLevel="0" collapsed="false">
      <c r="A140" s="10"/>
      <c r="B140" s="10"/>
      <c r="C140" s="28"/>
      <c r="D140" s="10"/>
      <c r="E140" s="28"/>
      <c r="F140" s="10"/>
      <c r="G140" s="28"/>
      <c r="H140" s="10"/>
      <c r="I140" s="12" t="str">
        <f aca="false">IF(OR(A140="",B140=""),"",IF(G140&lt;&gt;"","Approved",IF(E140&lt;&gt;"","Awaiting finance",IF(C140&lt;&gt;"","Awaiting manager","Awaiting rep"))))</f>
        <v/>
      </c>
      <c r="J140" s="30" t="str">
        <f aca="false">IF(OR(A140="",B140=""),"",IFERROR(INDEX(Calculation!$C$6:$N$140,(MATCH(B140,Settings!$C$13:$C$27,0)-1)*9+7,MATCH(A140,Settings!$N$13:$N$24,0)),""))</f>
        <v/>
      </c>
      <c r="K140" s="55" t="str">
        <f aca="false">IF(OR(A140="",B140=""),"",A140&amp;"|"&amp;B140)</f>
        <v/>
      </c>
    </row>
    <row r="141" customFormat="false" ht="15" hidden="false" customHeight="false" outlineLevel="0" collapsed="false">
      <c r="A141" s="10"/>
      <c r="B141" s="10"/>
      <c r="C141" s="28"/>
      <c r="D141" s="10"/>
      <c r="E141" s="28"/>
      <c r="F141" s="10"/>
      <c r="G141" s="28"/>
      <c r="H141" s="10"/>
      <c r="I141" s="12" t="str">
        <f aca="false">IF(OR(A141="",B141=""),"",IF(G141&lt;&gt;"","Approved",IF(E141&lt;&gt;"","Awaiting finance",IF(C141&lt;&gt;"","Awaiting manager","Awaiting rep"))))</f>
        <v/>
      </c>
      <c r="J141" s="30" t="str">
        <f aca="false">IF(OR(A141="",B141=""),"",IFERROR(INDEX(Calculation!$C$6:$N$140,(MATCH(B141,Settings!$C$13:$C$27,0)-1)*9+7,MATCH(A141,Settings!$N$13:$N$24,0)),""))</f>
        <v/>
      </c>
      <c r="K141" s="55" t="str">
        <f aca="false">IF(OR(A141="",B141=""),"",A141&amp;"|"&amp;B141)</f>
        <v/>
      </c>
    </row>
    <row r="142" customFormat="false" ht="15" hidden="false" customHeight="false" outlineLevel="0" collapsed="false">
      <c r="A142" s="10"/>
      <c r="B142" s="10"/>
      <c r="C142" s="28"/>
      <c r="D142" s="10"/>
      <c r="E142" s="28"/>
      <c r="F142" s="10"/>
      <c r="G142" s="28"/>
      <c r="H142" s="10"/>
      <c r="I142" s="12" t="str">
        <f aca="false">IF(OR(A142="",B142=""),"",IF(G142&lt;&gt;"","Approved",IF(E142&lt;&gt;"","Awaiting finance",IF(C142&lt;&gt;"","Awaiting manager","Awaiting rep"))))</f>
        <v/>
      </c>
      <c r="J142" s="30" t="str">
        <f aca="false">IF(OR(A142="",B142=""),"",IFERROR(INDEX(Calculation!$C$6:$N$140,(MATCH(B142,Settings!$C$13:$C$27,0)-1)*9+7,MATCH(A142,Settings!$N$13:$N$24,0)),""))</f>
        <v/>
      </c>
      <c r="K142" s="55" t="str">
        <f aca="false">IF(OR(A142="",B142=""),"",A142&amp;"|"&amp;B142)</f>
        <v/>
      </c>
    </row>
    <row r="143" customFormat="false" ht="15" hidden="false" customHeight="false" outlineLevel="0" collapsed="false">
      <c r="A143" s="10"/>
      <c r="B143" s="10"/>
      <c r="C143" s="28"/>
      <c r="D143" s="10"/>
      <c r="E143" s="28"/>
      <c r="F143" s="10"/>
      <c r="G143" s="28"/>
      <c r="H143" s="10"/>
      <c r="I143" s="12" t="str">
        <f aca="false">IF(OR(A143="",B143=""),"",IF(G143&lt;&gt;"","Approved",IF(E143&lt;&gt;"","Awaiting finance",IF(C143&lt;&gt;"","Awaiting manager","Awaiting rep"))))</f>
        <v/>
      </c>
      <c r="J143" s="30" t="str">
        <f aca="false">IF(OR(A143="",B143=""),"",IFERROR(INDEX(Calculation!$C$6:$N$140,(MATCH(B143,Settings!$C$13:$C$27,0)-1)*9+7,MATCH(A143,Settings!$N$13:$N$24,0)),""))</f>
        <v/>
      </c>
      <c r="K143" s="55" t="str">
        <f aca="false">IF(OR(A143="",B143=""),"",A143&amp;"|"&amp;B143)</f>
        <v/>
      </c>
    </row>
    <row r="144" customFormat="false" ht="15" hidden="false" customHeight="false" outlineLevel="0" collapsed="false">
      <c r="A144" s="10"/>
      <c r="B144" s="10"/>
      <c r="C144" s="28"/>
      <c r="D144" s="10"/>
      <c r="E144" s="28"/>
      <c r="F144" s="10"/>
      <c r="G144" s="28"/>
      <c r="H144" s="10"/>
      <c r="I144" s="12" t="str">
        <f aca="false">IF(OR(A144="",B144=""),"",IF(G144&lt;&gt;"","Approved",IF(E144&lt;&gt;"","Awaiting finance",IF(C144&lt;&gt;"","Awaiting manager","Awaiting rep"))))</f>
        <v/>
      </c>
      <c r="J144" s="30" t="str">
        <f aca="false">IF(OR(A144="",B144=""),"",IFERROR(INDEX(Calculation!$C$6:$N$140,(MATCH(B144,Settings!$C$13:$C$27,0)-1)*9+7,MATCH(A144,Settings!$N$13:$N$24,0)),""))</f>
        <v/>
      </c>
      <c r="K144" s="55" t="str">
        <f aca="false">IF(OR(A144="",B144=""),"",A144&amp;"|"&amp;B144)</f>
        <v/>
      </c>
    </row>
    <row r="145" customFormat="false" ht="15" hidden="false" customHeight="false" outlineLevel="0" collapsed="false">
      <c r="A145" s="10"/>
      <c r="B145" s="10"/>
      <c r="C145" s="28"/>
      <c r="D145" s="10"/>
      <c r="E145" s="28"/>
      <c r="F145" s="10"/>
      <c r="G145" s="28"/>
      <c r="H145" s="10"/>
      <c r="I145" s="12" t="str">
        <f aca="false">IF(OR(A145="",B145=""),"",IF(G145&lt;&gt;"","Approved",IF(E145&lt;&gt;"","Awaiting finance",IF(C145&lt;&gt;"","Awaiting manager","Awaiting rep"))))</f>
        <v/>
      </c>
      <c r="J145" s="30" t="str">
        <f aca="false">IF(OR(A145="",B145=""),"",IFERROR(INDEX(Calculation!$C$6:$N$140,(MATCH(B145,Settings!$C$13:$C$27,0)-1)*9+7,MATCH(A145,Settings!$N$13:$N$24,0)),""))</f>
        <v/>
      </c>
      <c r="K145" s="55" t="str">
        <f aca="false">IF(OR(A145="",B145=""),"",A145&amp;"|"&amp;B145)</f>
        <v/>
      </c>
    </row>
    <row r="146" customFormat="false" ht="15" hidden="false" customHeight="false" outlineLevel="0" collapsed="false">
      <c r="A146" s="10"/>
      <c r="B146" s="10"/>
      <c r="C146" s="28"/>
      <c r="D146" s="10"/>
      <c r="E146" s="28"/>
      <c r="F146" s="10"/>
      <c r="G146" s="28"/>
      <c r="H146" s="10"/>
      <c r="I146" s="12" t="str">
        <f aca="false">IF(OR(A146="",B146=""),"",IF(G146&lt;&gt;"","Approved",IF(E146&lt;&gt;"","Awaiting finance",IF(C146&lt;&gt;"","Awaiting manager","Awaiting rep"))))</f>
        <v/>
      </c>
      <c r="J146" s="30" t="str">
        <f aca="false">IF(OR(A146="",B146=""),"",IFERROR(INDEX(Calculation!$C$6:$N$140,(MATCH(B146,Settings!$C$13:$C$27,0)-1)*9+7,MATCH(A146,Settings!$N$13:$N$24,0)),""))</f>
        <v/>
      </c>
      <c r="K146" s="55" t="str">
        <f aca="false">IF(OR(A146="",B146=""),"",A146&amp;"|"&amp;B146)</f>
        <v/>
      </c>
    </row>
    <row r="147" customFormat="false" ht="15" hidden="false" customHeight="false" outlineLevel="0" collapsed="false">
      <c r="A147" s="10"/>
      <c r="B147" s="10"/>
      <c r="C147" s="28"/>
      <c r="D147" s="10"/>
      <c r="E147" s="28"/>
      <c r="F147" s="10"/>
      <c r="G147" s="28"/>
      <c r="H147" s="10"/>
      <c r="I147" s="12" t="str">
        <f aca="false">IF(OR(A147="",B147=""),"",IF(G147&lt;&gt;"","Approved",IF(E147&lt;&gt;"","Awaiting finance",IF(C147&lt;&gt;"","Awaiting manager","Awaiting rep"))))</f>
        <v/>
      </c>
      <c r="J147" s="30" t="str">
        <f aca="false">IF(OR(A147="",B147=""),"",IFERROR(INDEX(Calculation!$C$6:$N$140,(MATCH(B147,Settings!$C$13:$C$27,0)-1)*9+7,MATCH(A147,Settings!$N$13:$N$24,0)),""))</f>
        <v/>
      </c>
      <c r="K147" s="55" t="str">
        <f aca="false">IF(OR(A147="",B147=""),"",A147&amp;"|"&amp;B147)</f>
        <v/>
      </c>
    </row>
    <row r="148" customFormat="false" ht="15" hidden="false" customHeight="false" outlineLevel="0" collapsed="false">
      <c r="A148" s="10"/>
      <c r="B148" s="10"/>
      <c r="C148" s="28"/>
      <c r="D148" s="10"/>
      <c r="E148" s="28"/>
      <c r="F148" s="10"/>
      <c r="G148" s="28"/>
      <c r="H148" s="10"/>
      <c r="I148" s="12" t="str">
        <f aca="false">IF(OR(A148="",B148=""),"",IF(G148&lt;&gt;"","Approved",IF(E148&lt;&gt;"","Awaiting finance",IF(C148&lt;&gt;"","Awaiting manager","Awaiting rep"))))</f>
        <v/>
      </c>
      <c r="J148" s="30" t="str">
        <f aca="false">IF(OR(A148="",B148=""),"",IFERROR(INDEX(Calculation!$C$6:$N$140,(MATCH(B148,Settings!$C$13:$C$27,0)-1)*9+7,MATCH(A148,Settings!$N$13:$N$24,0)),""))</f>
        <v/>
      </c>
      <c r="K148" s="55" t="str">
        <f aca="false">IF(OR(A148="",B148=""),"",A148&amp;"|"&amp;B148)</f>
        <v/>
      </c>
    </row>
    <row r="149" customFormat="false" ht="15" hidden="false" customHeight="false" outlineLevel="0" collapsed="false">
      <c r="A149" s="10"/>
      <c r="B149" s="10"/>
      <c r="C149" s="28"/>
      <c r="D149" s="10"/>
      <c r="E149" s="28"/>
      <c r="F149" s="10"/>
      <c r="G149" s="28"/>
      <c r="H149" s="10"/>
      <c r="I149" s="12" t="str">
        <f aca="false">IF(OR(A149="",B149=""),"",IF(G149&lt;&gt;"","Approved",IF(E149&lt;&gt;"","Awaiting finance",IF(C149&lt;&gt;"","Awaiting manager","Awaiting rep"))))</f>
        <v/>
      </c>
      <c r="J149" s="30" t="str">
        <f aca="false">IF(OR(A149="",B149=""),"",IFERROR(INDEX(Calculation!$C$6:$N$140,(MATCH(B149,Settings!$C$13:$C$27,0)-1)*9+7,MATCH(A149,Settings!$N$13:$N$24,0)),""))</f>
        <v/>
      </c>
      <c r="K149" s="55" t="str">
        <f aca="false">IF(OR(A149="",B149=""),"",A149&amp;"|"&amp;B149)</f>
        <v/>
      </c>
    </row>
    <row r="150" customFormat="false" ht="15" hidden="false" customHeight="false" outlineLevel="0" collapsed="false">
      <c r="A150" s="10"/>
      <c r="B150" s="10"/>
      <c r="C150" s="28"/>
      <c r="D150" s="10"/>
      <c r="E150" s="28"/>
      <c r="F150" s="10"/>
      <c r="G150" s="28"/>
      <c r="H150" s="10"/>
      <c r="I150" s="12" t="str">
        <f aca="false">IF(OR(A150="",B150=""),"",IF(G150&lt;&gt;"","Approved",IF(E150&lt;&gt;"","Awaiting finance",IF(C150&lt;&gt;"","Awaiting manager","Awaiting rep"))))</f>
        <v/>
      </c>
      <c r="J150" s="30" t="str">
        <f aca="false">IF(OR(A150="",B150=""),"",IFERROR(INDEX(Calculation!$C$6:$N$140,(MATCH(B150,Settings!$C$13:$C$27,0)-1)*9+7,MATCH(A150,Settings!$N$13:$N$24,0)),""))</f>
        <v/>
      </c>
      <c r="K150" s="55" t="str">
        <f aca="false">IF(OR(A150="",B150=""),"",A150&amp;"|"&amp;B150)</f>
        <v/>
      </c>
    </row>
    <row r="151" customFormat="false" ht="15" hidden="false" customHeight="false" outlineLevel="0" collapsed="false">
      <c r="A151" s="10"/>
      <c r="B151" s="10"/>
      <c r="C151" s="28"/>
      <c r="D151" s="10"/>
      <c r="E151" s="28"/>
      <c r="F151" s="10"/>
      <c r="G151" s="28"/>
      <c r="H151" s="10"/>
      <c r="I151" s="12" t="str">
        <f aca="false">IF(OR(A151="",B151=""),"",IF(G151&lt;&gt;"","Approved",IF(E151&lt;&gt;"","Awaiting finance",IF(C151&lt;&gt;"","Awaiting manager","Awaiting rep"))))</f>
        <v/>
      </c>
      <c r="J151" s="30" t="str">
        <f aca="false">IF(OR(A151="",B151=""),"",IFERROR(INDEX(Calculation!$C$6:$N$140,(MATCH(B151,Settings!$C$13:$C$27,0)-1)*9+7,MATCH(A151,Settings!$N$13:$N$24,0)),""))</f>
        <v/>
      </c>
      <c r="K151" s="55" t="str">
        <f aca="false">IF(OR(A151="",B151=""),"",A151&amp;"|"&amp;B151)</f>
        <v/>
      </c>
    </row>
    <row r="152" customFormat="false" ht="15" hidden="false" customHeight="false" outlineLevel="0" collapsed="false">
      <c r="A152" s="10"/>
      <c r="B152" s="10"/>
      <c r="C152" s="28"/>
      <c r="D152" s="10"/>
      <c r="E152" s="28"/>
      <c r="F152" s="10"/>
      <c r="G152" s="28"/>
      <c r="H152" s="10"/>
      <c r="I152" s="12" t="str">
        <f aca="false">IF(OR(A152="",B152=""),"",IF(G152&lt;&gt;"","Approved",IF(E152&lt;&gt;"","Awaiting finance",IF(C152&lt;&gt;"","Awaiting manager","Awaiting rep"))))</f>
        <v/>
      </c>
      <c r="J152" s="30" t="str">
        <f aca="false">IF(OR(A152="",B152=""),"",IFERROR(INDEX(Calculation!$C$6:$N$140,(MATCH(B152,Settings!$C$13:$C$27,0)-1)*9+7,MATCH(A152,Settings!$N$13:$N$24,0)),""))</f>
        <v/>
      </c>
      <c r="K152" s="55" t="str">
        <f aca="false">IF(OR(A152="",B152=""),"",A152&amp;"|"&amp;B152)</f>
        <v/>
      </c>
    </row>
    <row r="153" customFormat="false" ht="15" hidden="false" customHeight="false" outlineLevel="0" collapsed="false">
      <c r="A153" s="10"/>
      <c r="B153" s="10"/>
      <c r="C153" s="28"/>
      <c r="D153" s="10"/>
      <c r="E153" s="28"/>
      <c r="F153" s="10"/>
      <c r="G153" s="28"/>
      <c r="H153" s="10"/>
      <c r="I153" s="12" t="str">
        <f aca="false">IF(OR(A153="",B153=""),"",IF(G153&lt;&gt;"","Approved",IF(E153&lt;&gt;"","Awaiting finance",IF(C153&lt;&gt;"","Awaiting manager","Awaiting rep"))))</f>
        <v/>
      </c>
      <c r="J153" s="30" t="str">
        <f aca="false">IF(OR(A153="",B153=""),"",IFERROR(INDEX(Calculation!$C$6:$N$140,(MATCH(B153,Settings!$C$13:$C$27,0)-1)*9+7,MATCH(A153,Settings!$N$13:$N$24,0)),""))</f>
        <v/>
      </c>
      <c r="K153" s="55" t="str">
        <f aca="false">IF(OR(A153="",B153=""),"",A153&amp;"|"&amp;B153)</f>
        <v/>
      </c>
    </row>
    <row r="154" customFormat="false" ht="15" hidden="false" customHeight="false" outlineLevel="0" collapsed="false">
      <c r="A154" s="10"/>
      <c r="B154" s="10"/>
      <c r="C154" s="28"/>
      <c r="D154" s="10"/>
      <c r="E154" s="28"/>
      <c r="F154" s="10"/>
      <c r="G154" s="28"/>
      <c r="H154" s="10"/>
      <c r="I154" s="12" t="str">
        <f aca="false">IF(OR(A154="",B154=""),"",IF(G154&lt;&gt;"","Approved",IF(E154&lt;&gt;"","Awaiting finance",IF(C154&lt;&gt;"","Awaiting manager","Awaiting rep"))))</f>
        <v/>
      </c>
      <c r="J154" s="30" t="str">
        <f aca="false">IF(OR(A154="",B154=""),"",IFERROR(INDEX(Calculation!$C$6:$N$140,(MATCH(B154,Settings!$C$13:$C$27,0)-1)*9+7,MATCH(A154,Settings!$N$13:$N$24,0)),""))</f>
        <v/>
      </c>
      <c r="K154" s="55" t="str">
        <f aca="false">IF(OR(A154="",B154=""),"",A154&amp;"|"&amp;B154)</f>
        <v/>
      </c>
    </row>
    <row r="155" customFormat="false" ht="15" hidden="false" customHeight="false" outlineLevel="0" collapsed="false">
      <c r="A155" s="10"/>
      <c r="B155" s="10"/>
      <c r="C155" s="28"/>
      <c r="D155" s="10"/>
      <c r="E155" s="28"/>
      <c r="F155" s="10"/>
      <c r="G155" s="28"/>
      <c r="H155" s="10"/>
      <c r="I155" s="12" t="str">
        <f aca="false">IF(OR(A155="",B155=""),"",IF(G155&lt;&gt;"","Approved",IF(E155&lt;&gt;"","Awaiting finance",IF(C155&lt;&gt;"","Awaiting manager","Awaiting rep"))))</f>
        <v/>
      </c>
      <c r="J155" s="30" t="str">
        <f aca="false">IF(OR(A155="",B155=""),"",IFERROR(INDEX(Calculation!$C$6:$N$140,(MATCH(B155,Settings!$C$13:$C$27,0)-1)*9+7,MATCH(A155,Settings!$N$13:$N$24,0)),""))</f>
        <v/>
      </c>
      <c r="K155" s="55" t="str">
        <f aca="false">IF(OR(A155="",B155=""),"",A155&amp;"|"&amp;B155)</f>
        <v/>
      </c>
    </row>
    <row r="156" customFormat="false" ht="15" hidden="false" customHeight="false" outlineLevel="0" collapsed="false">
      <c r="A156" s="10"/>
      <c r="B156" s="10"/>
      <c r="C156" s="28"/>
      <c r="D156" s="10"/>
      <c r="E156" s="28"/>
      <c r="F156" s="10"/>
      <c r="G156" s="28"/>
      <c r="H156" s="10"/>
      <c r="I156" s="12" t="str">
        <f aca="false">IF(OR(A156="",B156=""),"",IF(G156&lt;&gt;"","Approved",IF(E156&lt;&gt;"","Awaiting finance",IF(C156&lt;&gt;"","Awaiting manager","Awaiting rep"))))</f>
        <v/>
      </c>
      <c r="J156" s="30" t="str">
        <f aca="false">IF(OR(A156="",B156=""),"",IFERROR(INDEX(Calculation!$C$6:$N$140,(MATCH(B156,Settings!$C$13:$C$27,0)-1)*9+7,MATCH(A156,Settings!$N$13:$N$24,0)),""))</f>
        <v/>
      </c>
      <c r="K156" s="55" t="str">
        <f aca="false">IF(OR(A156="",B156=""),"",A156&amp;"|"&amp;B156)</f>
        <v/>
      </c>
    </row>
    <row r="157" customFormat="false" ht="15" hidden="false" customHeight="false" outlineLevel="0" collapsed="false">
      <c r="A157" s="10"/>
      <c r="B157" s="10"/>
      <c r="C157" s="28"/>
      <c r="D157" s="10"/>
      <c r="E157" s="28"/>
      <c r="F157" s="10"/>
      <c r="G157" s="28"/>
      <c r="H157" s="10"/>
      <c r="I157" s="12" t="str">
        <f aca="false">IF(OR(A157="",B157=""),"",IF(G157&lt;&gt;"","Approved",IF(E157&lt;&gt;"","Awaiting finance",IF(C157&lt;&gt;"","Awaiting manager","Awaiting rep"))))</f>
        <v/>
      </c>
      <c r="J157" s="30" t="str">
        <f aca="false">IF(OR(A157="",B157=""),"",IFERROR(INDEX(Calculation!$C$6:$N$140,(MATCH(B157,Settings!$C$13:$C$27,0)-1)*9+7,MATCH(A157,Settings!$N$13:$N$24,0)),""))</f>
        <v/>
      </c>
      <c r="K157" s="55" t="str">
        <f aca="false">IF(OR(A157="",B157=""),"",A157&amp;"|"&amp;B157)</f>
        <v/>
      </c>
    </row>
    <row r="158" customFormat="false" ht="15" hidden="false" customHeight="false" outlineLevel="0" collapsed="false">
      <c r="A158" s="10"/>
      <c r="B158" s="10"/>
      <c r="C158" s="28"/>
      <c r="D158" s="10"/>
      <c r="E158" s="28"/>
      <c r="F158" s="10"/>
      <c r="G158" s="28"/>
      <c r="H158" s="10"/>
      <c r="I158" s="12" t="str">
        <f aca="false">IF(OR(A158="",B158=""),"",IF(G158&lt;&gt;"","Approved",IF(E158&lt;&gt;"","Awaiting finance",IF(C158&lt;&gt;"","Awaiting manager","Awaiting rep"))))</f>
        <v/>
      </c>
      <c r="J158" s="30" t="str">
        <f aca="false">IF(OR(A158="",B158=""),"",IFERROR(INDEX(Calculation!$C$6:$N$140,(MATCH(B158,Settings!$C$13:$C$27,0)-1)*9+7,MATCH(A158,Settings!$N$13:$N$24,0)),""))</f>
        <v/>
      </c>
      <c r="K158" s="55" t="str">
        <f aca="false">IF(OR(A158="",B158=""),"",A158&amp;"|"&amp;B158)</f>
        <v/>
      </c>
    </row>
    <row r="159" customFormat="false" ht="15" hidden="false" customHeight="false" outlineLevel="0" collapsed="false">
      <c r="A159" s="10"/>
      <c r="B159" s="10"/>
      <c r="C159" s="28"/>
      <c r="D159" s="10"/>
      <c r="E159" s="28"/>
      <c r="F159" s="10"/>
      <c r="G159" s="28"/>
      <c r="H159" s="10"/>
      <c r="I159" s="12" t="str">
        <f aca="false">IF(OR(A159="",B159=""),"",IF(G159&lt;&gt;"","Approved",IF(E159&lt;&gt;"","Awaiting finance",IF(C159&lt;&gt;"","Awaiting manager","Awaiting rep"))))</f>
        <v/>
      </c>
      <c r="J159" s="30" t="str">
        <f aca="false">IF(OR(A159="",B159=""),"",IFERROR(INDEX(Calculation!$C$6:$N$140,(MATCH(B159,Settings!$C$13:$C$27,0)-1)*9+7,MATCH(A159,Settings!$N$13:$N$24,0)),""))</f>
        <v/>
      </c>
      <c r="K159" s="55" t="str">
        <f aca="false">IF(OR(A159="",B159=""),"",A159&amp;"|"&amp;B159)</f>
        <v/>
      </c>
    </row>
    <row r="160" customFormat="false" ht="15" hidden="false" customHeight="false" outlineLevel="0" collapsed="false">
      <c r="A160" s="10"/>
      <c r="B160" s="10"/>
      <c r="C160" s="28"/>
      <c r="D160" s="10"/>
      <c r="E160" s="28"/>
      <c r="F160" s="10"/>
      <c r="G160" s="28"/>
      <c r="H160" s="10"/>
      <c r="I160" s="12" t="str">
        <f aca="false">IF(OR(A160="",B160=""),"",IF(G160&lt;&gt;"","Approved",IF(E160&lt;&gt;"","Awaiting finance",IF(C160&lt;&gt;"","Awaiting manager","Awaiting rep"))))</f>
        <v/>
      </c>
      <c r="J160" s="30" t="str">
        <f aca="false">IF(OR(A160="",B160=""),"",IFERROR(INDEX(Calculation!$C$6:$N$140,(MATCH(B160,Settings!$C$13:$C$27,0)-1)*9+7,MATCH(A160,Settings!$N$13:$N$24,0)),""))</f>
        <v/>
      </c>
      <c r="K160" s="55" t="str">
        <f aca="false">IF(OR(A160="",B160=""),"",A160&amp;"|"&amp;B160)</f>
        <v/>
      </c>
    </row>
    <row r="161" customFormat="false" ht="15" hidden="false" customHeight="false" outlineLevel="0" collapsed="false">
      <c r="A161" s="10"/>
      <c r="B161" s="10"/>
      <c r="C161" s="28"/>
      <c r="D161" s="10"/>
      <c r="E161" s="28"/>
      <c r="F161" s="10"/>
      <c r="G161" s="28"/>
      <c r="H161" s="10"/>
      <c r="I161" s="12" t="str">
        <f aca="false">IF(OR(A161="",B161=""),"",IF(G161&lt;&gt;"","Approved",IF(E161&lt;&gt;"","Awaiting finance",IF(C161&lt;&gt;"","Awaiting manager","Awaiting rep"))))</f>
        <v/>
      </c>
      <c r="J161" s="30" t="str">
        <f aca="false">IF(OR(A161="",B161=""),"",IFERROR(INDEX(Calculation!$C$6:$N$140,(MATCH(B161,Settings!$C$13:$C$27,0)-1)*9+7,MATCH(A161,Settings!$N$13:$N$24,0)),""))</f>
        <v/>
      </c>
      <c r="K161" s="55" t="str">
        <f aca="false">IF(OR(A161="",B161=""),"",A161&amp;"|"&amp;B161)</f>
        <v/>
      </c>
    </row>
    <row r="162" customFormat="false" ht="15" hidden="false" customHeight="false" outlineLevel="0" collapsed="false">
      <c r="A162" s="10"/>
      <c r="B162" s="10"/>
      <c r="C162" s="28"/>
      <c r="D162" s="10"/>
      <c r="E162" s="28"/>
      <c r="F162" s="10"/>
      <c r="G162" s="28"/>
      <c r="H162" s="10"/>
      <c r="I162" s="12" t="str">
        <f aca="false">IF(OR(A162="",B162=""),"",IF(G162&lt;&gt;"","Approved",IF(E162&lt;&gt;"","Awaiting finance",IF(C162&lt;&gt;"","Awaiting manager","Awaiting rep"))))</f>
        <v/>
      </c>
      <c r="J162" s="30" t="str">
        <f aca="false">IF(OR(A162="",B162=""),"",IFERROR(INDEX(Calculation!$C$6:$N$140,(MATCH(B162,Settings!$C$13:$C$27,0)-1)*9+7,MATCH(A162,Settings!$N$13:$N$24,0)),""))</f>
        <v/>
      </c>
      <c r="K162" s="55" t="str">
        <f aca="false">IF(OR(A162="",B162=""),"",A162&amp;"|"&amp;B162)</f>
        <v/>
      </c>
    </row>
    <row r="163" customFormat="false" ht="15" hidden="false" customHeight="false" outlineLevel="0" collapsed="false">
      <c r="A163" s="10"/>
      <c r="B163" s="10"/>
      <c r="C163" s="28"/>
      <c r="D163" s="10"/>
      <c r="E163" s="28"/>
      <c r="F163" s="10"/>
      <c r="G163" s="28"/>
      <c r="H163" s="10"/>
      <c r="I163" s="12" t="str">
        <f aca="false">IF(OR(A163="",B163=""),"",IF(G163&lt;&gt;"","Approved",IF(E163&lt;&gt;"","Awaiting finance",IF(C163&lt;&gt;"","Awaiting manager","Awaiting rep"))))</f>
        <v/>
      </c>
      <c r="J163" s="30" t="str">
        <f aca="false">IF(OR(A163="",B163=""),"",IFERROR(INDEX(Calculation!$C$6:$N$140,(MATCH(B163,Settings!$C$13:$C$27,0)-1)*9+7,MATCH(A163,Settings!$N$13:$N$24,0)),""))</f>
        <v/>
      </c>
      <c r="K163" s="55" t="str">
        <f aca="false">IF(OR(A163="",B163=""),"",A163&amp;"|"&amp;B163)</f>
        <v/>
      </c>
    </row>
    <row r="164" customFormat="false" ht="15" hidden="false" customHeight="false" outlineLevel="0" collapsed="false">
      <c r="A164" s="10"/>
      <c r="B164" s="10"/>
      <c r="C164" s="28"/>
      <c r="D164" s="10"/>
      <c r="E164" s="28"/>
      <c r="F164" s="10"/>
      <c r="G164" s="28"/>
      <c r="H164" s="10"/>
      <c r="I164" s="12" t="str">
        <f aca="false">IF(OR(A164="",B164=""),"",IF(G164&lt;&gt;"","Approved",IF(E164&lt;&gt;"","Awaiting finance",IF(C164&lt;&gt;"","Awaiting manager","Awaiting rep"))))</f>
        <v/>
      </c>
      <c r="J164" s="30" t="str">
        <f aca="false">IF(OR(A164="",B164=""),"",IFERROR(INDEX(Calculation!$C$6:$N$140,(MATCH(B164,Settings!$C$13:$C$27,0)-1)*9+7,MATCH(A164,Settings!$N$13:$N$24,0)),""))</f>
        <v/>
      </c>
      <c r="K164" s="55" t="str">
        <f aca="false">IF(OR(A164="",B164=""),"",A164&amp;"|"&amp;B164)</f>
        <v/>
      </c>
    </row>
    <row r="165" customFormat="false" ht="15" hidden="false" customHeight="false" outlineLevel="0" collapsed="false">
      <c r="A165" s="10"/>
      <c r="B165" s="10"/>
      <c r="C165" s="28"/>
      <c r="D165" s="10"/>
      <c r="E165" s="28"/>
      <c r="F165" s="10"/>
      <c r="G165" s="28"/>
      <c r="H165" s="10"/>
      <c r="I165" s="12" t="str">
        <f aca="false">IF(OR(A165="",B165=""),"",IF(G165&lt;&gt;"","Approved",IF(E165&lt;&gt;"","Awaiting finance",IF(C165&lt;&gt;"","Awaiting manager","Awaiting rep"))))</f>
        <v/>
      </c>
      <c r="J165" s="30" t="str">
        <f aca="false">IF(OR(A165="",B165=""),"",IFERROR(INDEX(Calculation!$C$6:$N$140,(MATCH(B165,Settings!$C$13:$C$27,0)-1)*9+7,MATCH(A165,Settings!$N$13:$N$24,0)),""))</f>
        <v/>
      </c>
      <c r="K165" s="55" t="str">
        <f aca="false">IF(OR(A165="",B165=""),"",A165&amp;"|"&amp;B165)</f>
        <v/>
      </c>
    </row>
    <row r="166" customFormat="false" ht="15" hidden="false" customHeight="false" outlineLevel="0" collapsed="false">
      <c r="A166" s="10"/>
      <c r="B166" s="10"/>
      <c r="C166" s="28"/>
      <c r="D166" s="10"/>
      <c r="E166" s="28"/>
      <c r="F166" s="10"/>
      <c r="G166" s="28"/>
      <c r="H166" s="10"/>
      <c r="I166" s="12" t="str">
        <f aca="false">IF(OR(A166="",B166=""),"",IF(G166&lt;&gt;"","Approved",IF(E166&lt;&gt;"","Awaiting finance",IF(C166&lt;&gt;"","Awaiting manager","Awaiting rep"))))</f>
        <v/>
      </c>
      <c r="J166" s="30" t="str">
        <f aca="false">IF(OR(A166="",B166=""),"",IFERROR(INDEX(Calculation!$C$6:$N$140,(MATCH(B166,Settings!$C$13:$C$27,0)-1)*9+7,MATCH(A166,Settings!$N$13:$N$24,0)),""))</f>
        <v/>
      </c>
      <c r="K166" s="55" t="str">
        <f aca="false">IF(OR(A166="",B166=""),"",A166&amp;"|"&amp;B166)</f>
        <v/>
      </c>
    </row>
    <row r="167" customFormat="false" ht="15" hidden="false" customHeight="false" outlineLevel="0" collapsed="false">
      <c r="A167" s="10"/>
      <c r="B167" s="10"/>
      <c r="C167" s="28"/>
      <c r="D167" s="10"/>
      <c r="E167" s="28"/>
      <c r="F167" s="10"/>
      <c r="G167" s="28"/>
      <c r="H167" s="10"/>
      <c r="I167" s="12" t="str">
        <f aca="false">IF(OR(A167="",B167=""),"",IF(G167&lt;&gt;"","Approved",IF(E167&lt;&gt;"","Awaiting finance",IF(C167&lt;&gt;"","Awaiting manager","Awaiting rep"))))</f>
        <v/>
      </c>
      <c r="J167" s="30" t="str">
        <f aca="false">IF(OR(A167="",B167=""),"",IFERROR(INDEX(Calculation!$C$6:$N$140,(MATCH(B167,Settings!$C$13:$C$27,0)-1)*9+7,MATCH(A167,Settings!$N$13:$N$24,0)),""))</f>
        <v/>
      </c>
      <c r="K167" s="55" t="str">
        <f aca="false">IF(OR(A167="",B167=""),"",A167&amp;"|"&amp;B167)</f>
        <v/>
      </c>
    </row>
    <row r="168" customFormat="false" ht="15" hidden="false" customHeight="false" outlineLevel="0" collapsed="false">
      <c r="A168" s="10"/>
      <c r="B168" s="10"/>
      <c r="C168" s="28"/>
      <c r="D168" s="10"/>
      <c r="E168" s="28"/>
      <c r="F168" s="10"/>
      <c r="G168" s="28"/>
      <c r="H168" s="10"/>
      <c r="I168" s="12" t="str">
        <f aca="false">IF(OR(A168="",B168=""),"",IF(G168&lt;&gt;"","Approved",IF(E168&lt;&gt;"","Awaiting finance",IF(C168&lt;&gt;"","Awaiting manager","Awaiting rep"))))</f>
        <v/>
      </c>
      <c r="J168" s="30" t="str">
        <f aca="false">IF(OR(A168="",B168=""),"",IFERROR(INDEX(Calculation!$C$6:$N$140,(MATCH(B168,Settings!$C$13:$C$27,0)-1)*9+7,MATCH(A168,Settings!$N$13:$N$24,0)),""))</f>
        <v/>
      </c>
      <c r="K168" s="55" t="str">
        <f aca="false">IF(OR(A168="",B168=""),"",A168&amp;"|"&amp;B168)</f>
        <v/>
      </c>
    </row>
    <row r="169" customFormat="false" ht="15" hidden="false" customHeight="false" outlineLevel="0" collapsed="false">
      <c r="A169" s="10"/>
      <c r="B169" s="10"/>
      <c r="C169" s="28"/>
      <c r="D169" s="10"/>
      <c r="E169" s="28"/>
      <c r="F169" s="10"/>
      <c r="G169" s="28"/>
      <c r="H169" s="10"/>
      <c r="I169" s="12" t="str">
        <f aca="false">IF(OR(A169="",B169=""),"",IF(G169&lt;&gt;"","Approved",IF(E169&lt;&gt;"","Awaiting finance",IF(C169&lt;&gt;"","Awaiting manager","Awaiting rep"))))</f>
        <v/>
      </c>
      <c r="J169" s="30" t="str">
        <f aca="false">IF(OR(A169="",B169=""),"",IFERROR(INDEX(Calculation!$C$6:$N$140,(MATCH(B169,Settings!$C$13:$C$27,0)-1)*9+7,MATCH(A169,Settings!$N$13:$N$24,0)),""))</f>
        <v/>
      </c>
      <c r="K169" s="55" t="str">
        <f aca="false">IF(OR(A169="",B169=""),"",A169&amp;"|"&amp;B169)</f>
        <v/>
      </c>
    </row>
    <row r="170" customFormat="false" ht="15" hidden="false" customHeight="false" outlineLevel="0" collapsed="false">
      <c r="A170" s="10"/>
      <c r="B170" s="10"/>
      <c r="C170" s="28"/>
      <c r="D170" s="10"/>
      <c r="E170" s="28"/>
      <c r="F170" s="10"/>
      <c r="G170" s="28"/>
      <c r="H170" s="10"/>
      <c r="I170" s="12" t="str">
        <f aca="false">IF(OR(A170="",B170=""),"",IF(G170&lt;&gt;"","Approved",IF(E170&lt;&gt;"","Awaiting finance",IF(C170&lt;&gt;"","Awaiting manager","Awaiting rep"))))</f>
        <v/>
      </c>
      <c r="J170" s="30" t="str">
        <f aca="false">IF(OR(A170="",B170=""),"",IFERROR(INDEX(Calculation!$C$6:$N$140,(MATCH(B170,Settings!$C$13:$C$27,0)-1)*9+7,MATCH(A170,Settings!$N$13:$N$24,0)),""))</f>
        <v/>
      </c>
      <c r="K170" s="55" t="str">
        <f aca="false">IF(OR(A170="",B170=""),"",A170&amp;"|"&amp;B170)</f>
        <v/>
      </c>
    </row>
    <row r="171" customFormat="false" ht="15" hidden="false" customHeight="false" outlineLevel="0" collapsed="false">
      <c r="A171" s="10"/>
      <c r="B171" s="10"/>
      <c r="C171" s="28"/>
      <c r="D171" s="10"/>
      <c r="E171" s="28"/>
      <c r="F171" s="10"/>
      <c r="G171" s="28"/>
      <c r="H171" s="10"/>
      <c r="I171" s="12" t="str">
        <f aca="false">IF(OR(A171="",B171=""),"",IF(G171&lt;&gt;"","Approved",IF(E171&lt;&gt;"","Awaiting finance",IF(C171&lt;&gt;"","Awaiting manager","Awaiting rep"))))</f>
        <v/>
      </c>
      <c r="J171" s="30" t="str">
        <f aca="false">IF(OR(A171="",B171=""),"",IFERROR(INDEX(Calculation!$C$6:$N$140,(MATCH(B171,Settings!$C$13:$C$27,0)-1)*9+7,MATCH(A171,Settings!$N$13:$N$24,0)),""))</f>
        <v/>
      </c>
      <c r="K171" s="55" t="str">
        <f aca="false">IF(OR(A171="",B171=""),"",A171&amp;"|"&amp;B171)</f>
        <v/>
      </c>
    </row>
    <row r="172" customFormat="false" ht="15" hidden="false" customHeight="false" outlineLevel="0" collapsed="false">
      <c r="A172" s="10"/>
      <c r="B172" s="10"/>
      <c r="C172" s="28"/>
      <c r="D172" s="10"/>
      <c r="E172" s="28"/>
      <c r="F172" s="10"/>
      <c r="G172" s="28"/>
      <c r="H172" s="10"/>
      <c r="I172" s="12" t="str">
        <f aca="false">IF(OR(A172="",B172=""),"",IF(G172&lt;&gt;"","Approved",IF(E172&lt;&gt;"","Awaiting finance",IF(C172&lt;&gt;"","Awaiting manager","Awaiting rep"))))</f>
        <v/>
      </c>
      <c r="J172" s="30" t="str">
        <f aca="false">IF(OR(A172="",B172=""),"",IFERROR(INDEX(Calculation!$C$6:$N$140,(MATCH(B172,Settings!$C$13:$C$27,0)-1)*9+7,MATCH(A172,Settings!$N$13:$N$24,0)),""))</f>
        <v/>
      </c>
      <c r="K172" s="55" t="str">
        <f aca="false">IF(OR(A172="",B172=""),"",A172&amp;"|"&amp;B172)</f>
        <v/>
      </c>
    </row>
    <row r="173" customFormat="false" ht="15" hidden="false" customHeight="false" outlineLevel="0" collapsed="false">
      <c r="A173" s="10"/>
      <c r="B173" s="10"/>
      <c r="C173" s="28"/>
      <c r="D173" s="10"/>
      <c r="E173" s="28"/>
      <c r="F173" s="10"/>
      <c r="G173" s="28"/>
      <c r="H173" s="10"/>
      <c r="I173" s="12" t="str">
        <f aca="false">IF(OR(A173="",B173=""),"",IF(G173&lt;&gt;"","Approved",IF(E173&lt;&gt;"","Awaiting finance",IF(C173&lt;&gt;"","Awaiting manager","Awaiting rep"))))</f>
        <v/>
      </c>
      <c r="J173" s="30" t="str">
        <f aca="false">IF(OR(A173="",B173=""),"",IFERROR(INDEX(Calculation!$C$6:$N$140,(MATCH(B173,Settings!$C$13:$C$27,0)-1)*9+7,MATCH(A173,Settings!$N$13:$N$24,0)),""))</f>
        <v/>
      </c>
      <c r="K173" s="55" t="str">
        <f aca="false">IF(OR(A173="",B173=""),"",A173&amp;"|"&amp;B173)</f>
        <v/>
      </c>
    </row>
    <row r="174" customFormat="false" ht="15" hidden="false" customHeight="false" outlineLevel="0" collapsed="false">
      <c r="A174" s="10"/>
      <c r="B174" s="10"/>
      <c r="C174" s="28"/>
      <c r="D174" s="10"/>
      <c r="E174" s="28"/>
      <c r="F174" s="10"/>
      <c r="G174" s="28"/>
      <c r="H174" s="10"/>
      <c r="I174" s="12" t="str">
        <f aca="false">IF(OR(A174="",B174=""),"",IF(G174&lt;&gt;"","Approved",IF(E174&lt;&gt;"","Awaiting finance",IF(C174&lt;&gt;"","Awaiting manager","Awaiting rep"))))</f>
        <v/>
      </c>
      <c r="J174" s="30" t="str">
        <f aca="false">IF(OR(A174="",B174=""),"",IFERROR(INDEX(Calculation!$C$6:$N$140,(MATCH(B174,Settings!$C$13:$C$27,0)-1)*9+7,MATCH(A174,Settings!$N$13:$N$24,0)),""))</f>
        <v/>
      </c>
      <c r="K174" s="55" t="str">
        <f aca="false">IF(OR(A174="",B174=""),"",A174&amp;"|"&amp;B174)</f>
        <v/>
      </c>
    </row>
    <row r="175" customFormat="false" ht="15" hidden="false" customHeight="false" outlineLevel="0" collapsed="false">
      <c r="A175" s="10"/>
      <c r="B175" s="10"/>
      <c r="C175" s="28"/>
      <c r="D175" s="10"/>
      <c r="E175" s="28"/>
      <c r="F175" s="10"/>
      <c r="G175" s="28"/>
      <c r="H175" s="10"/>
      <c r="I175" s="12" t="str">
        <f aca="false">IF(OR(A175="",B175=""),"",IF(G175&lt;&gt;"","Approved",IF(E175&lt;&gt;"","Awaiting finance",IF(C175&lt;&gt;"","Awaiting manager","Awaiting rep"))))</f>
        <v/>
      </c>
      <c r="J175" s="30" t="str">
        <f aca="false">IF(OR(A175="",B175=""),"",IFERROR(INDEX(Calculation!$C$6:$N$140,(MATCH(B175,Settings!$C$13:$C$27,0)-1)*9+7,MATCH(A175,Settings!$N$13:$N$24,0)),""))</f>
        <v/>
      </c>
      <c r="K175" s="55" t="str">
        <f aca="false">IF(OR(A175="",B175=""),"",A175&amp;"|"&amp;B175)</f>
        <v/>
      </c>
    </row>
    <row r="176" customFormat="false" ht="15" hidden="false" customHeight="false" outlineLevel="0" collapsed="false">
      <c r="A176" s="10"/>
      <c r="B176" s="10"/>
      <c r="C176" s="28"/>
      <c r="D176" s="10"/>
      <c r="E176" s="28"/>
      <c r="F176" s="10"/>
      <c r="G176" s="28"/>
      <c r="H176" s="10"/>
      <c r="I176" s="12" t="str">
        <f aca="false">IF(OR(A176="",B176=""),"",IF(G176&lt;&gt;"","Approved",IF(E176&lt;&gt;"","Awaiting finance",IF(C176&lt;&gt;"","Awaiting manager","Awaiting rep"))))</f>
        <v/>
      </c>
      <c r="J176" s="30" t="str">
        <f aca="false">IF(OR(A176="",B176=""),"",IFERROR(INDEX(Calculation!$C$6:$N$140,(MATCH(B176,Settings!$C$13:$C$27,0)-1)*9+7,MATCH(A176,Settings!$N$13:$N$24,0)),""))</f>
        <v/>
      </c>
      <c r="K176" s="55" t="str">
        <f aca="false">IF(OR(A176="",B176=""),"",A176&amp;"|"&amp;B176)</f>
        <v/>
      </c>
    </row>
    <row r="177" customFormat="false" ht="15" hidden="false" customHeight="false" outlineLevel="0" collapsed="false">
      <c r="A177" s="10"/>
      <c r="B177" s="10"/>
      <c r="C177" s="28"/>
      <c r="D177" s="10"/>
      <c r="E177" s="28"/>
      <c r="F177" s="10"/>
      <c r="G177" s="28"/>
      <c r="H177" s="10"/>
      <c r="I177" s="12" t="str">
        <f aca="false">IF(OR(A177="",B177=""),"",IF(G177&lt;&gt;"","Approved",IF(E177&lt;&gt;"","Awaiting finance",IF(C177&lt;&gt;"","Awaiting manager","Awaiting rep"))))</f>
        <v/>
      </c>
      <c r="J177" s="30" t="str">
        <f aca="false">IF(OR(A177="",B177=""),"",IFERROR(INDEX(Calculation!$C$6:$N$140,(MATCH(B177,Settings!$C$13:$C$27,0)-1)*9+7,MATCH(A177,Settings!$N$13:$N$24,0)),""))</f>
        <v/>
      </c>
      <c r="K177" s="55" t="str">
        <f aca="false">IF(OR(A177="",B177=""),"",A177&amp;"|"&amp;B177)</f>
        <v/>
      </c>
    </row>
    <row r="178" customFormat="false" ht="15" hidden="false" customHeight="false" outlineLevel="0" collapsed="false">
      <c r="A178" s="10"/>
      <c r="B178" s="10"/>
      <c r="C178" s="28"/>
      <c r="D178" s="10"/>
      <c r="E178" s="28"/>
      <c r="F178" s="10"/>
      <c r="G178" s="28"/>
      <c r="H178" s="10"/>
      <c r="I178" s="12" t="str">
        <f aca="false">IF(OR(A178="",B178=""),"",IF(G178&lt;&gt;"","Approved",IF(E178&lt;&gt;"","Awaiting finance",IF(C178&lt;&gt;"","Awaiting manager","Awaiting rep"))))</f>
        <v/>
      </c>
      <c r="J178" s="30" t="str">
        <f aca="false">IF(OR(A178="",B178=""),"",IFERROR(INDEX(Calculation!$C$6:$N$140,(MATCH(B178,Settings!$C$13:$C$27,0)-1)*9+7,MATCH(A178,Settings!$N$13:$N$24,0)),""))</f>
        <v/>
      </c>
      <c r="K178" s="55" t="str">
        <f aca="false">IF(OR(A178="",B178=""),"",A178&amp;"|"&amp;B178)</f>
        <v/>
      </c>
    </row>
    <row r="179" customFormat="false" ht="15" hidden="false" customHeight="false" outlineLevel="0" collapsed="false">
      <c r="A179" s="10"/>
      <c r="B179" s="10"/>
      <c r="C179" s="28"/>
      <c r="D179" s="10"/>
      <c r="E179" s="28"/>
      <c r="F179" s="10"/>
      <c r="G179" s="28"/>
      <c r="H179" s="10"/>
      <c r="I179" s="12" t="str">
        <f aca="false">IF(OR(A179="",B179=""),"",IF(G179&lt;&gt;"","Approved",IF(E179&lt;&gt;"","Awaiting finance",IF(C179&lt;&gt;"","Awaiting manager","Awaiting rep"))))</f>
        <v/>
      </c>
      <c r="J179" s="30" t="str">
        <f aca="false">IF(OR(A179="",B179=""),"",IFERROR(INDEX(Calculation!$C$6:$N$140,(MATCH(B179,Settings!$C$13:$C$27,0)-1)*9+7,MATCH(A179,Settings!$N$13:$N$24,0)),""))</f>
        <v/>
      </c>
      <c r="K179" s="55" t="str">
        <f aca="false">IF(OR(A179="",B179=""),"",A179&amp;"|"&amp;B179)</f>
        <v/>
      </c>
    </row>
    <row r="180" customFormat="false" ht="15" hidden="false" customHeight="false" outlineLevel="0" collapsed="false">
      <c r="A180" s="10"/>
      <c r="B180" s="10"/>
      <c r="C180" s="28"/>
      <c r="D180" s="10"/>
      <c r="E180" s="28"/>
      <c r="F180" s="10"/>
      <c r="G180" s="28"/>
      <c r="H180" s="10"/>
      <c r="I180" s="12" t="str">
        <f aca="false">IF(OR(A180="",B180=""),"",IF(G180&lt;&gt;"","Approved",IF(E180&lt;&gt;"","Awaiting finance",IF(C180&lt;&gt;"","Awaiting manager","Awaiting rep"))))</f>
        <v/>
      </c>
      <c r="J180" s="30" t="str">
        <f aca="false">IF(OR(A180="",B180=""),"",IFERROR(INDEX(Calculation!$C$6:$N$140,(MATCH(B180,Settings!$C$13:$C$27,0)-1)*9+7,MATCH(A180,Settings!$N$13:$N$24,0)),""))</f>
        <v/>
      </c>
      <c r="K180" s="55" t="str">
        <f aca="false">IF(OR(A180="",B180=""),"",A180&amp;"|"&amp;B180)</f>
        <v/>
      </c>
    </row>
    <row r="181" customFormat="false" ht="15" hidden="false" customHeight="false" outlineLevel="0" collapsed="false">
      <c r="A181" s="10"/>
      <c r="B181" s="10"/>
      <c r="C181" s="28"/>
      <c r="D181" s="10"/>
      <c r="E181" s="28"/>
      <c r="F181" s="10"/>
      <c r="G181" s="28"/>
      <c r="H181" s="10"/>
      <c r="I181" s="12" t="str">
        <f aca="false">IF(OR(A181="",B181=""),"",IF(G181&lt;&gt;"","Approved",IF(E181&lt;&gt;"","Awaiting finance",IF(C181&lt;&gt;"","Awaiting manager","Awaiting rep"))))</f>
        <v/>
      </c>
      <c r="J181" s="30" t="str">
        <f aca="false">IF(OR(A181="",B181=""),"",IFERROR(INDEX(Calculation!$C$6:$N$140,(MATCH(B181,Settings!$C$13:$C$27,0)-1)*9+7,MATCH(A181,Settings!$N$13:$N$24,0)),""))</f>
        <v/>
      </c>
      <c r="K181" s="55" t="str">
        <f aca="false">IF(OR(A181="",B181=""),"",A181&amp;"|"&amp;B181)</f>
        <v/>
      </c>
    </row>
    <row r="182" customFormat="false" ht="15" hidden="false" customHeight="false" outlineLevel="0" collapsed="false">
      <c r="A182" s="10"/>
      <c r="B182" s="10"/>
      <c r="C182" s="28"/>
      <c r="D182" s="10"/>
      <c r="E182" s="28"/>
      <c r="F182" s="10"/>
      <c r="G182" s="28"/>
      <c r="H182" s="10"/>
      <c r="I182" s="12" t="str">
        <f aca="false">IF(OR(A182="",B182=""),"",IF(G182&lt;&gt;"","Approved",IF(E182&lt;&gt;"","Awaiting finance",IF(C182&lt;&gt;"","Awaiting manager","Awaiting rep"))))</f>
        <v/>
      </c>
      <c r="J182" s="30" t="str">
        <f aca="false">IF(OR(A182="",B182=""),"",IFERROR(INDEX(Calculation!$C$6:$N$140,(MATCH(B182,Settings!$C$13:$C$27,0)-1)*9+7,MATCH(A182,Settings!$N$13:$N$24,0)),""))</f>
        <v/>
      </c>
      <c r="K182" s="55" t="str">
        <f aca="false">IF(OR(A182="",B182=""),"",A182&amp;"|"&amp;B182)</f>
        <v/>
      </c>
    </row>
    <row r="183" customFormat="false" ht="15" hidden="false" customHeight="false" outlineLevel="0" collapsed="false">
      <c r="A183" s="10"/>
      <c r="B183" s="10"/>
      <c r="C183" s="28"/>
      <c r="D183" s="10"/>
      <c r="E183" s="28"/>
      <c r="F183" s="10"/>
      <c r="G183" s="28"/>
      <c r="H183" s="10"/>
      <c r="I183" s="12" t="str">
        <f aca="false">IF(OR(A183="",B183=""),"",IF(G183&lt;&gt;"","Approved",IF(E183&lt;&gt;"","Awaiting finance",IF(C183&lt;&gt;"","Awaiting manager","Awaiting rep"))))</f>
        <v/>
      </c>
      <c r="J183" s="30" t="str">
        <f aca="false">IF(OR(A183="",B183=""),"",IFERROR(INDEX(Calculation!$C$6:$N$140,(MATCH(B183,Settings!$C$13:$C$27,0)-1)*9+7,MATCH(A183,Settings!$N$13:$N$24,0)),""))</f>
        <v/>
      </c>
      <c r="K183" s="55" t="str">
        <f aca="false">IF(OR(A183="",B183=""),"",A183&amp;"|"&amp;B183)</f>
        <v/>
      </c>
    </row>
    <row r="184" customFormat="false" ht="15" hidden="false" customHeight="false" outlineLevel="0" collapsed="false">
      <c r="A184" s="10"/>
      <c r="B184" s="10"/>
      <c r="C184" s="28"/>
      <c r="D184" s="10"/>
      <c r="E184" s="28"/>
      <c r="F184" s="10"/>
      <c r="G184" s="28"/>
      <c r="H184" s="10"/>
      <c r="I184" s="12" t="str">
        <f aca="false">IF(OR(A184="",B184=""),"",IF(G184&lt;&gt;"","Approved",IF(E184&lt;&gt;"","Awaiting finance",IF(C184&lt;&gt;"","Awaiting manager","Awaiting rep"))))</f>
        <v/>
      </c>
      <c r="J184" s="30" t="str">
        <f aca="false">IF(OR(A184="",B184=""),"",IFERROR(INDEX(Calculation!$C$6:$N$140,(MATCH(B184,Settings!$C$13:$C$27,0)-1)*9+7,MATCH(A184,Settings!$N$13:$N$24,0)),""))</f>
        <v/>
      </c>
      <c r="K184" s="55" t="str">
        <f aca="false">IF(OR(A184="",B184=""),"",A184&amp;"|"&amp;B184)</f>
        <v/>
      </c>
    </row>
    <row r="185" customFormat="false" ht="15" hidden="false" customHeight="false" outlineLevel="0" collapsed="false">
      <c r="A185" s="10"/>
      <c r="B185" s="10"/>
      <c r="C185" s="28"/>
      <c r="D185" s="10"/>
      <c r="E185" s="28"/>
      <c r="F185" s="10"/>
      <c r="G185" s="28"/>
      <c r="H185" s="10"/>
      <c r="I185" s="12" t="str">
        <f aca="false">IF(OR(A185="",B185=""),"",IF(G185&lt;&gt;"","Approved",IF(E185&lt;&gt;"","Awaiting finance",IF(C185&lt;&gt;"","Awaiting manager","Awaiting rep"))))</f>
        <v/>
      </c>
      <c r="J185" s="30" t="str">
        <f aca="false">IF(OR(A185="",B185=""),"",IFERROR(INDEX(Calculation!$C$6:$N$140,(MATCH(B185,Settings!$C$13:$C$27,0)-1)*9+7,MATCH(A185,Settings!$N$13:$N$24,0)),""))</f>
        <v/>
      </c>
      <c r="K185" s="55" t="str">
        <f aca="false">IF(OR(A185="",B185=""),"",A185&amp;"|"&amp;B185)</f>
        <v/>
      </c>
    </row>
    <row r="186" customFormat="false" ht="15" hidden="false" customHeight="false" outlineLevel="0" collapsed="false">
      <c r="A186" s="10"/>
      <c r="B186" s="10"/>
      <c r="C186" s="28"/>
      <c r="D186" s="10"/>
      <c r="E186" s="28"/>
      <c r="F186" s="10"/>
      <c r="G186" s="28"/>
      <c r="H186" s="10"/>
      <c r="I186" s="12" t="str">
        <f aca="false">IF(OR(A186="",B186=""),"",IF(G186&lt;&gt;"","Approved",IF(E186&lt;&gt;"","Awaiting finance",IF(C186&lt;&gt;"","Awaiting manager","Awaiting rep"))))</f>
        <v/>
      </c>
      <c r="J186" s="30" t="str">
        <f aca="false">IF(OR(A186="",B186=""),"",IFERROR(INDEX(Calculation!$C$6:$N$140,(MATCH(B186,Settings!$C$13:$C$27,0)-1)*9+7,MATCH(A186,Settings!$N$13:$N$24,0)),""))</f>
        <v/>
      </c>
      <c r="K186" s="55" t="str">
        <f aca="false">IF(OR(A186="",B186=""),"",A186&amp;"|"&amp;B186)</f>
        <v/>
      </c>
    </row>
    <row r="187" customFormat="false" ht="15" hidden="false" customHeight="false" outlineLevel="0" collapsed="false">
      <c r="A187" s="10"/>
      <c r="B187" s="10"/>
      <c r="C187" s="28"/>
      <c r="D187" s="10"/>
      <c r="E187" s="28"/>
      <c r="F187" s="10"/>
      <c r="G187" s="28"/>
      <c r="H187" s="10"/>
      <c r="I187" s="12" t="str">
        <f aca="false">IF(OR(A187="",B187=""),"",IF(G187&lt;&gt;"","Approved",IF(E187&lt;&gt;"","Awaiting finance",IF(C187&lt;&gt;"","Awaiting manager","Awaiting rep"))))</f>
        <v/>
      </c>
      <c r="J187" s="30" t="str">
        <f aca="false">IF(OR(A187="",B187=""),"",IFERROR(INDEX(Calculation!$C$6:$N$140,(MATCH(B187,Settings!$C$13:$C$27,0)-1)*9+7,MATCH(A187,Settings!$N$13:$N$24,0)),""))</f>
        <v/>
      </c>
      <c r="K187" s="55" t="str">
        <f aca="false">IF(OR(A187="",B187=""),"",A187&amp;"|"&amp;B187)</f>
        <v/>
      </c>
    </row>
    <row r="188" customFormat="false" ht="15" hidden="false" customHeight="false" outlineLevel="0" collapsed="false">
      <c r="A188" s="10"/>
      <c r="B188" s="10"/>
      <c r="C188" s="28"/>
      <c r="D188" s="10"/>
      <c r="E188" s="28"/>
      <c r="F188" s="10"/>
      <c r="G188" s="28"/>
      <c r="H188" s="10"/>
      <c r="I188" s="12" t="str">
        <f aca="false">IF(OR(A188="",B188=""),"",IF(G188&lt;&gt;"","Approved",IF(E188&lt;&gt;"","Awaiting finance",IF(C188&lt;&gt;"","Awaiting manager","Awaiting rep"))))</f>
        <v/>
      </c>
      <c r="J188" s="30" t="str">
        <f aca="false">IF(OR(A188="",B188=""),"",IFERROR(INDEX(Calculation!$C$6:$N$140,(MATCH(B188,Settings!$C$13:$C$27,0)-1)*9+7,MATCH(A188,Settings!$N$13:$N$24,0)),""))</f>
        <v/>
      </c>
      <c r="K188" s="55" t="str">
        <f aca="false">IF(OR(A188="",B188=""),"",A188&amp;"|"&amp;B188)</f>
        <v/>
      </c>
    </row>
    <row r="189" customFormat="false" ht="15" hidden="false" customHeight="false" outlineLevel="0" collapsed="false">
      <c r="A189" s="10"/>
      <c r="B189" s="10"/>
      <c r="C189" s="28"/>
      <c r="D189" s="10"/>
      <c r="E189" s="28"/>
      <c r="F189" s="10"/>
      <c r="G189" s="28"/>
      <c r="H189" s="10"/>
      <c r="I189" s="12" t="str">
        <f aca="false">IF(OR(A189="",B189=""),"",IF(G189&lt;&gt;"","Approved",IF(E189&lt;&gt;"","Awaiting finance",IF(C189&lt;&gt;"","Awaiting manager","Awaiting rep"))))</f>
        <v/>
      </c>
      <c r="J189" s="30" t="str">
        <f aca="false">IF(OR(A189="",B189=""),"",IFERROR(INDEX(Calculation!$C$6:$N$140,(MATCH(B189,Settings!$C$13:$C$27,0)-1)*9+7,MATCH(A189,Settings!$N$13:$N$24,0)),""))</f>
        <v/>
      </c>
      <c r="K189" s="55" t="str">
        <f aca="false">IF(OR(A189="",B189=""),"",A189&amp;"|"&amp;B189)</f>
        <v/>
      </c>
    </row>
    <row r="190" customFormat="false" ht="15" hidden="false" customHeight="false" outlineLevel="0" collapsed="false">
      <c r="A190" s="10"/>
      <c r="B190" s="10"/>
      <c r="C190" s="28"/>
      <c r="D190" s="10"/>
      <c r="E190" s="28"/>
      <c r="F190" s="10"/>
      <c r="G190" s="28"/>
      <c r="H190" s="10"/>
      <c r="I190" s="12" t="str">
        <f aca="false">IF(OR(A190="",B190=""),"",IF(G190&lt;&gt;"","Approved",IF(E190&lt;&gt;"","Awaiting finance",IF(C190&lt;&gt;"","Awaiting manager","Awaiting rep"))))</f>
        <v/>
      </c>
      <c r="J190" s="30" t="str">
        <f aca="false">IF(OR(A190="",B190=""),"",IFERROR(INDEX(Calculation!$C$6:$N$140,(MATCH(B190,Settings!$C$13:$C$27,0)-1)*9+7,MATCH(A190,Settings!$N$13:$N$24,0)),""))</f>
        <v/>
      </c>
      <c r="K190" s="55" t="str">
        <f aca="false">IF(OR(A190="",B190=""),"",A190&amp;"|"&amp;B190)</f>
        <v/>
      </c>
    </row>
    <row r="191" customFormat="false" ht="15" hidden="false" customHeight="false" outlineLevel="0" collapsed="false">
      <c r="A191" s="10"/>
      <c r="B191" s="10"/>
      <c r="C191" s="28"/>
      <c r="D191" s="10"/>
      <c r="E191" s="28"/>
      <c r="F191" s="10"/>
      <c r="G191" s="28"/>
      <c r="H191" s="10"/>
      <c r="I191" s="12" t="str">
        <f aca="false">IF(OR(A191="",B191=""),"",IF(G191&lt;&gt;"","Approved",IF(E191&lt;&gt;"","Awaiting finance",IF(C191&lt;&gt;"","Awaiting manager","Awaiting rep"))))</f>
        <v/>
      </c>
      <c r="J191" s="30" t="str">
        <f aca="false">IF(OR(A191="",B191=""),"",IFERROR(INDEX(Calculation!$C$6:$N$140,(MATCH(B191,Settings!$C$13:$C$27,0)-1)*9+7,MATCH(A191,Settings!$N$13:$N$24,0)),""))</f>
        <v/>
      </c>
      <c r="K191" s="55" t="str">
        <f aca="false">IF(OR(A191="",B191=""),"",A191&amp;"|"&amp;B191)</f>
        <v/>
      </c>
    </row>
    <row r="192" customFormat="false" ht="15" hidden="false" customHeight="false" outlineLevel="0" collapsed="false">
      <c r="A192" s="10"/>
      <c r="B192" s="10"/>
      <c r="C192" s="28"/>
      <c r="D192" s="10"/>
      <c r="E192" s="28"/>
      <c r="F192" s="10"/>
      <c r="G192" s="28"/>
      <c r="H192" s="10"/>
      <c r="I192" s="12" t="str">
        <f aca="false">IF(OR(A192="",B192=""),"",IF(G192&lt;&gt;"","Approved",IF(E192&lt;&gt;"","Awaiting finance",IF(C192&lt;&gt;"","Awaiting manager","Awaiting rep"))))</f>
        <v/>
      </c>
      <c r="J192" s="30" t="str">
        <f aca="false">IF(OR(A192="",B192=""),"",IFERROR(INDEX(Calculation!$C$6:$N$140,(MATCH(B192,Settings!$C$13:$C$27,0)-1)*9+7,MATCH(A192,Settings!$N$13:$N$24,0)),""))</f>
        <v/>
      </c>
      <c r="K192" s="55" t="str">
        <f aca="false">IF(OR(A192="",B192=""),"",A192&amp;"|"&amp;B192)</f>
        <v/>
      </c>
    </row>
    <row r="193" customFormat="false" ht="15" hidden="false" customHeight="false" outlineLevel="0" collapsed="false">
      <c r="A193" s="10"/>
      <c r="B193" s="10"/>
      <c r="C193" s="28"/>
      <c r="D193" s="10"/>
      <c r="E193" s="28"/>
      <c r="F193" s="10"/>
      <c r="G193" s="28"/>
      <c r="H193" s="10"/>
      <c r="I193" s="12" t="str">
        <f aca="false">IF(OR(A193="",B193=""),"",IF(G193&lt;&gt;"","Approved",IF(E193&lt;&gt;"","Awaiting finance",IF(C193&lt;&gt;"","Awaiting manager","Awaiting rep"))))</f>
        <v/>
      </c>
      <c r="J193" s="30" t="str">
        <f aca="false">IF(OR(A193="",B193=""),"",IFERROR(INDEX(Calculation!$C$6:$N$140,(MATCH(B193,Settings!$C$13:$C$27,0)-1)*9+7,MATCH(A193,Settings!$N$13:$N$24,0)),""))</f>
        <v/>
      </c>
      <c r="K193" s="55" t="str">
        <f aca="false">IF(OR(A193="",B193=""),"",A193&amp;"|"&amp;B193)</f>
        <v/>
      </c>
    </row>
    <row r="194" customFormat="false" ht="15" hidden="false" customHeight="false" outlineLevel="0" collapsed="false">
      <c r="A194" s="10"/>
      <c r="B194" s="10"/>
      <c r="C194" s="28"/>
      <c r="D194" s="10"/>
      <c r="E194" s="28"/>
      <c r="F194" s="10"/>
      <c r="G194" s="28"/>
      <c r="H194" s="10"/>
      <c r="I194" s="12" t="str">
        <f aca="false">IF(OR(A194="",B194=""),"",IF(G194&lt;&gt;"","Approved",IF(E194&lt;&gt;"","Awaiting finance",IF(C194&lt;&gt;"","Awaiting manager","Awaiting rep"))))</f>
        <v/>
      </c>
      <c r="J194" s="30" t="str">
        <f aca="false">IF(OR(A194="",B194=""),"",IFERROR(INDEX(Calculation!$C$6:$N$140,(MATCH(B194,Settings!$C$13:$C$27,0)-1)*9+7,MATCH(A194,Settings!$N$13:$N$24,0)),""))</f>
        <v/>
      </c>
      <c r="K194" s="55" t="str">
        <f aca="false">IF(OR(A194="",B194=""),"",A194&amp;"|"&amp;B194)</f>
        <v/>
      </c>
    </row>
    <row r="195" customFormat="false" ht="15" hidden="false" customHeight="false" outlineLevel="0" collapsed="false">
      <c r="A195" s="10"/>
      <c r="B195" s="10"/>
      <c r="C195" s="28"/>
      <c r="D195" s="10"/>
      <c r="E195" s="28"/>
      <c r="F195" s="10"/>
      <c r="G195" s="28"/>
      <c r="H195" s="10"/>
      <c r="I195" s="12" t="str">
        <f aca="false">IF(OR(A195="",B195=""),"",IF(G195&lt;&gt;"","Approved",IF(E195&lt;&gt;"","Awaiting finance",IF(C195&lt;&gt;"","Awaiting manager","Awaiting rep"))))</f>
        <v/>
      </c>
      <c r="J195" s="30" t="str">
        <f aca="false">IF(OR(A195="",B195=""),"",IFERROR(INDEX(Calculation!$C$6:$N$140,(MATCH(B195,Settings!$C$13:$C$27,0)-1)*9+7,MATCH(A195,Settings!$N$13:$N$24,0)),""))</f>
        <v/>
      </c>
      <c r="K195" s="55" t="str">
        <f aca="false">IF(OR(A195="",B195=""),"",A195&amp;"|"&amp;B195)</f>
        <v/>
      </c>
    </row>
    <row r="196" customFormat="false" ht="15" hidden="false" customHeight="false" outlineLevel="0" collapsed="false">
      <c r="A196" s="10"/>
      <c r="B196" s="10"/>
      <c r="C196" s="28"/>
      <c r="D196" s="10"/>
      <c r="E196" s="28"/>
      <c r="F196" s="10"/>
      <c r="G196" s="28"/>
      <c r="H196" s="10"/>
      <c r="I196" s="12" t="str">
        <f aca="false">IF(OR(A196="",B196=""),"",IF(G196&lt;&gt;"","Approved",IF(E196&lt;&gt;"","Awaiting finance",IF(C196&lt;&gt;"","Awaiting manager","Awaiting rep"))))</f>
        <v/>
      </c>
      <c r="J196" s="30" t="str">
        <f aca="false">IF(OR(A196="",B196=""),"",IFERROR(INDEX(Calculation!$C$6:$N$140,(MATCH(B196,Settings!$C$13:$C$27,0)-1)*9+7,MATCH(A196,Settings!$N$13:$N$24,0)),""))</f>
        <v/>
      </c>
      <c r="K196" s="55" t="str">
        <f aca="false">IF(OR(A196="",B196=""),"",A196&amp;"|"&amp;B196)</f>
        <v/>
      </c>
    </row>
    <row r="197" customFormat="false" ht="15" hidden="false" customHeight="false" outlineLevel="0" collapsed="false">
      <c r="A197" s="10"/>
      <c r="B197" s="10"/>
      <c r="C197" s="28"/>
      <c r="D197" s="10"/>
      <c r="E197" s="28"/>
      <c r="F197" s="10"/>
      <c r="G197" s="28"/>
      <c r="H197" s="10"/>
      <c r="I197" s="12" t="str">
        <f aca="false">IF(OR(A197="",B197=""),"",IF(G197&lt;&gt;"","Approved",IF(E197&lt;&gt;"","Awaiting finance",IF(C197&lt;&gt;"","Awaiting manager","Awaiting rep"))))</f>
        <v/>
      </c>
      <c r="J197" s="30" t="str">
        <f aca="false">IF(OR(A197="",B197=""),"",IFERROR(INDEX(Calculation!$C$6:$N$140,(MATCH(B197,Settings!$C$13:$C$27,0)-1)*9+7,MATCH(A197,Settings!$N$13:$N$24,0)),""))</f>
        <v/>
      </c>
      <c r="K197" s="55" t="str">
        <f aca="false">IF(OR(A197="",B197=""),"",A197&amp;"|"&amp;B197)</f>
        <v/>
      </c>
    </row>
    <row r="198" customFormat="false" ht="15" hidden="false" customHeight="false" outlineLevel="0" collapsed="false">
      <c r="A198" s="10"/>
      <c r="B198" s="10"/>
      <c r="C198" s="28"/>
      <c r="D198" s="10"/>
      <c r="E198" s="28"/>
      <c r="F198" s="10"/>
      <c r="G198" s="28"/>
      <c r="H198" s="10"/>
      <c r="I198" s="12" t="str">
        <f aca="false">IF(OR(A198="",B198=""),"",IF(G198&lt;&gt;"","Approved",IF(E198&lt;&gt;"","Awaiting finance",IF(C198&lt;&gt;"","Awaiting manager","Awaiting rep"))))</f>
        <v/>
      </c>
      <c r="J198" s="30" t="str">
        <f aca="false">IF(OR(A198="",B198=""),"",IFERROR(INDEX(Calculation!$C$6:$N$140,(MATCH(B198,Settings!$C$13:$C$27,0)-1)*9+7,MATCH(A198,Settings!$N$13:$N$24,0)),""))</f>
        <v/>
      </c>
      <c r="K198" s="55" t="str">
        <f aca="false">IF(OR(A198="",B198=""),"",A198&amp;"|"&amp;B198)</f>
        <v/>
      </c>
    </row>
    <row r="199" customFormat="false" ht="15" hidden="false" customHeight="false" outlineLevel="0" collapsed="false">
      <c r="A199" s="10"/>
      <c r="B199" s="10"/>
      <c r="C199" s="28"/>
      <c r="D199" s="10"/>
      <c r="E199" s="28"/>
      <c r="F199" s="10"/>
      <c r="G199" s="28"/>
      <c r="H199" s="10"/>
      <c r="I199" s="12" t="str">
        <f aca="false">IF(OR(A199="",B199=""),"",IF(G199&lt;&gt;"","Approved",IF(E199&lt;&gt;"","Awaiting finance",IF(C199&lt;&gt;"","Awaiting manager","Awaiting rep"))))</f>
        <v/>
      </c>
      <c r="J199" s="30" t="str">
        <f aca="false">IF(OR(A199="",B199=""),"",IFERROR(INDEX(Calculation!$C$6:$N$140,(MATCH(B199,Settings!$C$13:$C$27,0)-1)*9+7,MATCH(A199,Settings!$N$13:$N$24,0)),""))</f>
        <v/>
      </c>
      <c r="K199" s="55" t="str">
        <f aca="false">IF(OR(A199="",B199=""),"",A199&amp;"|"&amp;B199)</f>
        <v/>
      </c>
    </row>
    <row r="200" customFormat="false" ht="15" hidden="false" customHeight="false" outlineLevel="0" collapsed="false">
      <c r="A200" s="10"/>
      <c r="B200" s="10"/>
      <c r="C200" s="28"/>
      <c r="D200" s="10"/>
      <c r="E200" s="28"/>
      <c r="F200" s="10"/>
      <c r="G200" s="28"/>
      <c r="H200" s="10"/>
      <c r="I200" s="12" t="str">
        <f aca="false">IF(OR(A200="",B200=""),"",IF(G200&lt;&gt;"","Approved",IF(E200&lt;&gt;"","Awaiting finance",IF(C200&lt;&gt;"","Awaiting manager","Awaiting rep"))))</f>
        <v/>
      </c>
      <c r="J200" s="30" t="str">
        <f aca="false">IF(OR(A200="",B200=""),"",IFERROR(INDEX(Calculation!$C$6:$N$140,(MATCH(B200,Settings!$C$13:$C$27,0)-1)*9+7,MATCH(A200,Settings!$N$13:$N$24,0)),""))</f>
        <v/>
      </c>
      <c r="K200" s="55" t="str">
        <f aca="false">IF(OR(A200="",B200=""),"",A200&amp;"|"&amp;B200)</f>
        <v/>
      </c>
    </row>
    <row r="201" customFormat="false" ht="15" hidden="false" customHeight="false" outlineLevel="0" collapsed="false">
      <c r="A201" s="10"/>
      <c r="B201" s="10"/>
      <c r="C201" s="28"/>
      <c r="D201" s="10"/>
      <c r="E201" s="28"/>
      <c r="F201" s="10"/>
      <c r="G201" s="28"/>
      <c r="H201" s="10"/>
      <c r="I201" s="12" t="str">
        <f aca="false">IF(OR(A201="",B201=""),"",IF(G201&lt;&gt;"","Approved",IF(E201&lt;&gt;"","Awaiting finance",IF(C201&lt;&gt;"","Awaiting manager","Awaiting rep"))))</f>
        <v/>
      </c>
      <c r="J201" s="30" t="str">
        <f aca="false">IF(OR(A201="",B201=""),"",IFERROR(INDEX(Calculation!$C$6:$N$140,(MATCH(B201,Settings!$C$13:$C$27,0)-1)*9+7,MATCH(A201,Settings!$N$13:$N$24,0)),""))</f>
        <v/>
      </c>
      <c r="K201" s="55" t="str">
        <f aca="false">IF(OR(A201="",B201=""),"",A201&amp;"|"&amp;B201)</f>
        <v/>
      </c>
    </row>
    <row r="202" customFormat="false" ht="15" hidden="false" customHeight="false" outlineLevel="0" collapsed="false">
      <c r="A202" s="10"/>
      <c r="B202" s="10"/>
      <c r="C202" s="28"/>
      <c r="D202" s="10"/>
      <c r="E202" s="28"/>
      <c r="F202" s="10"/>
      <c r="G202" s="28"/>
      <c r="H202" s="10"/>
      <c r="I202" s="12" t="str">
        <f aca="false">IF(OR(A202="",B202=""),"",IF(G202&lt;&gt;"","Approved",IF(E202&lt;&gt;"","Awaiting finance",IF(C202&lt;&gt;"","Awaiting manager","Awaiting rep"))))</f>
        <v/>
      </c>
      <c r="J202" s="30" t="str">
        <f aca="false">IF(OR(A202="",B202=""),"",IFERROR(INDEX(Calculation!$C$6:$N$140,(MATCH(B202,Settings!$C$13:$C$27,0)-1)*9+7,MATCH(A202,Settings!$N$13:$N$24,0)),""))</f>
        <v/>
      </c>
      <c r="K202" s="55" t="str">
        <f aca="false">IF(OR(A202="",B202=""),"",A202&amp;"|"&amp;B202)</f>
        <v/>
      </c>
    </row>
    <row r="203" customFormat="false" ht="15" hidden="false" customHeight="false" outlineLevel="0" collapsed="false">
      <c r="A203" s="10"/>
      <c r="B203" s="10"/>
      <c r="C203" s="28"/>
      <c r="D203" s="10"/>
      <c r="E203" s="28"/>
      <c r="F203" s="10"/>
      <c r="G203" s="28"/>
      <c r="H203" s="10"/>
      <c r="I203" s="12" t="str">
        <f aca="false">IF(OR(A203="",B203=""),"",IF(G203&lt;&gt;"","Approved",IF(E203&lt;&gt;"","Awaiting finance",IF(C203&lt;&gt;"","Awaiting manager","Awaiting rep"))))</f>
        <v/>
      </c>
      <c r="J203" s="30" t="str">
        <f aca="false">IF(OR(A203="",B203=""),"",IFERROR(INDEX(Calculation!$C$6:$N$140,(MATCH(B203,Settings!$C$13:$C$27,0)-1)*9+7,MATCH(A203,Settings!$N$13:$N$24,0)),""))</f>
        <v/>
      </c>
      <c r="K203" s="55" t="str">
        <f aca="false">IF(OR(A203="",B203=""),"",A203&amp;"|"&amp;B203)</f>
        <v/>
      </c>
    </row>
    <row r="204" customFormat="false" ht="15" hidden="false" customHeight="false" outlineLevel="0" collapsed="false">
      <c r="A204" s="10"/>
      <c r="B204" s="10"/>
      <c r="C204" s="28"/>
      <c r="D204" s="10"/>
      <c r="E204" s="28"/>
      <c r="F204" s="10"/>
      <c r="G204" s="28"/>
      <c r="H204" s="10"/>
      <c r="I204" s="12" t="str">
        <f aca="false">IF(OR(A204="",B204=""),"",IF(G204&lt;&gt;"","Approved",IF(E204&lt;&gt;"","Awaiting finance",IF(C204&lt;&gt;"","Awaiting manager","Awaiting rep"))))</f>
        <v/>
      </c>
      <c r="J204" s="30" t="str">
        <f aca="false">IF(OR(A204="",B204=""),"",IFERROR(INDEX(Calculation!$C$6:$N$140,(MATCH(B204,Settings!$C$13:$C$27,0)-1)*9+7,MATCH(A204,Settings!$N$13:$N$24,0)),""))</f>
        <v/>
      </c>
      <c r="K204" s="55" t="str">
        <f aca="false">IF(OR(A204="",B204=""),"",A204&amp;"|"&amp;B204)</f>
        <v/>
      </c>
    </row>
    <row r="205" customFormat="false" ht="15" hidden="false" customHeight="false" outlineLevel="0" collapsed="false">
      <c r="A205" s="10"/>
      <c r="B205" s="10"/>
      <c r="C205" s="28"/>
      <c r="D205" s="10"/>
      <c r="E205" s="28"/>
      <c r="F205" s="10"/>
      <c r="G205" s="28"/>
      <c r="H205" s="10"/>
      <c r="I205" s="12" t="str">
        <f aca="false">IF(OR(A205="",B205=""),"",IF(G205&lt;&gt;"","Approved",IF(E205&lt;&gt;"","Awaiting finance",IF(C205&lt;&gt;"","Awaiting manager","Awaiting rep"))))</f>
        <v/>
      </c>
      <c r="J205" s="30" t="str">
        <f aca="false">IF(OR(A205="",B205=""),"",IFERROR(INDEX(Calculation!$C$6:$N$140,(MATCH(B205,Settings!$C$13:$C$27,0)-1)*9+7,MATCH(A205,Settings!$N$13:$N$24,0)),""))</f>
        <v/>
      </c>
      <c r="K205" s="55" t="str">
        <f aca="false">IF(OR(A205="",B205=""),"",A205&amp;"|"&amp;B205)</f>
        <v/>
      </c>
    </row>
  </sheetData>
  <conditionalFormatting sqref="I6:I205">
    <cfRule type="expression" priority="2" aboveAverage="0" equalAverage="0" bottom="0" percent="0" rank="0" text="" dxfId="6">
      <formula>AND(I6&lt;&gt;"",I6&lt;&gt;"Approved")</formula>
    </cfRule>
  </conditionalFormatting>
  <dataValidations count="2">
    <dataValidation allowBlank="true" errorStyle="stop" operator="between" showDropDown="false" showErrorMessage="false" showInputMessage="false" sqref="A6:A205" type="list">
      <formula1>Settings!$N$13:$N$24</formula1>
      <formula2>0</formula2>
    </dataValidation>
    <dataValidation allowBlank="true" errorStyle="stop" operator="between" showDropDown="false" showErrorMessage="false" showInputMessage="false" sqref="B6:B205" type="list">
      <formula1>Settings!$C$13:$C$27</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4"/>
    <col collapsed="false" customWidth="true" hidden="false" outlineLevel="0" max="3" min="3" style="0" width="20"/>
    <col collapsed="false" customWidth="true" hidden="false" outlineLevel="0" max="4" min="4" style="0" width="14"/>
    <col collapsed="false" customWidth="true" hidden="false" outlineLevel="0" max="5" min="5" style="0" width="30"/>
    <col collapsed="false" customWidth="true" hidden="false" outlineLevel="0" max="6" min="6" style="0" width="15"/>
    <col collapsed="false" customWidth="true" hidden="false" outlineLevel="0" max="7" min="7" style="0" width="18"/>
    <col collapsed="false" customWidth="true" hidden="false" outlineLevel="0" max="8" min="8" style="0" width="3"/>
    <col collapsed="false" customWidth="true" hidden="false" outlineLevel="0" max="9" min="9" style="0" width="12"/>
  </cols>
  <sheetData>
    <row r="2" customFormat="false" ht="30" hidden="false" customHeight="true" outlineLevel="0" collapsed="false">
      <c r="B2" s="17" t="s">
        <v>191</v>
      </c>
    </row>
    <row r="3" customFormat="false" ht="15" hidden="false" customHeight="false" outlineLevel="0" collapsed="false">
      <c r="B3" s="18" t="s">
        <v>192</v>
      </c>
      <c r="I3" s="27" t="s">
        <v>110</v>
      </c>
    </row>
    <row r="4" customFormat="false" ht="15" hidden="false" customHeight="false" outlineLevel="0" collapsed="false">
      <c r="B4" s="19" t="s">
        <v>193</v>
      </c>
      <c r="C4" s="10" t="s">
        <v>76</v>
      </c>
      <c r="D4" s="34" t="n">
        <f aca="false">Settings!$C$7</f>
        <v>2026</v>
      </c>
      <c r="E4" s="18" t="str">
        <f aca="false">"Amounts in "&amp;Settings!$C$9</f>
        <v>Amounts in DKK</v>
      </c>
      <c r="I4" s="27" t="n">
        <f aca="false">IFERROR(MATCH($C$4,Settings!$N$13:$N$24,0),0)</f>
        <v>3</v>
      </c>
    </row>
    <row r="6" customFormat="false" ht="30" hidden="false" customHeight="true" outlineLevel="0" collapsed="false">
      <c r="B6" s="23" t="s">
        <v>59</v>
      </c>
      <c r="C6" s="23" t="s">
        <v>60</v>
      </c>
      <c r="D6" s="23" t="s">
        <v>194</v>
      </c>
      <c r="E6" s="23" t="s">
        <v>195</v>
      </c>
      <c r="F6" s="23" t="s">
        <v>160</v>
      </c>
      <c r="G6" s="23" t="s">
        <v>196</v>
      </c>
    </row>
    <row r="7" customFormat="false" ht="15" hidden="false" customHeight="false" outlineLevel="0" collapsed="false">
      <c r="B7" s="33" t="str">
        <f aca="false">IF(Settings!$C$13="","",Settings!$B$13)</f>
        <v>101</v>
      </c>
      <c r="C7" s="12" t="str">
        <f aca="false">IF(Settings!$C$13="","",Settings!$C$13)</f>
        <v>Anna Holm</v>
      </c>
      <c r="D7" s="33" t="str">
        <f aca="false">IF(Settings!$C$13="","",IF(Settings!$C$8="","Enter pay code",Settings!$C$8))</f>
        <v>Enter pay code</v>
      </c>
      <c r="E7" s="12" t="str">
        <f aca="false">IF(OR(Settings!$C$13="",$I$4=0),"","Commission "&amp;$C$4&amp;" "&amp;$D$4)</f>
        <v>Commission March 2026</v>
      </c>
      <c r="F7" s="30" t="n">
        <f aca="false">IF(OR(Settings!$C$13="",$I$4=0),"",INDEX(Calculation!$C$6:$N$140,7,$I$4))</f>
        <v>7400</v>
      </c>
      <c r="G7" s="12" t="str">
        <f aca="false">IF(OR(Settings!$C$13="",$I$4=0),"",IF(IFERROR(INDEX(Approvals!$G$6:$G$205,MATCH($C$4&amp;"|"&amp;Settings!$C$13,Approvals!$K$6:$K$205,0)),"")&lt;&gt;"","Approved","Pending"))</f>
        <v>Approved</v>
      </c>
    </row>
    <row r="8" customFormat="false" ht="15" hidden="false" customHeight="false" outlineLevel="0" collapsed="false">
      <c r="B8" s="33" t="str">
        <f aca="false">IF(Settings!$C$14="","",Settings!$B$14)</f>
        <v>102</v>
      </c>
      <c r="C8" s="12" t="str">
        <f aca="false">IF(Settings!$C$14="","",Settings!$C$14)</f>
        <v>Bo Jensen</v>
      </c>
      <c r="D8" s="33" t="str">
        <f aca="false">IF(Settings!$C$14="","",IF(Settings!$C$8="","Enter pay code",Settings!$C$8))</f>
        <v>Enter pay code</v>
      </c>
      <c r="E8" s="12" t="str">
        <f aca="false">IF(OR(Settings!$C$14="",$I$4=0),"","Commission "&amp;$C$4&amp;" "&amp;$D$4)</f>
        <v>Commission March 2026</v>
      </c>
      <c r="F8" s="30" t="n">
        <f aca="false">IF(OR(Settings!$C$14="",$I$4=0),"",INDEX(Calculation!$C$6:$N$140,16,$I$4))</f>
        <v>21000</v>
      </c>
      <c r="G8" s="12" t="str">
        <f aca="false">IF(OR(Settings!$C$14="",$I$4=0),"",IF(IFERROR(INDEX(Approvals!$G$6:$G$205,MATCH($C$4&amp;"|"&amp;Settings!$C$14,Approvals!$K$6:$K$205,0)),"")&lt;&gt;"","Approved","Pending"))</f>
        <v>Pending</v>
      </c>
    </row>
    <row r="9" customFormat="false" ht="15" hidden="false" customHeight="false" outlineLevel="0" collapsed="false">
      <c r="B9" s="33" t="str">
        <f aca="false">IF(Settings!$C$15="","",Settings!$B$15)</f>
        <v>103</v>
      </c>
      <c r="C9" s="12" t="str">
        <f aca="false">IF(Settings!$C$15="","",Settings!$C$15)</f>
        <v>Camilla Nørgaard</v>
      </c>
      <c r="D9" s="33" t="str">
        <f aca="false">IF(Settings!$C$15="","",IF(Settings!$C$8="","Enter pay code",Settings!$C$8))</f>
        <v>Enter pay code</v>
      </c>
      <c r="E9" s="12" t="str">
        <f aca="false">IF(OR(Settings!$C$15="",$I$4=0),"","Commission "&amp;$C$4&amp;" "&amp;$D$4)</f>
        <v>Commission March 2026</v>
      </c>
      <c r="F9" s="30" t="n">
        <f aca="false">IF(OR(Settings!$C$15="",$I$4=0),"",INDEX(Calculation!$C$6:$N$140,25,$I$4))</f>
        <v>5000</v>
      </c>
      <c r="G9" s="12" t="str">
        <f aca="false">IF(OR(Settings!$C$15="",$I$4=0),"",IF(IFERROR(INDEX(Approvals!$G$6:$G$205,MATCH($C$4&amp;"|"&amp;Settings!$C$15,Approvals!$K$6:$K$205,0)),"")&lt;&gt;"","Approved","Pending"))</f>
        <v>Approved</v>
      </c>
    </row>
    <row r="10" customFormat="false" ht="15" hidden="false" customHeight="false" outlineLevel="0" collapsed="false">
      <c r="B10" s="33" t="str">
        <f aca="false">IF(Settings!$C$16="","",Settings!$B$16)</f>
        <v/>
      </c>
      <c r="C10" s="12" t="str">
        <f aca="false">IF(Settings!$C$16="","",Settings!$C$16)</f>
        <v/>
      </c>
      <c r="D10" s="33" t="str">
        <f aca="false">IF(Settings!$C$16="","",IF(Settings!$C$8="","Enter pay code",Settings!$C$8))</f>
        <v/>
      </c>
      <c r="E10" s="12" t="str">
        <f aca="false">IF(OR(Settings!$C$16="",$I$4=0),"","Commission "&amp;$C$4&amp;" "&amp;$D$4)</f>
        <v/>
      </c>
      <c r="F10" s="30" t="str">
        <f aca="false">IF(OR(Settings!$C$16="",$I$4=0),"",INDEX(Calculation!$C$6:$N$140,34,$I$4))</f>
        <v/>
      </c>
      <c r="G10" s="12" t="str">
        <f aca="false">IF(OR(Settings!$C$16="",$I$4=0),"",IF(IFERROR(INDEX(Approvals!$G$6:$G$205,MATCH($C$4&amp;"|"&amp;Settings!$C$16,Approvals!$K$6:$K$205,0)),"")&lt;&gt;"","Approved","Pending"))</f>
        <v/>
      </c>
    </row>
    <row r="11" customFormat="false" ht="15" hidden="false" customHeight="false" outlineLevel="0" collapsed="false">
      <c r="B11" s="33" t="str">
        <f aca="false">IF(Settings!$C$17="","",Settings!$B$17)</f>
        <v/>
      </c>
      <c r="C11" s="12" t="str">
        <f aca="false">IF(Settings!$C$17="","",Settings!$C$17)</f>
        <v/>
      </c>
      <c r="D11" s="33" t="str">
        <f aca="false">IF(Settings!$C$17="","",IF(Settings!$C$8="","Enter pay code",Settings!$C$8))</f>
        <v/>
      </c>
      <c r="E11" s="12" t="str">
        <f aca="false">IF(OR(Settings!$C$17="",$I$4=0),"","Commission "&amp;$C$4&amp;" "&amp;$D$4)</f>
        <v/>
      </c>
      <c r="F11" s="30" t="str">
        <f aca="false">IF(OR(Settings!$C$17="",$I$4=0),"",INDEX(Calculation!$C$6:$N$140,43,$I$4))</f>
        <v/>
      </c>
      <c r="G11" s="12" t="str">
        <f aca="false">IF(OR(Settings!$C$17="",$I$4=0),"",IF(IFERROR(INDEX(Approvals!$G$6:$G$205,MATCH($C$4&amp;"|"&amp;Settings!$C$17,Approvals!$K$6:$K$205,0)),"")&lt;&gt;"","Approved","Pending"))</f>
        <v/>
      </c>
    </row>
    <row r="12" customFormat="false" ht="15" hidden="false" customHeight="false" outlineLevel="0" collapsed="false">
      <c r="B12" s="33" t="str">
        <f aca="false">IF(Settings!$C$18="","",Settings!$B$18)</f>
        <v/>
      </c>
      <c r="C12" s="12" t="str">
        <f aca="false">IF(Settings!$C$18="","",Settings!$C$18)</f>
        <v/>
      </c>
      <c r="D12" s="33" t="str">
        <f aca="false">IF(Settings!$C$18="","",IF(Settings!$C$8="","Enter pay code",Settings!$C$8))</f>
        <v/>
      </c>
      <c r="E12" s="12" t="str">
        <f aca="false">IF(OR(Settings!$C$18="",$I$4=0),"","Commission "&amp;$C$4&amp;" "&amp;$D$4)</f>
        <v/>
      </c>
      <c r="F12" s="30" t="str">
        <f aca="false">IF(OR(Settings!$C$18="",$I$4=0),"",INDEX(Calculation!$C$6:$N$140,52,$I$4))</f>
        <v/>
      </c>
      <c r="G12" s="12" t="str">
        <f aca="false">IF(OR(Settings!$C$18="",$I$4=0),"",IF(IFERROR(INDEX(Approvals!$G$6:$G$205,MATCH($C$4&amp;"|"&amp;Settings!$C$18,Approvals!$K$6:$K$205,0)),"")&lt;&gt;"","Approved","Pending"))</f>
        <v/>
      </c>
    </row>
    <row r="13" customFormat="false" ht="15" hidden="false" customHeight="false" outlineLevel="0" collapsed="false">
      <c r="B13" s="33" t="str">
        <f aca="false">IF(Settings!$C$19="","",Settings!$B$19)</f>
        <v/>
      </c>
      <c r="C13" s="12" t="str">
        <f aca="false">IF(Settings!$C$19="","",Settings!$C$19)</f>
        <v/>
      </c>
      <c r="D13" s="33" t="str">
        <f aca="false">IF(Settings!$C$19="","",IF(Settings!$C$8="","Enter pay code",Settings!$C$8))</f>
        <v/>
      </c>
      <c r="E13" s="12" t="str">
        <f aca="false">IF(OR(Settings!$C$19="",$I$4=0),"","Commission "&amp;$C$4&amp;" "&amp;$D$4)</f>
        <v/>
      </c>
      <c r="F13" s="30" t="str">
        <f aca="false">IF(OR(Settings!$C$19="",$I$4=0),"",INDEX(Calculation!$C$6:$N$140,61,$I$4))</f>
        <v/>
      </c>
      <c r="G13" s="12" t="str">
        <f aca="false">IF(OR(Settings!$C$19="",$I$4=0),"",IF(IFERROR(INDEX(Approvals!$G$6:$G$205,MATCH($C$4&amp;"|"&amp;Settings!$C$19,Approvals!$K$6:$K$205,0)),"")&lt;&gt;"","Approved","Pending"))</f>
        <v/>
      </c>
    </row>
    <row r="14" customFormat="false" ht="15" hidden="false" customHeight="false" outlineLevel="0" collapsed="false">
      <c r="B14" s="33" t="str">
        <f aca="false">IF(Settings!$C$20="","",Settings!$B$20)</f>
        <v/>
      </c>
      <c r="C14" s="12" t="str">
        <f aca="false">IF(Settings!$C$20="","",Settings!$C$20)</f>
        <v/>
      </c>
      <c r="D14" s="33" t="str">
        <f aca="false">IF(Settings!$C$20="","",IF(Settings!$C$8="","Enter pay code",Settings!$C$8))</f>
        <v/>
      </c>
      <c r="E14" s="12" t="str">
        <f aca="false">IF(OR(Settings!$C$20="",$I$4=0),"","Commission "&amp;$C$4&amp;" "&amp;$D$4)</f>
        <v/>
      </c>
      <c r="F14" s="30" t="str">
        <f aca="false">IF(OR(Settings!$C$20="",$I$4=0),"",INDEX(Calculation!$C$6:$N$140,70,$I$4))</f>
        <v/>
      </c>
      <c r="G14" s="12" t="str">
        <f aca="false">IF(OR(Settings!$C$20="",$I$4=0),"",IF(IFERROR(INDEX(Approvals!$G$6:$G$205,MATCH($C$4&amp;"|"&amp;Settings!$C$20,Approvals!$K$6:$K$205,0)),"")&lt;&gt;"","Approved","Pending"))</f>
        <v/>
      </c>
    </row>
    <row r="15" customFormat="false" ht="15" hidden="false" customHeight="false" outlineLevel="0" collapsed="false">
      <c r="B15" s="33" t="str">
        <f aca="false">IF(Settings!$C$21="","",Settings!$B$21)</f>
        <v/>
      </c>
      <c r="C15" s="12" t="str">
        <f aca="false">IF(Settings!$C$21="","",Settings!$C$21)</f>
        <v/>
      </c>
      <c r="D15" s="33" t="str">
        <f aca="false">IF(Settings!$C$21="","",IF(Settings!$C$8="","Enter pay code",Settings!$C$8))</f>
        <v/>
      </c>
      <c r="E15" s="12" t="str">
        <f aca="false">IF(OR(Settings!$C$21="",$I$4=0),"","Commission "&amp;$C$4&amp;" "&amp;$D$4)</f>
        <v/>
      </c>
      <c r="F15" s="30" t="str">
        <f aca="false">IF(OR(Settings!$C$21="",$I$4=0),"",INDEX(Calculation!$C$6:$N$140,79,$I$4))</f>
        <v/>
      </c>
      <c r="G15" s="12" t="str">
        <f aca="false">IF(OR(Settings!$C$21="",$I$4=0),"",IF(IFERROR(INDEX(Approvals!$G$6:$G$205,MATCH($C$4&amp;"|"&amp;Settings!$C$21,Approvals!$K$6:$K$205,0)),"")&lt;&gt;"","Approved","Pending"))</f>
        <v/>
      </c>
    </row>
    <row r="16" customFormat="false" ht="15" hidden="false" customHeight="false" outlineLevel="0" collapsed="false">
      <c r="B16" s="33" t="str">
        <f aca="false">IF(Settings!$C$22="","",Settings!$B$22)</f>
        <v/>
      </c>
      <c r="C16" s="12" t="str">
        <f aca="false">IF(Settings!$C$22="","",Settings!$C$22)</f>
        <v/>
      </c>
      <c r="D16" s="33" t="str">
        <f aca="false">IF(Settings!$C$22="","",IF(Settings!$C$8="","Enter pay code",Settings!$C$8))</f>
        <v/>
      </c>
      <c r="E16" s="12" t="str">
        <f aca="false">IF(OR(Settings!$C$22="",$I$4=0),"","Commission "&amp;$C$4&amp;" "&amp;$D$4)</f>
        <v/>
      </c>
      <c r="F16" s="30" t="str">
        <f aca="false">IF(OR(Settings!$C$22="",$I$4=0),"",INDEX(Calculation!$C$6:$N$140,88,$I$4))</f>
        <v/>
      </c>
      <c r="G16" s="12" t="str">
        <f aca="false">IF(OR(Settings!$C$22="",$I$4=0),"",IF(IFERROR(INDEX(Approvals!$G$6:$G$205,MATCH($C$4&amp;"|"&amp;Settings!$C$22,Approvals!$K$6:$K$205,0)),"")&lt;&gt;"","Approved","Pending"))</f>
        <v/>
      </c>
    </row>
    <row r="17" customFormat="false" ht="15" hidden="false" customHeight="false" outlineLevel="0" collapsed="false">
      <c r="B17" s="33" t="str">
        <f aca="false">IF(Settings!$C$23="","",Settings!$B$23)</f>
        <v/>
      </c>
      <c r="C17" s="12" t="str">
        <f aca="false">IF(Settings!$C$23="","",Settings!$C$23)</f>
        <v/>
      </c>
      <c r="D17" s="33" t="str">
        <f aca="false">IF(Settings!$C$23="","",IF(Settings!$C$8="","Enter pay code",Settings!$C$8))</f>
        <v/>
      </c>
      <c r="E17" s="12" t="str">
        <f aca="false">IF(OR(Settings!$C$23="",$I$4=0),"","Commission "&amp;$C$4&amp;" "&amp;$D$4)</f>
        <v/>
      </c>
      <c r="F17" s="30" t="str">
        <f aca="false">IF(OR(Settings!$C$23="",$I$4=0),"",INDEX(Calculation!$C$6:$N$140,97,$I$4))</f>
        <v/>
      </c>
      <c r="G17" s="12" t="str">
        <f aca="false">IF(OR(Settings!$C$23="",$I$4=0),"",IF(IFERROR(INDEX(Approvals!$G$6:$G$205,MATCH($C$4&amp;"|"&amp;Settings!$C$23,Approvals!$K$6:$K$205,0)),"")&lt;&gt;"","Approved","Pending"))</f>
        <v/>
      </c>
    </row>
    <row r="18" customFormat="false" ht="15" hidden="false" customHeight="false" outlineLevel="0" collapsed="false">
      <c r="B18" s="33" t="str">
        <f aca="false">IF(Settings!$C$24="","",Settings!$B$24)</f>
        <v/>
      </c>
      <c r="C18" s="12" t="str">
        <f aca="false">IF(Settings!$C$24="","",Settings!$C$24)</f>
        <v/>
      </c>
      <c r="D18" s="33" t="str">
        <f aca="false">IF(Settings!$C$24="","",IF(Settings!$C$8="","Enter pay code",Settings!$C$8))</f>
        <v/>
      </c>
      <c r="E18" s="12" t="str">
        <f aca="false">IF(OR(Settings!$C$24="",$I$4=0),"","Commission "&amp;$C$4&amp;" "&amp;$D$4)</f>
        <v/>
      </c>
      <c r="F18" s="30" t="str">
        <f aca="false">IF(OR(Settings!$C$24="",$I$4=0),"",INDEX(Calculation!$C$6:$N$140,106,$I$4))</f>
        <v/>
      </c>
      <c r="G18" s="12" t="str">
        <f aca="false">IF(OR(Settings!$C$24="",$I$4=0),"",IF(IFERROR(INDEX(Approvals!$G$6:$G$205,MATCH($C$4&amp;"|"&amp;Settings!$C$24,Approvals!$K$6:$K$205,0)),"")&lt;&gt;"","Approved","Pending"))</f>
        <v/>
      </c>
    </row>
    <row r="19" customFormat="false" ht="15" hidden="false" customHeight="false" outlineLevel="0" collapsed="false">
      <c r="B19" s="33" t="str">
        <f aca="false">IF(Settings!$C$25="","",Settings!$B$25)</f>
        <v/>
      </c>
      <c r="C19" s="12" t="str">
        <f aca="false">IF(Settings!$C$25="","",Settings!$C$25)</f>
        <v/>
      </c>
      <c r="D19" s="33" t="str">
        <f aca="false">IF(Settings!$C$25="","",IF(Settings!$C$8="","Enter pay code",Settings!$C$8))</f>
        <v/>
      </c>
      <c r="E19" s="12" t="str">
        <f aca="false">IF(OR(Settings!$C$25="",$I$4=0),"","Commission "&amp;$C$4&amp;" "&amp;$D$4)</f>
        <v/>
      </c>
      <c r="F19" s="30" t="str">
        <f aca="false">IF(OR(Settings!$C$25="",$I$4=0),"",INDEX(Calculation!$C$6:$N$140,115,$I$4))</f>
        <v/>
      </c>
      <c r="G19" s="12" t="str">
        <f aca="false">IF(OR(Settings!$C$25="",$I$4=0),"",IF(IFERROR(INDEX(Approvals!$G$6:$G$205,MATCH($C$4&amp;"|"&amp;Settings!$C$25,Approvals!$K$6:$K$205,0)),"")&lt;&gt;"","Approved","Pending"))</f>
        <v/>
      </c>
    </row>
    <row r="20" customFormat="false" ht="15" hidden="false" customHeight="false" outlineLevel="0" collapsed="false">
      <c r="B20" s="33" t="str">
        <f aca="false">IF(Settings!$C$26="","",Settings!$B$26)</f>
        <v/>
      </c>
      <c r="C20" s="12" t="str">
        <f aca="false">IF(Settings!$C$26="","",Settings!$C$26)</f>
        <v/>
      </c>
      <c r="D20" s="33" t="str">
        <f aca="false">IF(Settings!$C$26="","",IF(Settings!$C$8="","Enter pay code",Settings!$C$8))</f>
        <v/>
      </c>
      <c r="E20" s="12" t="str">
        <f aca="false">IF(OR(Settings!$C$26="",$I$4=0),"","Commission "&amp;$C$4&amp;" "&amp;$D$4)</f>
        <v/>
      </c>
      <c r="F20" s="30" t="str">
        <f aca="false">IF(OR(Settings!$C$26="",$I$4=0),"",INDEX(Calculation!$C$6:$N$140,124,$I$4))</f>
        <v/>
      </c>
      <c r="G20" s="12" t="str">
        <f aca="false">IF(OR(Settings!$C$26="",$I$4=0),"",IF(IFERROR(INDEX(Approvals!$G$6:$G$205,MATCH($C$4&amp;"|"&amp;Settings!$C$26,Approvals!$K$6:$K$205,0)),"")&lt;&gt;"","Approved","Pending"))</f>
        <v/>
      </c>
    </row>
    <row r="21" customFormat="false" ht="15" hidden="false" customHeight="false" outlineLevel="0" collapsed="false">
      <c r="B21" s="33" t="str">
        <f aca="false">IF(Settings!$C$27="","",Settings!$B$27)</f>
        <v/>
      </c>
      <c r="C21" s="12" t="str">
        <f aca="false">IF(Settings!$C$27="","",Settings!$C$27)</f>
        <v/>
      </c>
      <c r="D21" s="33" t="str">
        <f aca="false">IF(Settings!$C$27="","",IF(Settings!$C$8="","Enter pay code",Settings!$C$8))</f>
        <v/>
      </c>
      <c r="E21" s="12" t="str">
        <f aca="false">IF(OR(Settings!$C$27="",$I$4=0),"","Commission "&amp;$C$4&amp;" "&amp;$D$4)</f>
        <v/>
      </c>
      <c r="F21" s="30" t="str">
        <f aca="false">IF(OR(Settings!$C$27="",$I$4=0),"",INDEX(Calculation!$C$6:$N$140,133,$I$4))</f>
        <v/>
      </c>
      <c r="G21" s="12" t="str">
        <f aca="false">IF(OR(Settings!$C$27="",$I$4=0),"",IF(IFERROR(INDEX(Approvals!$G$6:$G$205,MATCH($C$4&amp;"|"&amp;Settings!$C$27,Approvals!$K$6:$K$205,0)),"")&lt;&gt;"","Approved","Pending"))</f>
        <v/>
      </c>
    </row>
    <row r="22" customFormat="false" ht="15" hidden="false" customHeight="true" outlineLevel="0" collapsed="false">
      <c r="B22" s="43" t="s">
        <v>197</v>
      </c>
      <c r="C22" s="43"/>
      <c r="D22" s="43"/>
      <c r="E22" s="43"/>
      <c r="F22" s="44" t="n">
        <f aca="false">SUM(F7:F21)</f>
        <v>33400</v>
      </c>
    </row>
    <row r="23" customFormat="false" ht="15" hidden="false" customHeight="true" outlineLevel="0" collapsed="false">
      <c r="B23" s="56" t="s">
        <v>198</v>
      </c>
      <c r="C23" s="56"/>
      <c r="D23" s="56"/>
      <c r="E23" s="56"/>
      <c r="F23" s="30" t="n">
        <f aca="false">SUMIFS(F7:F21,G7:G21,"Approved")</f>
        <v>12400</v>
      </c>
    </row>
    <row r="24" customFormat="false" ht="15" hidden="false" customHeight="true" outlineLevel="0" collapsed="false">
      <c r="B24" s="56" t="s">
        <v>199</v>
      </c>
      <c r="C24" s="56"/>
      <c r="D24" s="56"/>
      <c r="E24" s="56"/>
      <c r="F24" s="30" t="n">
        <f aca="false">F22-F23</f>
        <v>21000</v>
      </c>
    </row>
    <row r="26" customFormat="false" ht="15" hidden="false" customHeight="false" outlineLevel="0" collapsed="false">
      <c r="B26" s="45" t="str">
        <f aca="false">IF(F24&gt;0,"Note: some amounts have not been approved by finance yet.","")</f>
        <v>Note: some amounts have not been approved by finance yet.</v>
      </c>
    </row>
    <row r="27" customFormat="false" ht="15" hidden="false" customHeight="false" outlineLevel="0" collapsed="false">
      <c r="B27" s="18" t="s">
        <v>200</v>
      </c>
    </row>
    <row r="29" customFormat="false" ht="15" hidden="false" customHeight="false" outlineLevel="0" collapsed="false">
      <c r="B29" s="16" t="s">
        <v>44</v>
      </c>
    </row>
  </sheetData>
  <mergeCells count="3">
    <mergeCell ref="B22:E22"/>
    <mergeCell ref="B23:E23"/>
    <mergeCell ref="B24:E24"/>
  </mergeCells>
  <conditionalFormatting sqref="D7:D21">
    <cfRule type="cellIs" priority="2" operator="equal" aboveAverage="0" equalAverage="0" bottom="0" percent="0" rank="0" text="" dxfId="6">
      <formula>"Enter pay code"</formula>
    </cfRule>
  </conditionalFormatting>
  <conditionalFormatting sqref="G7:G21">
    <cfRule type="cellIs" priority="3" operator="equal" aboveAverage="0" equalAverage="0" bottom="0" percent="0" rank="0" text="" dxfId="6">
      <formula>"Pending"</formula>
    </cfRule>
  </conditionalFormatting>
  <dataValidations count="1">
    <dataValidation allowBlank="false" errorStyle="stop" operator="between" showDropDown="false" showErrorMessage="false" showInputMessage="false" sqref="C4" type="list">
      <formula1>Settings!$N$13:$N$24</formula1>
      <formula2>0</formula2>
    </dataValidation>
  </dataValidations>
  <hyperlinks>
    <hyperlink ref="B29" r:id="rId1" display="prowi.io · Free template from Prowi"/>
  </hyperlink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O1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30"/>
    <col collapsed="false" customWidth="true" hidden="false" outlineLevel="0" max="14" min="3" style="0" width="11"/>
    <col collapsed="false" customWidth="true" hidden="false" outlineLevel="0" max="15" min="15" style="0" width="13"/>
  </cols>
  <sheetData>
    <row r="2" customFormat="false" ht="30" hidden="false" customHeight="true" outlineLevel="0" collapsed="false">
      <c r="A2" s="17" t="s">
        <v>201</v>
      </c>
    </row>
    <row r="3" customFormat="false" ht="15" hidden="false" customHeight="false" outlineLevel="0" collapsed="false">
      <c r="A3" s="18" t="s">
        <v>202</v>
      </c>
    </row>
    <row r="5" customFormat="false" ht="21.75" hidden="false" customHeight="true" outlineLevel="0" collapsed="false">
      <c r="A5" s="23" t="s">
        <v>101</v>
      </c>
      <c r="B5" s="23" t="s">
        <v>203</v>
      </c>
      <c r="C5" s="23" t="s">
        <v>204</v>
      </c>
      <c r="D5" s="23" t="s">
        <v>205</v>
      </c>
      <c r="E5" s="23" t="s">
        <v>206</v>
      </c>
      <c r="F5" s="23" t="s">
        <v>207</v>
      </c>
      <c r="G5" s="23" t="s">
        <v>89</v>
      </c>
      <c r="H5" s="23" t="s">
        <v>208</v>
      </c>
      <c r="I5" s="23" t="s">
        <v>209</v>
      </c>
      <c r="J5" s="23" t="s">
        <v>210</v>
      </c>
      <c r="K5" s="23" t="s">
        <v>211</v>
      </c>
      <c r="L5" s="23" t="s">
        <v>212</v>
      </c>
      <c r="M5" s="23" t="s">
        <v>213</v>
      </c>
      <c r="N5" s="23" t="s">
        <v>214</v>
      </c>
      <c r="O5" s="23" t="s">
        <v>197</v>
      </c>
    </row>
    <row r="6" customFormat="false" ht="15" hidden="false" customHeight="false" outlineLevel="0" collapsed="false">
      <c r="A6" s="46" t="str">
        <f aca="false">IF(Settings!$C$13="","",Settings!$C$13)</f>
        <v>Anna Holm</v>
      </c>
      <c r="B6" s="39" t="s">
        <v>215</v>
      </c>
      <c r="C6" s="30" t="n">
        <f aca="false">IF(Settings!$C$13="",0,SUMIFS(Deals!$I$6:$I$305,Deals!$A$6:$A$305,Settings!$C$13,Deals!$J$6:$J$305,1))</f>
        <v>4000</v>
      </c>
      <c r="D6" s="30" t="n">
        <f aca="false">IF(Settings!$C$13="",0,SUMIFS(Deals!$I$6:$I$305,Deals!$A$6:$A$305,Settings!$C$13,Deals!$J$6:$J$305,2))</f>
        <v>12000</v>
      </c>
      <c r="E6" s="30" t="n">
        <f aca="false">IF(Settings!$C$13="",0,SUMIFS(Deals!$I$6:$I$305,Deals!$A$6:$A$305,Settings!$C$13,Deals!$J$6:$J$305,3))</f>
        <v>24600</v>
      </c>
      <c r="F6" s="30" t="n">
        <f aca="false">IF(Settings!$C$13="",0,SUMIFS(Deals!$I$6:$I$305,Deals!$A$6:$A$305,Settings!$C$13,Deals!$J$6:$J$305,4))</f>
        <v>0</v>
      </c>
      <c r="G6" s="30" t="n">
        <f aca="false">IF(Settings!$C$13="",0,SUMIFS(Deals!$I$6:$I$305,Deals!$A$6:$A$305,Settings!$C$13,Deals!$J$6:$J$305,5))</f>
        <v>0</v>
      </c>
      <c r="H6" s="30" t="n">
        <f aca="false">IF(Settings!$C$13="",0,SUMIFS(Deals!$I$6:$I$305,Deals!$A$6:$A$305,Settings!$C$13,Deals!$J$6:$J$305,6))</f>
        <v>0</v>
      </c>
      <c r="I6" s="30" t="n">
        <f aca="false">IF(Settings!$C$13="",0,SUMIFS(Deals!$I$6:$I$305,Deals!$A$6:$A$305,Settings!$C$13,Deals!$J$6:$J$305,7))</f>
        <v>0</v>
      </c>
      <c r="J6" s="30" t="n">
        <f aca="false">IF(Settings!$C$13="",0,SUMIFS(Deals!$I$6:$I$305,Deals!$A$6:$A$305,Settings!$C$13,Deals!$J$6:$J$305,8))</f>
        <v>0</v>
      </c>
      <c r="K6" s="30" t="n">
        <f aca="false">IF(Settings!$C$13="",0,SUMIFS(Deals!$I$6:$I$305,Deals!$A$6:$A$305,Settings!$C$13,Deals!$J$6:$J$305,9))</f>
        <v>0</v>
      </c>
      <c r="L6" s="30" t="n">
        <f aca="false">IF(Settings!$C$13="",0,SUMIFS(Deals!$I$6:$I$305,Deals!$A$6:$A$305,Settings!$C$13,Deals!$J$6:$J$305,10))</f>
        <v>0</v>
      </c>
      <c r="M6" s="30" t="n">
        <f aca="false">IF(Settings!$C$13="",0,SUMIFS(Deals!$I$6:$I$305,Deals!$A$6:$A$305,Settings!$C$13,Deals!$J$6:$J$305,11))</f>
        <v>0</v>
      </c>
      <c r="N6" s="30" t="n">
        <f aca="false">IF(Settings!$C$13="",0,SUMIFS(Deals!$I$6:$I$305,Deals!$A$6:$A$305,Settings!$C$13,Deals!$J$6:$J$305,12))</f>
        <v>0</v>
      </c>
      <c r="O6" s="44" t="n">
        <f aca="false">SUM(C6:N6)</f>
        <v>40600</v>
      </c>
    </row>
    <row r="7" customFormat="false" ht="15" hidden="false" customHeight="false" outlineLevel="0" collapsed="false">
      <c r="A7" s="57" t="str">
        <f aca="false">IF(Settings!$C$13="","",Settings!$C$13)</f>
        <v>Anna Holm</v>
      </c>
      <c r="B7" s="39" t="s">
        <v>216</v>
      </c>
      <c r="C7" s="30" t="n">
        <f aca="false">IF(Settings!$C$13="",0,SUMIFS(Adjustments!$J$6:$J$105,Adjustments!$A$6:$A$105,Settings!$C$13,Adjustments!$L$6:$L$105,1))</f>
        <v>0</v>
      </c>
      <c r="D7" s="30" t="n">
        <f aca="false">IF(Settings!$C$13="",0,SUMIFS(Adjustments!$J$6:$J$105,Adjustments!$A$6:$A$105,Settings!$C$13,Adjustments!$L$6:$L$105,2))</f>
        <v>0</v>
      </c>
      <c r="E7" s="30" t="n">
        <f aca="false">IF(Settings!$C$13="",0,SUMIFS(Adjustments!$J$6:$J$105,Adjustments!$A$6:$A$105,Settings!$C$13,Adjustments!$L$6:$L$105,3))</f>
        <v>-3200</v>
      </c>
      <c r="F7" s="30" t="n">
        <f aca="false">IF(Settings!$C$13="",0,SUMIFS(Adjustments!$J$6:$J$105,Adjustments!$A$6:$A$105,Settings!$C$13,Adjustments!$L$6:$L$105,4))</f>
        <v>0</v>
      </c>
      <c r="G7" s="30" t="n">
        <f aca="false">IF(Settings!$C$13="",0,SUMIFS(Adjustments!$J$6:$J$105,Adjustments!$A$6:$A$105,Settings!$C$13,Adjustments!$L$6:$L$105,5))</f>
        <v>0</v>
      </c>
      <c r="H7" s="30" t="n">
        <f aca="false">IF(Settings!$C$13="",0,SUMIFS(Adjustments!$J$6:$J$105,Adjustments!$A$6:$A$105,Settings!$C$13,Adjustments!$L$6:$L$105,6))</f>
        <v>0</v>
      </c>
      <c r="I7" s="30" t="n">
        <f aca="false">IF(Settings!$C$13="",0,SUMIFS(Adjustments!$J$6:$J$105,Adjustments!$A$6:$A$105,Settings!$C$13,Adjustments!$L$6:$L$105,7))</f>
        <v>0</v>
      </c>
      <c r="J7" s="30" t="n">
        <f aca="false">IF(Settings!$C$13="",0,SUMIFS(Adjustments!$J$6:$J$105,Adjustments!$A$6:$A$105,Settings!$C$13,Adjustments!$L$6:$L$105,8))</f>
        <v>0</v>
      </c>
      <c r="K7" s="30" t="n">
        <f aca="false">IF(Settings!$C$13="",0,SUMIFS(Adjustments!$J$6:$J$105,Adjustments!$A$6:$A$105,Settings!$C$13,Adjustments!$L$6:$L$105,9))</f>
        <v>0</v>
      </c>
      <c r="L7" s="30" t="n">
        <f aca="false">IF(Settings!$C$13="",0,SUMIFS(Adjustments!$J$6:$J$105,Adjustments!$A$6:$A$105,Settings!$C$13,Adjustments!$L$6:$L$105,10))</f>
        <v>0</v>
      </c>
      <c r="M7" s="30" t="n">
        <f aca="false">IF(Settings!$C$13="",0,SUMIFS(Adjustments!$J$6:$J$105,Adjustments!$A$6:$A$105,Settings!$C$13,Adjustments!$L$6:$L$105,11))</f>
        <v>0</v>
      </c>
      <c r="N7" s="30" t="n">
        <f aca="false">IF(Settings!$C$13="",0,SUMIFS(Adjustments!$J$6:$J$105,Adjustments!$A$6:$A$105,Settings!$C$13,Adjustments!$L$6:$L$105,12))</f>
        <v>0</v>
      </c>
      <c r="O7" s="44" t="n">
        <f aca="false">SUM(C7:N7)</f>
        <v>-3200</v>
      </c>
    </row>
    <row r="8" customFormat="false" ht="15" hidden="false" customHeight="false" outlineLevel="0" collapsed="false">
      <c r="A8" s="57" t="str">
        <f aca="false">IF(Settings!$C$13="","",Settings!$C$13)</f>
        <v>Anna Holm</v>
      </c>
      <c r="B8" s="46" t="s">
        <v>217</v>
      </c>
      <c r="C8" s="30" t="n">
        <f aca="false">C6+C7</f>
        <v>4000</v>
      </c>
      <c r="D8" s="30" t="n">
        <f aca="false">D6+D7</f>
        <v>12000</v>
      </c>
      <c r="E8" s="30" t="n">
        <f aca="false">E6+E7</f>
        <v>21400</v>
      </c>
      <c r="F8" s="30" t="n">
        <f aca="false">F6+F7</f>
        <v>0</v>
      </c>
      <c r="G8" s="30" t="n">
        <f aca="false">G6+G7</f>
        <v>0</v>
      </c>
      <c r="H8" s="30" t="n">
        <f aca="false">H6+H7</f>
        <v>0</v>
      </c>
      <c r="I8" s="30" t="n">
        <f aca="false">I6+I7</f>
        <v>0</v>
      </c>
      <c r="J8" s="30" t="n">
        <f aca="false">J6+J7</f>
        <v>0</v>
      </c>
      <c r="K8" s="30" t="n">
        <f aca="false">K6+K7</f>
        <v>0</v>
      </c>
      <c r="L8" s="30" t="n">
        <f aca="false">L6+L7</f>
        <v>0</v>
      </c>
      <c r="M8" s="30" t="n">
        <f aca="false">M6+M7</f>
        <v>0</v>
      </c>
      <c r="N8" s="30" t="n">
        <f aca="false">N6+N7</f>
        <v>0</v>
      </c>
      <c r="O8" s="44" t="n">
        <f aca="false">SUM(C8:N8)</f>
        <v>37400</v>
      </c>
    </row>
    <row r="9" customFormat="false" ht="15" hidden="false" customHeight="false" outlineLevel="0" collapsed="false">
      <c r="A9" s="57" t="str">
        <f aca="false">IF(Settings!$C$13="","",Settings!$C$13)</f>
        <v>Anna Holm</v>
      </c>
      <c r="B9" s="39" t="s">
        <v>218</v>
      </c>
      <c r="C9" s="30" t="n">
        <f aca="false">IF(OR(Settings!$C$13="",N(Settings!$G$13)=0),0,IF(AND(1&gt;=IFERROR(MATCH(Settings!$H$13,Settings!$N$13:$N$24,0),1),1&lt;=IFERROR(MATCH(Settings!$I$13,Settings!$N$13:$N$24,0),12)),Settings!$G$13,0))</f>
        <v>10000</v>
      </c>
      <c r="D9" s="30" t="n">
        <f aca="false">IF(OR(Settings!$C$13="",N(Settings!$G$13)=0),0,IF(AND(2&gt;=IFERROR(MATCH(Settings!$H$13,Settings!$N$13:$N$24,0),1),2&lt;=IFERROR(MATCH(Settings!$I$13,Settings!$N$13:$N$24,0),12)),Settings!$G$13,0))</f>
        <v>10000</v>
      </c>
      <c r="E9" s="30" t="n">
        <f aca="false">IF(OR(Settings!$C$13="",N(Settings!$G$13)=0),0,IF(AND(3&gt;=IFERROR(MATCH(Settings!$H$13,Settings!$N$13:$N$24,0),1),3&lt;=IFERROR(MATCH(Settings!$I$13,Settings!$N$13:$N$24,0),12)),Settings!$G$13,0))</f>
        <v>10000</v>
      </c>
      <c r="F9" s="30" t="n">
        <f aca="false">IF(OR(Settings!$C$13="",N(Settings!$G$13)=0),0,IF(AND(4&gt;=IFERROR(MATCH(Settings!$H$13,Settings!$N$13:$N$24,0),1),4&lt;=IFERROR(MATCH(Settings!$I$13,Settings!$N$13:$N$24,0),12)),Settings!$G$13,0))</f>
        <v>0</v>
      </c>
      <c r="G9" s="30" t="n">
        <f aca="false">IF(OR(Settings!$C$13="",N(Settings!$G$13)=0),0,IF(AND(5&gt;=IFERROR(MATCH(Settings!$H$13,Settings!$N$13:$N$24,0),1),5&lt;=IFERROR(MATCH(Settings!$I$13,Settings!$N$13:$N$24,0),12)),Settings!$G$13,0))</f>
        <v>0</v>
      </c>
      <c r="H9" s="30" t="n">
        <f aca="false">IF(OR(Settings!$C$13="",N(Settings!$G$13)=0),0,IF(AND(6&gt;=IFERROR(MATCH(Settings!$H$13,Settings!$N$13:$N$24,0),1),6&lt;=IFERROR(MATCH(Settings!$I$13,Settings!$N$13:$N$24,0),12)),Settings!$G$13,0))</f>
        <v>0</v>
      </c>
      <c r="I9" s="30" t="n">
        <f aca="false">IF(OR(Settings!$C$13="",N(Settings!$G$13)=0),0,IF(AND(7&gt;=IFERROR(MATCH(Settings!$H$13,Settings!$N$13:$N$24,0),1),7&lt;=IFERROR(MATCH(Settings!$I$13,Settings!$N$13:$N$24,0),12)),Settings!$G$13,0))</f>
        <v>0</v>
      </c>
      <c r="J9" s="30" t="n">
        <f aca="false">IF(OR(Settings!$C$13="",N(Settings!$G$13)=0),0,IF(AND(8&gt;=IFERROR(MATCH(Settings!$H$13,Settings!$N$13:$N$24,0),1),8&lt;=IFERROR(MATCH(Settings!$I$13,Settings!$N$13:$N$24,0),12)),Settings!$G$13,0))</f>
        <v>0</v>
      </c>
      <c r="K9" s="30" t="n">
        <f aca="false">IF(OR(Settings!$C$13="",N(Settings!$G$13)=0),0,IF(AND(9&gt;=IFERROR(MATCH(Settings!$H$13,Settings!$N$13:$N$24,0),1),9&lt;=IFERROR(MATCH(Settings!$I$13,Settings!$N$13:$N$24,0),12)),Settings!$G$13,0))</f>
        <v>0</v>
      </c>
      <c r="L9" s="30" t="n">
        <f aca="false">IF(OR(Settings!$C$13="",N(Settings!$G$13)=0),0,IF(AND(10&gt;=IFERROR(MATCH(Settings!$H$13,Settings!$N$13:$N$24,0),1),10&lt;=IFERROR(MATCH(Settings!$I$13,Settings!$N$13:$N$24,0),12)),Settings!$G$13,0))</f>
        <v>0</v>
      </c>
      <c r="M9" s="30" t="n">
        <f aca="false">IF(OR(Settings!$C$13="",N(Settings!$G$13)=0),0,IF(AND(11&gt;=IFERROR(MATCH(Settings!$H$13,Settings!$N$13:$N$24,0),1),11&lt;=IFERROR(MATCH(Settings!$I$13,Settings!$N$13:$N$24,0),12)),Settings!$G$13,0))</f>
        <v>0</v>
      </c>
      <c r="N9" s="30" t="n">
        <f aca="false">IF(OR(Settings!$C$13="",N(Settings!$G$13)=0),0,IF(AND(12&gt;=IFERROR(MATCH(Settings!$H$13,Settings!$N$13:$N$24,0),1),12&lt;=IFERROR(MATCH(Settings!$I$13,Settings!$N$13:$N$24,0),12)),Settings!$G$13,0))</f>
        <v>0</v>
      </c>
      <c r="O9" s="44" t="n">
        <f aca="false">SUM(C9:N9)</f>
        <v>30000</v>
      </c>
    </row>
    <row r="10" customFormat="false" ht="15" hidden="false" customHeight="false" outlineLevel="0" collapsed="false">
      <c r="A10" s="57" t="str">
        <f aca="false">IF(Settings!$C$13="","",Settings!$C$13)</f>
        <v>Anna Holm</v>
      </c>
      <c r="B10" s="39" t="s">
        <v>219</v>
      </c>
      <c r="C10" s="30" t="n">
        <f aca="false">IF(ISNUMBER(Settings!$K$13),MIN(0,Settings!$K$13),0)</f>
        <v>0</v>
      </c>
      <c r="D10" s="30" t="n">
        <f aca="false">C13</f>
        <v>-6000</v>
      </c>
      <c r="E10" s="30" t="n">
        <f aca="false">D13</f>
        <v>-4000</v>
      </c>
      <c r="F10" s="30" t="n">
        <f aca="false">E13</f>
        <v>0</v>
      </c>
      <c r="G10" s="30" t="n">
        <f aca="false">F13</f>
        <v>0</v>
      </c>
      <c r="H10" s="30" t="n">
        <f aca="false">G13</f>
        <v>0</v>
      </c>
      <c r="I10" s="30" t="n">
        <f aca="false">H13</f>
        <v>0</v>
      </c>
      <c r="J10" s="30" t="n">
        <f aca="false">I13</f>
        <v>0</v>
      </c>
      <c r="K10" s="30" t="n">
        <f aca="false">J13</f>
        <v>0</v>
      </c>
      <c r="L10" s="30" t="n">
        <f aca="false">K13</f>
        <v>0</v>
      </c>
      <c r="M10" s="30" t="n">
        <f aca="false">L13</f>
        <v>0</v>
      </c>
      <c r="N10" s="30" t="n">
        <f aca="false">M13</f>
        <v>0</v>
      </c>
    </row>
    <row r="11" customFormat="false" ht="15" hidden="false" customHeight="false" outlineLevel="0" collapsed="false">
      <c r="A11" s="57" t="str">
        <f aca="false">IF(Settings!$C$13="","",Settings!$C$13)</f>
        <v>Anna Holm</v>
      </c>
      <c r="B11" s="39" t="s">
        <v>220</v>
      </c>
      <c r="C11" s="30" t="n">
        <f aca="false">C8-C9+C10</f>
        <v>-6000</v>
      </c>
      <c r="D11" s="30" t="n">
        <f aca="false">D8-D9+D10</f>
        <v>-4000</v>
      </c>
      <c r="E11" s="30" t="n">
        <f aca="false">E8-E9+E10</f>
        <v>7400</v>
      </c>
      <c r="F11" s="30" t="n">
        <f aca="false">F8-F9+F10</f>
        <v>0</v>
      </c>
      <c r="G11" s="30" t="n">
        <f aca="false">G8-G9+G10</f>
        <v>0</v>
      </c>
      <c r="H11" s="30" t="n">
        <f aca="false">H8-H9+H10</f>
        <v>0</v>
      </c>
      <c r="I11" s="30" t="n">
        <f aca="false">I8-I9+I10</f>
        <v>0</v>
      </c>
      <c r="J11" s="30" t="n">
        <f aca="false">J8-J9+J10</f>
        <v>0</v>
      </c>
      <c r="K11" s="30" t="n">
        <f aca="false">K8-K9+K10</f>
        <v>0</v>
      </c>
      <c r="L11" s="30" t="n">
        <f aca="false">L8-L9+L10</f>
        <v>0</v>
      </c>
      <c r="M11" s="30" t="n">
        <f aca="false">M8-M9+M10</f>
        <v>0</v>
      </c>
      <c r="N11" s="30" t="n">
        <f aca="false">N8-N9+N10</f>
        <v>0</v>
      </c>
    </row>
    <row r="12" customFormat="false" ht="15" hidden="false" customHeight="false" outlineLevel="0" collapsed="false">
      <c r="A12" s="57" t="str">
        <f aca="false">IF(Settings!$C$13="","",Settings!$C$13)</f>
        <v>Anna Holm</v>
      </c>
      <c r="B12" s="46" t="s">
        <v>172</v>
      </c>
      <c r="C12" s="44" t="n">
        <f aca="false">MAX(0,C11)</f>
        <v>0</v>
      </c>
      <c r="D12" s="44" t="n">
        <f aca="false">MAX(0,D11)</f>
        <v>0</v>
      </c>
      <c r="E12" s="44" t="n">
        <f aca="false">MAX(0,E11)</f>
        <v>7400</v>
      </c>
      <c r="F12" s="44" t="n">
        <f aca="false">MAX(0,F11)</f>
        <v>0</v>
      </c>
      <c r="G12" s="44" t="n">
        <f aca="false">MAX(0,G11)</f>
        <v>0</v>
      </c>
      <c r="H12" s="44" t="n">
        <f aca="false">MAX(0,H11)</f>
        <v>0</v>
      </c>
      <c r="I12" s="44" t="n">
        <f aca="false">MAX(0,I11)</f>
        <v>0</v>
      </c>
      <c r="J12" s="44" t="n">
        <f aca="false">MAX(0,J11)</f>
        <v>0</v>
      </c>
      <c r="K12" s="44" t="n">
        <f aca="false">MAX(0,K11)</f>
        <v>0</v>
      </c>
      <c r="L12" s="44" t="n">
        <f aca="false">MAX(0,L11)</f>
        <v>0</v>
      </c>
      <c r="M12" s="44" t="n">
        <f aca="false">MAX(0,M11)</f>
        <v>0</v>
      </c>
      <c r="N12" s="44" t="n">
        <f aca="false">MAX(0,N11)</f>
        <v>0</v>
      </c>
      <c r="O12" s="44" t="n">
        <f aca="false">SUM(C12:N12)</f>
        <v>7400</v>
      </c>
    </row>
    <row r="13" customFormat="false" ht="15" hidden="false" customHeight="false" outlineLevel="0" collapsed="false">
      <c r="A13" s="57" t="str">
        <f aca="false">IF(Settings!$C$13="","",Settings!$C$13)</f>
        <v>Anna Holm</v>
      </c>
      <c r="B13" s="39" t="s">
        <v>221</v>
      </c>
      <c r="C13" s="30" t="n">
        <f aca="false">IF(Settings!$J$13="No",MIN(0,C8+C10),MIN(0,C11))</f>
        <v>-6000</v>
      </c>
      <c r="D13" s="30" t="n">
        <f aca="false">IF(Settings!$J$13="No",MIN(0,D8+D10),MIN(0,D11))</f>
        <v>-4000</v>
      </c>
      <c r="E13" s="30" t="n">
        <f aca="false">IF(Settings!$J$13="No",MIN(0,E8+E10),MIN(0,E11))</f>
        <v>0</v>
      </c>
      <c r="F13" s="30" t="n">
        <f aca="false">IF(Settings!$J$13="No",MIN(0,F8+F10),MIN(0,F11))</f>
        <v>0</v>
      </c>
      <c r="G13" s="30" t="n">
        <f aca="false">IF(Settings!$J$13="No",MIN(0,G8+G10),MIN(0,G11))</f>
        <v>0</v>
      </c>
      <c r="H13" s="30" t="n">
        <f aca="false">IF(Settings!$J$13="No",MIN(0,H8+H10),MIN(0,H11))</f>
        <v>0</v>
      </c>
      <c r="I13" s="30" t="n">
        <f aca="false">IF(Settings!$J$13="No",MIN(0,I8+I10),MIN(0,I11))</f>
        <v>0</v>
      </c>
      <c r="J13" s="30" t="n">
        <f aca="false">IF(Settings!$J$13="No",MIN(0,J8+J10),MIN(0,J11))</f>
        <v>0</v>
      </c>
      <c r="K13" s="30" t="n">
        <f aca="false">IF(Settings!$J$13="No",MIN(0,K8+K10),MIN(0,K11))</f>
        <v>0</v>
      </c>
      <c r="L13" s="30" t="n">
        <f aca="false">IF(Settings!$J$13="No",MIN(0,L8+L10),MIN(0,L11))</f>
        <v>0</v>
      </c>
      <c r="M13" s="30" t="n">
        <f aca="false">IF(Settings!$J$13="No",MIN(0,M8+M10),MIN(0,M11))</f>
        <v>0</v>
      </c>
      <c r="N13" s="30" t="n">
        <f aca="false">IF(Settings!$J$13="No",MIN(0,N8+N10),MIN(0,N11))</f>
        <v>0</v>
      </c>
    </row>
    <row r="14" customFormat="false" ht="7.5" hidden="false" customHeight="true" outlineLevel="0" collapsed="false"/>
    <row r="15" customFormat="false" ht="15" hidden="false" customHeight="false" outlineLevel="0" collapsed="false">
      <c r="A15" s="46" t="str">
        <f aca="false">IF(Settings!$C$14="","",Settings!$C$14)</f>
        <v>Bo Jensen</v>
      </c>
      <c r="B15" s="39" t="s">
        <v>215</v>
      </c>
      <c r="C15" s="30" t="n">
        <f aca="false">IF(Settings!$C$14="",0,SUMIFS(Deals!$I$6:$I$305,Deals!$A$6:$A$305,Settings!$C$14,Deals!$J$6:$J$305,1))</f>
        <v>10800</v>
      </c>
      <c r="D15" s="30" t="n">
        <f aca="false">IF(Settings!$C$14="",0,SUMIFS(Deals!$I$6:$I$305,Deals!$A$6:$A$305,Settings!$C$14,Deals!$J$6:$J$305,2))</f>
        <v>8400</v>
      </c>
      <c r="E15" s="30" t="n">
        <f aca="false">IF(Settings!$C$14="",0,SUMIFS(Deals!$I$6:$I$305,Deals!$A$6:$A$305,Settings!$C$14,Deals!$J$6:$J$305,3))</f>
        <v>21000</v>
      </c>
      <c r="F15" s="30" t="n">
        <f aca="false">IF(Settings!$C$14="",0,SUMIFS(Deals!$I$6:$I$305,Deals!$A$6:$A$305,Settings!$C$14,Deals!$J$6:$J$305,4))</f>
        <v>0</v>
      </c>
      <c r="G15" s="30" t="n">
        <f aca="false">IF(Settings!$C$14="",0,SUMIFS(Deals!$I$6:$I$305,Deals!$A$6:$A$305,Settings!$C$14,Deals!$J$6:$J$305,5))</f>
        <v>0</v>
      </c>
      <c r="H15" s="30" t="n">
        <f aca="false">IF(Settings!$C$14="",0,SUMIFS(Deals!$I$6:$I$305,Deals!$A$6:$A$305,Settings!$C$14,Deals!$J$6:$J$305,6))</f>
        <v>0</v>
      </c>
      <c r="I15" s="30" t="n">
        <f aca="false">IF(Settings!$C$14="",0,SUMIFS(Deals!$I$6:$I$305,Deals!$A$6:$A$305,Settings!$C$14,Deals!$J$6:$J$305,7))</f>
        <v>0</v>
      </c>
      <c r="J15" s="30" t="n">
        <f aca="false">IF(Settings!$C$14="",0,SUMIFS(Deals!$I$6:$I$305,Deals!$A$6:$A$305,Settings!$C$14,Deals!$J$6:$J$305,8))</f>
        <v>0</v>
      </c>
      <c r="K15" s="30" t="n">
        <f aca="false">IF(Settings!$C$14="",0,SUMIFS(Deals!$I$6:$I$305,Deals!$A$6:$A$305,Settings!$C$14,Deals!$J$6:$J$305,9))</f>
        <v>0</v>
      </c>
      <c r="L15" s="30" t="n">
        <f aca="false">IF(Settings!$C$14="",0,SUMIFS(Deals!$I$6:$I$305,Deals!$A$6:$A$305,Settings!$C$14,Deals!$J$6:$J$305,10))</f>
        <v>0</v>
      </c>
      <c r="M15" s="30" t="n">
        <f aca="false">IF(Settings!$C$14="",0,SUMIFS(Deals!$I$6:$I$305,Deals!$A$6:$A$305,Settings!$C$14,Deals!$J$6:$J$305,11))</f>
        <v>0</v>
      </c>
      <c r="N15" s="30" t="n">
        <f aca="false">IF(Settings!$C$14="",0,SUMIFS(Deals!$I$6:$I$305,Deals!$A$6:$A$305,Settings!$C$14,Deals!$J$6:$J$305,12))</f>
        <v>0</v>
      </c>
      <c r="O15" s="44" t="n">
        <f aca="false">SUM(C15:N15)</f>
        <v>40200</v>
      </c>
    </row>
    <row r="16" customFormat="false" ht="15" hidden="false" customHeight="false" outlineLevel="0" collapsed="false">
      <c r="A16" s="57" t="str">
        <f aca="false">IF(Settings!$C$14="","",Settings!$C$14)</f>
        <v>Bo Jensen</v>
      </c>
      <c r="B16" s="39" t="s">
        <v>216</v>
      </c>
      <c r="C16" s="30" t="n">
        <f aca="false">IF(Settings!$C$14="",0,SUMIFS(Adjustments!$J$6:$J$105,Adjustments!$A$6:$A$105,Settings!$C$14,Adjustments!$L$6:$L$105,1))</f>
        <v>0</v>
      </c>
      <c r="D16" s="30" t="n">
        <f aca="false">IF(Settings!$C$14="",0,SUMIFS(Adjustments!$J$6:$J$105,Adjustments!$A$6:$A$105,Settings!$C$14,Adjustments!$L$6:$L$105,2))</f>
        <v>0</v>
      </c>
      <c r="E16" s="30" t="n">
        <f aca="false">IF(Settings!$C$14="",0,SUMIFS(Adjustments!$J$6:$J$105,Adjustments!$A$6:$A$105,Settings!$C$14,Adjustments!$L$6:$L$105,3))</f>
        <v>0</v>
      </c>
      <c r="F16" s="30" t="n">
        <f aca="false">IF(Settings!$C$14="",0,SUMIFS(Adjustments!$J$6:$J$105,Adjustments!$A$6:$A$105,Settings!$C$14,Adjustments!$L$6:$L$105,4))</f>
        <v>0</v>
      </c>
      <c r="G16" s="30" t="n">
        <f aca="false">IF(Settings!$C$14="",0,SUMIFS(Adjustments!$J$6:$J$105,Adjustments!$A$6:$A$105,Settings!$C$14,Adjustments!$L$6:$L$105,5))</f>
        <v>0</v>
      </c>
      <c r="H16" s="30" t="n">
        <f aca="false">IF(Settings!$C$14="",0,SUMIFS(Adjustments!$J$6:$J$105,Adjustments!$A$6:$A$105,Settings!$C$14,Adjustments!$L$6:$L$105,6))</f>
        <v>0</v>
      </c>
      <c r="I16" s="30" t="n">
        <f aca="false">IF(Settings!$C$14="",0,SUMIFS(Adjustments!$J$6:$J$105,Adjustments!$A$6:$A$105,Settings!$C$14,Adjustments!$L$6:$L$105,7))</f>
        <v>0</v>
      </c>
      <c r="J16" s="30" t="n">
        <f aca="false">IF(Settings!$C$14="",0,SUMIFS(Adjustments!$J$6:$J$105,Adjustments!$A$6:$A$105,Settings!$C$14,Adjustments!$L$6:$L$105,8))</f>
        <v>0</v>
      </c>
      <c r="K16" s="30" t="n">
        <f aca="false">IF(Settings!$C$14="",0,SUMIFS(Adjustments!$J$6:$J$105,Adjustments!$A$6:$A$105,Settings!$C$14,Adjustments!$L$6:$L$105,9))</f>
        <v>0</v>
      </c>
      <c r="L16" s="30" t="n">
        <f aca="false">IF(Settings!$C$14="",0,SUMIFS(Adjustments!$J$6:$J$105,Adjustments!$A$6:$A$105,Settings!$C$14,Adjustments!$L$6:$L$105,10))</f>
        <v>0</v>
      </c>
      <c r="M16" s="30" t="n">
        <f aca="false">IF(Settings!$C$14="",0,SUMIFS(Adjustments!$J$6:$J$105,Adjustments!$A$6:$A$105,Settings!$C$14,Adjustments!$L$6:$L$105,11))</f>
        <v>0</v>
      </c>
      <c r="N16" s="30" t="n">
        <f aca="false">IF(Settings!$C$14="",0,SUMIFS(Adjustments!$J$6:$J$105,Adjustments!$A$6:$A$105,Settings!$C$14,Adjustments!$L$6:$L$105,12))</f>
        <v>0</v>
      </c>
      <c r="O16" s="44" t="n">
        <f aca="false">SUM(C16:N16)</f>
        <v>0</v>
      </c>
    </row>
    <row r="17" customFormat="false" ht="15" hidden="false" customHeight="false" outlineLevel="0" collapsed="false">
      <c r="A17" s="57" t="str">
        <f aca="false">IF(Settings!$C$14="","",Settings!$C$14)</f>
        <v>Bo Jensen</v>
      </c>
      <c r="B17" s="46" t="s">
        <v>217</v>
      </c>
      <c r="C17" s="30" t="n">
        <f aca="false">C15+C16</f>
        <v>10800</v>
      </c>
      <c r="D17" s="30" t="n">
        <f aca="false">D15+D16</f>
        <v>8400</v>
      </c>
      <c r="E17" s="30" t="n">
        <f aca="false">E15+E16</f>
        <v>21000</v>
      </c>
      <c r="F17" s="30" t="n">
        <f aca="false">F15+F16</f>
        <v>0</v>
      </c>
      <c r="G17" s="30" t="n">
        <f aca="false">G15+G16</f>
        <v>0</v>
      </c>
      <c r="H17" s="30" t="n">
        <f aca="false">H15+H16</f>
        <v>0</v>
      </c>
      <c r="I17" s="30" t="n">
        <f aca="false">I15+I16</f>
        <v>0</v>
      </c>
      <c r="J17" s="30" t="n">
        <f aca="false">J15+J16</f>
        <v>0</v>
      </c>
      <c r="K17" s="30" t="n">
        <f aca="false">K15+K16</f>
        <v>0</v>
      </c>
      <c r="L17" s="30" t="n">
        <f aca="false">L15+L16</f>
        <v>0</v>
      </c>
      <c r="M17" s="30" t="n">
        <f aca="false">M15+M16</f>
        <v>0</v>
      </c>
      <c r="N17" s="30" t="n">
        <f aca="false">N15+N16</f>
        <v>0</v>
      </c>
      <c r="O17" s="44" t="n">
        <f aca="false">SUM(C17:N17)</f>
        <v>40200</v>
      </c>
    </row>
    <row r="18" customFormat="false" ht="15" hidden="false" customHeight="false" outlineLevel="0" collapsed="false">
      <c r="A18" s="57" t="str">
        <f aca="false">IF(Settings!$C$14="","",Settings!$C$14)</f>
        <v>Bo Jensen</v>
      </c>
      <c r="B18" s="39" t="s">
        <v>218</v>
      </c>
      <c r="C18" s="30" t="n">
        <f aca="false">IF(OR(Settings!$C$14="",N(Settings!$G$14)=0),0,IF(AND(1&gt;=IFERROR(MATCH(Settings!$H$14,Settings!$N$13:$N$24,0),1),1&lt;=IFERROR(MATCH(Settings!$I$14,Settings!$N$13:$N$24,0),12)),Settings!$G$14,0))</f>
        <v>0</v>
      </c>
      <c r="D18" s="30" t="n">
        <f aca="false">IF(OR(Settings!$C$14="",N(Settings!$G$14)=0),0,IF(AND(2&gt;=IFERROR(MATCH(Settings!$H$14,Settings!$N$13:$N$24,0),1),2&lt;=IFERROR(MATCH(Settings!$I$14,Settings!$N$13:$N$24,0),12)),Settings!$G$14,0))</f>
        <v>0</v>
      </c>
      <c r="E18" s="30" t="n">
        <f aca="false">IF(OR(Settings!$C$14="",N(Settings!$G$14)=0),0,IF(AND(3&gt;=IFERROR(MATCH(Settings!$H$14,Settings!$N$13:$N$24,0),1),3&lt;=IFERROR(MATCH(Settings!$I$14,Settings!$N$13:$N$24,0),12)),Settings!$G$14,0))</f>
        <v>0</v>
      </c>
      <c r="F18" s="30" t="n">
        <f aca="false">IF(OR(Settings!$C$14="",N(Settings!$G$14)=0),0,IF(AND(4&gt;=IFERROR(MATCH(Settings!$H$14,Settings!$N$13:$N$24,0),1),4&lt;=IFERROR(MATCH(Settings!$I$14,Settings!$N$13:$N$24,0),12)),Settings!$G$14,0))</f>
        <v>0</v>
      </c>
      <c r="G18" s="30" t="n">
        <f aca="false">IF(OR(Settings!$C$14="",N(Settings!$G$14)=0),0,IF(AND(5&gt;=IFERROR(MATCH(Settings!$H$14,Settings!$N$13:$N$24,0),1),5&lt;=IFERROR(MATCH(Settings!$I$14,Settings!$N$13:$N$24,0),12)),Settings!$G$14,0))</f>
        <v>0</v>
      </c>
      <c r="H18" s="30" t="n">
        <f aca="false">IF(OR(Settings!$C$14="",N(Settings!$G$14)=0),0,IF(AND(6&gt;=IFERROR(MATCH(Settings!$H$14,Settings!$N$13:$N$24,0),1),6&lt;=IFERROR(MATCH(Settings!$I$14,Settings!$N$13:$N$24,0),12)),Settings!$G$14,0))</f>
        <v>0</v>
      </c>
      <c r="I18" s="30" t="n">
        <f aca="false">IF(OR(Settings!$C$14="",N(Settings!$G$14)=0),0,IF(AND(7&gt;=IFERROR(MATCH(Settings!$H$14,Settings!$N$13:$N$24,0),1),7&lt;=IFERROR(MATCH(Settings!$I$14,Settings!$N$13:$N$24,0),12)),Settings!$G$14,0))</f>
        <v>0</v>
      </c>
      <c r="J18" s="30" t="n">
        <f aca="false">IF(OR(Settings!$C$14="",N(Settings!$G$14)=0),0,IF(AND(8&gt;=IFERROR(MATCH(Settings!$H$14,Settings!$N$13:$N$24,0),1),8&lt;=IFERROR(MATCH(Settings!$I$14,Settings!$N$13:$N$24,0),12)),Settings!$G$14,0))</f>
        <v>0</v>
      </c>
      <c r="K18" s="30" t="n">
        <f aca="false">IF(OR(Settings!$C$14="",N(Settings!$G$14)=0),0,IF(AND(9&gt;=IFERROR(MATCH(Settings!$H$14,Settings!$N$13:$N$24,0),1),9&lt;=IFERROR(MATCH(Settings!$I$14,Settings!$N$13:$N$24,0),12)),Settings!$G$14,0))</f>
        <v>0</v>
      </c>
      <c r="L18" s="30" t="n">
        <f aca="false">IF(OR(Settings!$C$14="",N(Settings!$G$14)=0),0,IF(AND(10&gt;=IFERROR(MATCH(Settings!$H$14,Settings!$N$13:$N$24,0),1),10&lt;=IFERROR(MATCH(Settings!$I$14,Settings!$N$13:$N$24,0),12)),Settings!$G$14,0))</f>
        <v>0</v>
      </c>
      <c r="M18" s="30" t="n">
        <f aca="false">IF(OR(Settings!$C$14="",N(Settings!$G$14)=0),0,IF(AND(11&gt;=IFERROR(MATCH(Settings!$H$14,Settings!$N$13:$N$24,0),1),11&lt;=IFERROR(MATCH(Settings!$I$14,Settings!$N$13:$N$24,0),12)),Settings!$G$14,0))</f>
        <v>0</v>
      </c>
      <c r="N18" s="30" t="n">
        <f aca="false">IF(OR(Settings!$C$14="",N(Settings!$G$14)=0),0,IF(AND(12&gt;=IFERROR(MATCH(Settings!$H$14,Settings!$N$13:$N$24,0),1),12&lt;=IFERROR(MATCH(Settings!$I$14,Settings!$N$13:$N$24,0),12)),Settings!$G$14,0))</f>
        <v>0</v>
      </c>
      <c r="O18" s="44" t="n">
        <f aca="false">SUM(C18:N18)</f>
        <v>0</v>
      </c>
    </row>
    <row r="19" customFormat="false" ht="15" hidden="false" customHeight="false" outlineLevel="0" collapsed="false">
      <c r="A19" s="57" t="str">
        <f aca="false">IF(Settings!$C$14="","",Settings!$C$14)</f>
        <v>Bo Jensen</v>
      </c>
      <c r="B19" s="39" t="s">
        <v>219</v>
      </c>
      <c r="C19" s="30" t="n">
        <f aca="false">IF(ISNUMBER(Settings!$K$14),MIN(0,Settings!$K$14),0)</f>
        <v>0</v>
      </c>
      <c r="D19" s="30" t="n">
        <f aca="false">C22</f>
        <v>0</v>
      </c>
      <c r="E19" s="30" t="n">
        <f aca="false">D22</f>
        <v>0</v>
      </c>
      <c r="F19" s="30" t="n">
        <f aca="false">E22</f>
        <v>0</v>
      </c>
      <c r="G19" s="30" t="n">
        <f aca="false">F22</f>
        <v>0</v>
      </c>
      <c r="H19" s="30" t="n">
        <f aca="false">G22</f>
        <v>0</v>
      </c>
      <c r="I19" s="30" t="n">
        <f aca="false">H22</f>
        <v>0</v>
      </c>
      <c r="J19" s="30" t="n">
        <f aca="false">I22</f>
        <v>0</v>
      </c>
      <c r="K19" s="30" t="n">
        <f aca="false">J22</f>
        <v>0</v>
      </c>
      <c r="L19" s="30" t="n">
        <f aca="false">K22</f>
        <v>0</v>
      </c>
      <c r="M19" s="30" t="n">
        <f aca="false">L22</f>
        <v>0</v>
      </c>
      <c r="N19" s="30" t="n">
        <f aca="false">M22</f>
        <v>0</v>
      </c>
    </row>
    <row r="20" customFormat="false" ht="15" hidden="false" customHeight="false" outlineLevel="0" collapsed="false">
      <c r="A20" s="57" t="str">
        <f aca="false">IF(Settings!$C$14="","",Settings!$C$14)</f>
        <v>Bo Jensen</v>
      </c>
      <c r="B20" s="39" t="s">
        <v>220</v>
      </c>
      <c r="C20" s="30" t="n">
        <f aca="false">C17-C18+C19</f>
        <v>10800</v>
      </c>
      <c r="D20" s="30" t="n">
        <f aca="false">D17-D18+D19</f>
        <v>8400</v>
      </c>
      <c r="E20" s="30" t="n">
        <f aca="false">E17-E18+E19</f>
        <v>21000</v>
      </c>
      <c r="F20" s="30" t="n">
        <f aca="false">F17-F18+F19</f>
        <v>0</v>
      </c>
      <c r="G20" s="30" t="n">
        <f aca="false">G17-G18+G19</f>
        <v>0</v>
      </c>
      <c r="H20" s="30" t="n">
        <f aca="false">H17-H18+H19</f>
        <v>0</v>
      </c>
      <c r="I20" s="30" t="n">
        <f aca="false">I17-I18+I19</f>
        <v>0</v>
      </c>
      <c r="J20" s="30" t="n">
        <f aca="false">J17-J18+J19</f>
        <v>0</v>
      </c>
      <c r="K20" s="30" t="n">
        <f aca="false">K17-K18+K19</f>
        <v>0</v>
      </c>
      <c r="L20" s="30" t="n">
        <f aca="false">L17-L18+L19</f>
        <v>0</v>
      </c>
      <c r="M20" s="30" t="n">
        <f aca="false">M17-M18+M19</f>
        <v>0</v>
      </c>
      <c r="N20" s="30" t="n">
        <f aca="false">N17-N18+N19</f>
        <v>0</v>
      </c>
    </row>
    <row r="21" customFormat="false" ht="15" hidden="false" customHeight="false" outlineLevel="0" collapsed="false">
      <c r="A21" s="57" t="str">
        <f aca="false">IF(Settings!$C$14="","",Settings!$C$14)</f>
        <v>Bo Jensen</v>
      </c>
      <c r="B21" s="46" t="s">
        <v>172</v>
      </c>
      <c r="C21" s="44" t="n">
        <f aca="false">MAX(0,C20)</f>
        <v>10800</v>
      </c>
      <c r="D21" s="44" t="n">
        <f aca="false">MAX(0,D20)</f>
        <v>8400</v>
      </c>
      <c r="E21" s="44" t="n">
        <f aca="false">MAX(0,E20)</f>
        <v>21000</v>
      </c>
      <c r="F21" s="44" t="n">
        <f aca="false">MAX(0,F20)</f>
        <v>0</v>
      </c>
      <c r="G21" s="44" t="n">
        <f aca="false">MAX(0,G20)</f>
        <v>0</v>
      </c>
      <c r="H21" s="44" t="n">
        <f aca="false">MAX(0,H20)</f>
        <v>0</v>
      </c>
      <c r="I21" s="44" t="n">
        <f aca="false">MAX(0,I20)</f>
        <v>0</v>
      </c>
      <c r="J21" s="44" t="n">
        <f aca="false">MAX(0,J20)</f>
        <v>0</v>
      </c>
      <c r="K21" s="44" t="n">
        <f aca="false">MAX(0,K20)</f>
        <v>0</v>
      </c>
      <c r="L21" s="44" t="n">
        <f aca="false">MAX(0,L20)</f>
        <v>0</v>
      </c>
      <c r="M21" s="44" t="n">
        <f aca="false">MAX(0,M20)</f>
        <v>0</v>
      </c>
      <c r="N21" s="44" t="n">
        <f aca="false">MAX(0,N20)</f>
        <v>0</v>
      </c>
      <c r="O21" s="44" t="n">
        <f aca="false">SUM(C21:N21)</f>
        <v>40200</v>
      </c>
    </row>
    <row r="22" customFormat="false" ht="15" hidden="false" customHeight="false" outlineLevel="0" collapsed="false">
      <c r="A22" s="57" t="str">
        <f aca="false">IF(Settings!$C$14="","",Settings!$C$14)</f>
        <v>Bo Jensen</v>
      </c>
      <c r="B22" s="39" t="s">
        <v>221</v>
      </c>
      <c r="C22" s="30" t="n">
        <f aca="false">IF(Settings!$J$14="No",MIN(0,C17+C19),MIN(0,C20))</f>
        <v>0</v>
      </c>
      <c r="D22" s="30" t="n">
        <f aca="false">IF(Settings!$J$14="No",MIN(0,D17+D19),MIN(0,D20))</f>
        <v>0</v>
      </c>
      <c r="E22" s="30" t="n">
        <f aca="false">IF(Settings!$J$14="No",MIN(0,E17+E19),MIN(0,E20))</f>
        <v>0</v>
      </c>
      <c r="F22" s="30" t="n">
        <f aca="false">IF(Settings!$J$14="No",MIN(0,F17+F19),MIN(0,F20))</f>
        <v>0</v>
      </c>
      <c r="G22" s="30" t="n">
        <f aca="false">IF(Settings!$J$14="No",MIN(0,G17+G19),MIN(0,G20))</f>
        <v>0</v>
      </c>
      <c r="H22" s="30" t="n">
        <f aca="false">IF(Settings!$J$14="No",MIN(0,H17+H19),MIN(0,H20))</f>
        <v>0</v>
      </c>
      <c r="I22" s="30" t="n">
        <f aca="false">IF(Settings!$J$14="No",MIN(0,I17+I19),MIN(0,I20))</f>
        <v>0</v>
      </c>
      <c r="J22" s="30" t="n">
        <f aca="false">IF(Settings!$J$14="No",MIN(0,J17+J19),MIN(0,J20))</f>
        <v>0</v>
      </c>
      <c r="K22" s="30" t="n">
        <f aca="false">IF(Settings!$J$14="No",MIN(0,K17+K19),MIN(0,K20))</f>
        <v>0</v>
      </c>
      <c r="L22" s="30" t="n">
        <f aca="false">IF(Settings!$J$14="No",MIN(0,L17+L19),MIN(0,L20))</f>
        <v>0</v>
      </c>
      <c r="M22" s="30" t="n">
        <f aca="false">IF(Settings!$J$14="No",MIN(0,M17+M19),MIN(0,M20))</f>
        <v>0</v>
      </c>
      <c r="N22" s="30" t="n">
        <f aca="false">IF(Settings!$J$14="No",MIN(0,N17+N19),MIN(0,N20))</f>
        <v>0</v>
      </c>
    </row>
    <row r="23" customFormat="false" ht="7.5" hidden="false" customHeight="true" outlineLevel="0" collapsed="false"/>
    <row r="24" customFormat="false" ht="15" hidden="false" customHeight="false" outlineLevel="0" collapsed="false">
      <c r="A24" s="46" t="str">
        <f aca="false">IF(Settings!$C$15="","",Settings!$C$15)</f>
        <v>Camilla Nørgaard</v>
      </c>
      <c r="B24" s="39" t="s">
        <v>215</v>
      </c>
      <c r="C24" s="30" t="n">
        <f aca="false">IF(Settings!$C$15="",0,SUMIFS(Deals!$I$6:$I$305,Deals!$A$6:$A$305,Settings!$C$15,Deals!$J$6:$J$305,1))</f>
        <v>0</v>
      </c>
      <c r="D24" s="30" t="n">
        <f aca="false">IF(Settings!$C$15="",0,SUMIFS(Deals!$I$6:$I$305,Deals!$A$6:$A$305,Settings!$C$15,Deals!$J$6:$J$305,2))</f>
        <v>8000</v>
      </c>
      <c r="E24" s="30" t="n">
        <f aca="false">IF(Settings!$C$15="",0,SUMIFS(Deals!$I$6:$I$305,Deals!$A$6:$A$305,Settings!$C$15,Deals!$J$6:$J$305,3))</f>
        <v>20000</v>
      </c>
      <c r="F24" s="30" t="n">
        <f aca="false">IF(Settings!$C$15="",0,SUMIFS(Deals!$I$6:$I$305,Deals!$A$6:$A$305,Settings!$C$15,Deals!$J$6:$J$305,4))</f>
        <v>0</v>
      </c>
      <c r="G24" s="30" t="n">
        <f aca="false">IF(Settings!$C$15="",0,SUMIFS(Deals!$I$6:$I$305,Deals!$A$6:$A$305,Settings!$C$15,Deals!$J$6:$J$305,5))</f>
        <v>0</v>
      </c>
      <c r="H24" s="30" t="n">
        <f aca="false">IF(Settings!$C$15="",0,SUMIFS(Deals!$I$6:$I$305,Deals!$A$6:$A$305,Settings!$C$15,Deals!$J$6:$J$305,6))</f>
        <v>0</v>
      </c>
      <c r="I24" s="30" t="n">
        <f aca="false">IF(Settings!$C$15="",0,SUMIFS(Deals!$I$6:$I$305,Deals!$A$6:$A$305,Settings!$C$15,Deals!$J$6:$J$305,7))</f>
        <v>0</v>
      </c>
      <c r="J24" s="30" t="n">
        <f aca="false">IF(Settings!$C$15="",0,SUMIFS(Deals!$I$6:$I$305,Deals!$A$6:$A$305,Settings!$C$15,Deals!$J$6:$J$305,8))</f>
        <v>0</v>
      </c>
      <c r="K24" s="30" t="n">
        <f aca="false">IF(Settings!$C$15="",0,SUMIFS(Deals!$I$6:$I$305,Deals!$A$6:$A$305,Settings!$C$15,Deals!$J$6:$J$305,9))</f>
        <v>0</v>
      </c>
      <c r="L24" s="30" t="n">
        <f aca="false">IF(Settings!$C$15="",0,SUMIFS(Deals!$I$6:$I$305,Deals!$A$6:$A$305,Settings!$C$15,Deals!$J$6:$J$305,10))</f>
        <v>0</v>
      </c>
      <c r="M24" s="30" t="n">
        <f aca="false">IF(Settings!$C$15="",0,SUMIFS(Deals!$I$6:$I$305,Deals!$A$6:$A$305,Settings!$C$15,Deals!$J$6:$J$305,11))</f>
        <v>0</v>
      </c>
      <c r="N24" s="30" t="n">
        <f aca="false">IF(Settings!$C$15="",0,SUMIFS(Deals!$I$6:$I$305,Deals!$A$6:$A$305,Settings!$C$15,Deals!$J$6:$J$305,12))</f>
        <v>0</v>
      </c>
      <c r="O24" s="44" t="n">
        <f aca="false">SUM(C24:N24)</f>
        <v>28000</v>
      </c>
    </row>
    <row r="25" customFormat="false" ht="15" hidden="false" customHeight="false" outlineLevel="0" collapsed="false">
      <c r="A25" s="57" t="str">
        <f aca="false">IF(Settings!$C$15="","",Settings!$C$15)</f>
        <v>Camilla Nørgaard</v>
      </c>
      <c r="B25" s="39" t="s">
        <v>216</v>
      </c>
      <c r="C25" s="30" t="n">
        <f aca="false">IF(Settings!$C$15="",0,SUMIFS(Adjustments!$J$6:$J$105,Adjustments!$A$6:$A$105,Settings!$C$15,Adjustments!$L$6:$L$105,1))</f>
        <v>0</v>
      </c>
      <c r="D25" s="30" t="n">
        <f aca="false">IF(Settings!$C$15="",0,SUMIFS(Adjustments!$J$6:$J$105,Adjustments!$A$6:$A$105,Settings!$C$15,Adjustments!$L$6:$L$105,2))</f>
        <v>0</v>
      </c>
      <c r="E25" s="30" t="n">
        <f aca="false">IF(Settings!$C$15="",0,SUMIFS(Adjustments!$J$6:$J$105,Adjustments!$A$6:$A$105,Settings!$C$15,Adjustments!$L$6:$L$105,3))</f>
        <v>0</v>
      </c>
      <c r="F25" s="30" t="n">
        <f aca="false">IF(Settings!$C$15="",0,SUMIFS(Adjustments!$J$6:$J$105,Adjustments!$A$6:$A$105,Settings!$C$15,Adjustments!$L$6:$L$105,4))</f>
        <v>0</v>
      </c>
      <c r="G25" s="30" t="n">
        <f aca="false">IF(Settings!$C$15="",0,SUMIFS(Adjustments!$J$6:$J$105,Adjustments!$A$6:$A$105,Settings!$C$15,Adjustments!$L$6:$L$105,5))</f>
        <v>0</v>
      </c>
      <c r="H25" s="30" t="n">
        <f aca="false">IF(Settings!$C$15="",0,SUMIFS(Adjustments!$J$6:$J$105,Adjustments!$A$6:$A$105,Settings!$C$15,Adjustments!$L$6:$L$105,6))</f>
        <v>0</v>
      </c>
      <c r="I25" s="30" t="n">
        <f aca="false">IF(Settings!$C$15="",0,SUMIFS(Adjustments!$J$6:$J$105,Adjustments!$A$6:$A$105,Settings!$C$15,Adjustments!$L$6:$L$105,7))</f>
        <v>0</v>
      </c>
      <c r="J25" s="30" t="n">
        <f aca="false">IF(Settings!$C$15="",0,SUMIFS(Adjustments!$J$6:$J$105,Adjustments!$A$6:$A$105,Settings!$C$15,Adjustments!$L$6:$L$105,8))</f>
        <v>0</v>
      </c>
      <c r="K25" s="30" t="n">
        <f aca="false">IF(Settings!$C$15="",0,SUMIFS(Adjustments!$J$6:$J$105,Adjustments!$A$6:$A$105,Settings!$C$15,Adjustments!$L$6:$L$105,9))</f>
        <v>0</v>
      </c>
      <c r="L25" s="30" t="n">
        <f aca="false">IF(Settings!$C$15="",0,SUMIFS(Adjustments!$J$6:$J$105,Adjustments!$A$6:$A$105,Settings!$C$15,Adjustments!$L$6:$L$105,10))</f>
        <v>0</v>
      </c>
      <c r="M25" s="30" t="n">
        <f aca="false">IF(Settings!$C$15="",0,SUMIFS(Adjustments!$J$6:$J$105,Adjustments!$A$6:$A$105,Settings!$C$15,Adjustments!$L$6:$L$105,11))</f>
        <v>0</v>
      </c>
      <c r="N25" s="30" t="n">
        <f aca="false">IF(Settings!$C$15="",0,SUMIFS(Adjustments!$J$6:$J$105,Adjustments!$A$6:$A$105,Settings!$C$15,Adjustments!$L$6:$L$105,12))</f>
        <v>0</v>
      </c>
      <c r="O25" s="44" t="n">
        <f aca="false">SUM(C25:N25)</f>
        <v>0</v>
      </c>
    </row>
    <row r="26" customFormat="false" ht="15" hidden="false" customHeight="false" outlineLevel="0" collapsed="false">
      <c r="A26" s="57" t="str">
        <f aca="false">IF(Settings!$C$15="","",Settings!$C$15)</f>
        <v>Camilla Nørgaard</v>
      </c>
      <c r="B26" s="46" t="s">
        <v>217</v>
      </c>
      <c r="C26" s="30" t="n">
        <f aca="false">C24+C25</f>
        <v>0</v>
      </c>
      <c r="D26" s="30" t="n">
        <f aca="false">D24+D25</f>
        <v>8000</v>
      </c>
      <c r="E26" s="30" t="n">
        <f aca="false">E24+E25</f>
        <v>20000</v>
      </c>
      <c r="F26" s="30" t="n">
        <f aca="false">F24+F25</f>
        <v>0</v>
      </c>
      <c r="G26" s="30" t="n">
        <f aca="false">G24+G25</f>
        <v>0</v>
      </c>
      <c r="H26" s="30" t="n">
        <f aca="false">H24+H25</f>
        <v>0</v>
      </c>
      <c r="I26" s="30" t="n">
        <f aca="false">I24+I25</f>
        <v>0</v>
      </c>
      <c r="J26" s="30" t="n">
        <f aca="false">J24+J25</f>
        <v>0</v>
      </c>
      <c r="K26" s="30" t="n">
        <f aca="false">K24+K25</f>
        <v>0</v>
      </c>
      <c r="L26" s="30" t="n">
        <f aca="false">L24+L25</f>
        <v>0</v>
      </c>
      <c r="M26" s="30" t="n">
        <f aca="false">M24+M25</f>
        <v>0</v>
      </c>
      <c r="N26" s="30" t="n">
        <f aca="false">N24+N25</f>
        <v>0</v>
      </c>
      <c r="O26" s="44" t="n">
        <f aca="false">SUM(C26:N26)</f>
        <v>28000</v>
      </c>
    </row>
    <row r="27" customFormat="false" ht="15" hidden="false" customHeight="false" outlineLevel="0" collapsed="false">
      <c r="A27" s="57" t="str">
        <f aca="false">IF(Settings!$C$15="","",Settings!$C$15)</f>
        <v>Camilla Nørgaard</v>
      </c>
      <c r="B27" s="39" t="s">
        <v>218</v>
      </c>
      <c r="C27" s="30" t="n">
        <f aca="false">IF(OR(Settings!$C$15="",N(Settings!$G$15)=0),0,IF(AND(1&gt;=IFERROR(MATCH(Settings!$H$15,Settings!$N$13:$N$24,0),1),1&lt;=IFERROR(MATCH(Settings!$I$15,Settings!$N$13:$N$24,0),12)),Settings!$G$15,0))</f>
        <v>15000</v>
      </c>
      <c r="D27" s="30" t="n">
        <f aca="false">IF(OR(Settings!$C$15="",N(Settings!$G$15)=0),0,IF(AND(2&gt;=IFERROR(MATCH(Settings!$H$15,Settings!$N$13:$N$24,0),1),2&lt;=IFERROR(MATCH(Settings!$I$15,Settings!$N$13:$N$24,0),12)),Settings!$G$15,0))</f>
        <v>15000</v>
      </c>
      <c r="E27" s="30" t="n">
        <f aca="false">IF(OR(Settings!$C$15="",N(Settings!$G$15)=0),0,IF(AND(3&gt;=IFERROR(MATCH(Settings!$H$15,Settings!$N$13:$N$24,0),1),3&lt;=IFERROR(MATCH(Settings!$I$15,Settings!$N$13:$N$24,0),12)),Settings!$G$15,0))</f>
        <v>15000</v>
      </c>
      <c r="F27" s="30" t="n">
        <f aca="false">IF(OR(Settings!$C$15="",N(Settings!$G$15)=0),0,IF(AND(4&gt;=IFERROR(MATCH(Settings!$H$15,Settings!$N$13:$N$24,0),1),4&lt;=IFERROR(MATCH(Settings!$I$15,Settings!$N$13:$N$24,0),12)),Settings!$G$15,0))</f>
        <v>0</v>
      </c>
      <c r="G27" s="30" t="n">
        <f aca="false">IF(OR(Settings!$C$15="",N(Settings!$G$15)=0),0,IF(AND(5&gt;=IFERROR(MATCH(Settings!$H$15,Settings!$N$13:$N$24,0),1),5&lt;=IFERROR(MATCH(Settings!$I$15,Settings!$N$13:$N$24,0),12)),Settings!$G$15,0))</f>
        <v>0</v>
      </c>
      <c r="H27" s="30" t="n">
        <f aca="false">IF(OR(Settings!$C$15="",N(Settings!$G$15)=0),0,IF(AND(6&gt;=IFERROR(MATCH(Settings!$H$15,Settings!$N$13:$N$24,0),1),6&lt;=IFERROR(MATCH(Settings!$I$15,Settings!$N$13:$N$24,0),12)),Settings!$G$15,0))</f>
        <v>0</v>
      </c>
      <c r="I27" s="30" t="n">
        <f aca="false">IF(OR(Settings!$C$15="",N(Settings!$G$15)=0),0,IF(AND(7&gt;=IFERROR(MATCH(Settings!$H$15,Settings!$N$13:$N$24,0),1),7&lt;=IFERROR(MATCH(Settings!$I$15,Settings!$N$13:$N$24,0),12)),Settings!$G$15,0))</f>
        <v>0</v>
      </c>
      <c r="J27" s="30" t="n">
        <f aca="false">IF(OR(Settings!$C$15="",N(Settings!$G$15)=0),0,IF(AND(8&gt;=IFERROR(MATCH(Settings!$H$15,Settings!$N$13:$N$24,0),1),8&lt;=IFERROR(MATCH(Settings!$I$15,Settings!$N$13:$N$24,0),12)),Settings!$G$15,0))</f>
        <v>0</v>
      </c>
      <c r="K27" s="30" t="n">
        <f aca="false">IF(OR(Settings!$C$15="",N(Settings!$G$15)=0),0,IF(AND(9&gt;=IFERROR(MATCH(Settings!$H$15,Settings!$N$13:$N$24,0),1),9&lt;=IFERROR(MATCH(Settings!$I$15,Settings!$N$13:$N$24,0),12)),Settings!$G$15,0))</f>
        <v>0</v>
      </c>
      <c r="L27" s="30" t="n">
        <f aca="false">IF(OR(Settings!$C$15="",N(Settings!$G$15)=0),0,IF(AND(10&gt;=IFERROR(MATCH(Settings!$H$15,Settings!$N$13:$N$24,0),1),10&lt;=IFERROR(MATCH(Settings!$I$15,Settings!$N$13:$N$24,0),12)),Settings!$G$15,0))</f>
        <v>0</v>
      </c>
      <c r="M27" s="30" t="n">
        <f aca="false">IF(OR(Settings!$C$15="",N(Settings!$G$15)=0),0,IF(AND(11&gt;=IFERROR(MATCH(Settings!$H$15,Settings!$N$13:$N$24,0),1),11&lt;=IFERROR(MATCH(Settings!$I$15,Settings!$N$13:$N$24,0),12)),Settings!$G$15,0))</f>
        <v>0</v>
      </c>
      <c r="N27" s="30" t="n">
        <f aca="false">IF(OR(Settings!$C$15="",N(Settings!$G$15)=0),0,IF(AND(12&gt;=IFERROR(MATCH(Settings!$H$15,Settings!$N$13:$N$24,0),1),12&lt;=IFERROR(MATCH(Settings!$I$15,Settings!$N$13:$N$24,0),12)),Settings!$G$15,0))</f>
        <v>0</v>
      </c>
      <c r="O27" s="44" t="n">
        <f aca="false">SUM(C27:N27)</f>
        <v>45000</v>
      </c>
    </row>
    <row r="28" customFormat="false" ht="15" hidden="false" customHeight="false" outlineLevel="0" collapsed="false">
      <c r="A28" s="57" t="str">
        <f aca="false">IF(Settings!$C$15="","",Settings!$C$15)</f>
        <v>Camilla Nørgaard</v>
      </c>
      <c r="B28" s="39" t="s">
        <v>219</v>
      </c>
      <c r="C28" s="30" t="n">
        <f aca="false">IF(ISNUMBER(Settings!$K$15),MIN(0,Settings!$K$15),0)</f>
        <v>0</v>
      </c>
      <c r="D28" s="30" t="n">
        <f aca="false">C31</f>
        <v>0</v>
      </c>
      <c r="E28" s="30" t="n">
        <f aca="false">D31</f>
        <v>0</v>
      </c>
      <c r="F28" s="30" t="n">
        <f aca="false">E31</f>
        <v>0</v>
      </c>
      <c r="G28" s="30" t="n">
        <f aca="false">F31</f>
        <v>0</v>
      </c>
      <c r="H28" s="30" t="n">
        <f aca="false">G31</f>
        <v>0</v>
      </c>
      <c r="I28" s="30" t="n">
        <f aca="false">H31</f>
        <v>0</v>
      </c>
      <c r="J28" s="30" t="n">
        <f aca="false">I31</f>
        <v>0</v>
      </c>
      <c r="K28" s="30" t="n">
        <f aca="false">J31</f>
        <v>0</v>
      </c>
      <c r="L28" s="30" t="n">
        <f aca="false">K31</f>
        <v>0</v>
      </c>
      <c r="M28" s="30" t="n">
        <f aca="false">L31</f>
        <v>0</v>
      </c>
      <c r="N28" s="30" t="n">
        <f aca="false">M31</f>
        <v>0</v>
      </c>
    </row>
    <row r="29" customFormat="false" ht="15" hidden="false" customHeight="false" outlineLevel="0" collapsed="false">
      <c r="A29" s="57" t="str">
        <f aca="false">IF(Settings!$C$15="","",Settings!$C$15)</f>
        <v>Camilla Nørgaard</v>
      </c>
      <c r="B29" s="39" t="s">
        <v>220</v>
      </c>
      <c r="C29" s="30" t="n">
        <f aca="false">C26-C27+C28</f>
        <v>-15000</v>
      </c>
      <c r="D29" s="30" t="n">
        <f aca="false">D26-D27+D28</f>
        <v>-7000</v>
      </c>
      <c r="E29" s="30" t="n">
        <f aca="false">E26-E27+E28</f>
        <v>5000</v>
      </c>
      <c r="F29" s="30" t="n">
        <f aca="false">F26-F27+F28</f>
        <v>0</v>
      </c>
      <c r="G29" s="30" t="n">
        <f aca="false">G26-G27+G28</f>
        <v>0</v>
      </c>
      <c r="H29" s="30" t="n">
        <f aca="false">H26-H27+H28</f>
        <v>0</v>
      </c>
      <c r="I29" s="30" t="n">
        <f aca="false">I26-I27+I28</f>
        <v>0</v>
      </c>
      <c r="J29" s="30" t="n">
        <f aca="false">J26-J27+J28</f>
        <v>0</v>
      </c>
      <c r="K29" s="30" t="n">
        <f aca="false">K26-K27+K28</f>
        <v>0</v>
      </c>
      <c r="L29" s="30" t="n">
        <f aca="false">L26-L27+L28</f>
        <v>0</v>
      </c>
      <c r="M29" s="30" t="n">
        <f aca="false">M26-M27+M28</f>
        <v>0</v>
      </c>
      <c r="N29" s="30" t="n">
        <f aca="false">N26-N27+N28</f>
        <v>0</v>
      </c>
    </row>
    <row r="30" customFormat="false" ht="15" hidden="false" customHeight="false" outlineLevel="0" collapsed="false">
      <c r="A30" s="57" t="str">
        <f aca="false">IF(Settings!$C$15="","",Settings!$C$15)</f>
        <v>Camilla Nørgaard</v>
      </c>
      <c r="B30" s="46" t="s">
        <v>172</v>
      </c>
      <c r="C30" s="44" t="n">
        <f aca="false">MAX(0,C29)</f>
        <v>0</v>
      </c>
      <c r="D30" s="44" t="n">
        <f aca="false">MAX(0,D29)</f>
        <v>0</v>
      </c>
      <c r="E30" s="44" t="n">
        <f aca="false">MAX(0,E29)</f>
        <v>5000</v>
      </c>
      <c r="F30" s="44" t="n">
        <f aca="false">MAX(0,F29)</f>
        <v>0</v>
      </c>
      <c r="G30" s="44" t="n">
        <f aca="false">MAX(0,G29)</f>
        <v>0</v>
      </c>
      <c r="H30" s="44" t="n">
        <f aca="false">MAX(0,H29)</f>
        <v>0</v>
      </c>
      <c r="I30" s="44" t="n">
        <f aca="false">MAX(0,I29)</f>
        <v>0</v>
      </c>
      <c r="J30" s="44" t="n">
        <f aca="false">MAX(0,J29)</f>
        <v>0</v>
      </c>
      <c r="K30" s="44" t="n">
        <f aca="false">MAX(0,K29)</f>
        <v>0</v>
      </c>
      <c r="L30" s="44" t="n">
        <f aca="false">MAX(0,L29)</f>
        <v>0</v>
      </c>
      <c r="M30" s="44" t="n">
        <f aca="false">MAX(0,M29)</f>
        <v>0</v>
      </c>
      <c r="N30" s="44" t="n">
        <f aca="false">MAX(0,N29)</f>
        <v>0</v>
      </c>
      <c r="O30" s="44" t="n">
        <f aca="false">SUM(C30:N30)</f>
        <v>5000</v>
      </c>
    </row>
    <row r="31" customFormat="false" ht="15" hidden="false" customHeight="false" outlineLevel="0" collapsed="false">
      <c r="A31" s="57" t="str">
        <f aca="false">IF(Settings!$C$15="","",Settings!$C$15)</f>
        <v>Camilla Nørgaard</v>
      </c>
      <c r="B31" s="39" t="s">
        <v>221</v>
      </c>
      <c r="C31" s="30" t="n">
        <f aca="false">IF(Settings!$J$15="No",MIN(0,C26+C28),MIN(0,C29))</f>
        <v>0</v>
      </c>
      <c r="D31" s="30" t="n">
        <f aca="false">IF(Settings!$J$15="No",MIN(0,D26+D28),MIN(0,D29))</f>
        <v>0</v>
      </c>
      <c r="E31" s="30" t="n">
        <f aca="false">IF(Settings!$J$15="No",MIN(0,E26+E28),MIN(0,E29))</f>
        <v>0</v>
      </c>
      <c r="F31" s="30" t="n">
        <f aca="false">IF(Settings!$J$15="No",MIN(0,F26+F28),MIN(0,F29))</f>
        <v>0</v>
      </c>
      <c r="G31" s="30" t="n">
        <f aca="false">IF(Settings!$J$15="No",MIN(0,G26+G28),MIN(0,G29))</f>
        <v>0</v>
      </c>
      <c r="H31" s="30" t="n">
        <f aca="false">IF(Settings!$J$15="No",MIN(0,H26+H28),MIN(0,H29))</f>
        <v>0</v>
      </c>
      <c r="I31" s="30" t="n">
        <f aca="false">IF(Settings!$J$15="No",MIN(0,I26+I28),MIN(0,I29))</f>
        <v>0</v>
      </c>
      <c r="J31" s="30" t="n">
        <f aca="false">IF(Settings!$J$15="No",MIN(0,J26+J28),MIN(0,J29))</f>
        <v>0</v>
      </c>
      <c r="K31" s="30" t="n">
        <f aca="false">IF(Settings!$J$15="No",MIN(0,K26+K28),MIN(0,K29))</f>
        <v>0</v>
      </c>
      <c r="L31" s="30" t="n">
        <f aca="false">IF(Settings!$J$15="No",MIN(0,L26+L28),MIN(0,L29))</f>
        <v>0</v>
      </c>
      <c r="M31" s="30" t="n">
        <f aca="false">IF(Settings!$J$15="No",MIN(0,M26+M28),MIN(0,M29))</f>
        <v>0</v>
      </c>
      <c r="N31" s="30" t="n">
        <f aca="false">IF(Settings!$J$15="No",MIN(0,N26+N28),MIN(0,N29))</f>
        <v>0</v>
      </c>
    </row>
    <row r="32" customFormat="false" ht="7.5" hidden="false" customHeight="true" outlineLevel="0" collapsed="false"/>
    <row r="33" customFormat="false" ht="15" hidden="false" customHeight="false" outlineLevel="0" collapsed="false">
      <c r="A33" s="46" t="str">
        <f aca="false">IF(Settings!$C$16="","",Settings!$C$16)</f>
        <v/>
      </c>
      <c r="B33" s="39" t="s">
        <v>215</v>
      </c>
      <c r="C33" s="30" t="n">
        <f aca="false">IF(Settings!$C$16="",0,SUMIFS(Deals!$I$6:$I$305,Deals!$A$6:$A$305,Settings!$C$16,Deals!$J$6:$J$305,1))</f>
        <v>0</v>
      </c>
      <c r="D33" s="30" t="n">
        <f aca="false">IF(Settings!$C$16="",0,SUMIFS(Deals!$I$6:$I$305,Deals!$A$6:$A$305,Settings!$C$16,Deals!$J$6:$J$305,2))</f>
        <v>0</v>
      </c>
      <c r="E33" s="30" t="n">
        <f aca="false">IF(Settings!$C$16="",0,SUMIFS(Deals!$I$6:$I$305,Deals!$A$6:$A$305,Settings!$C$16,Deals!$J$6:$J$305,3))</f>
        <v>0</v>
      </c>
      <c r="F33" s="30" t="n">
        <f aca="false">IF(Settings!$C$16="",0,SUMIFS(Deals!$I$6:$I$305,Deals!$A$6:$A$305,Settings!$C$16,Deals!$J$6:$J$305,4))</f>
        <v>0</v>
      </c>
      <c r="G33" s="30" t="n">
        <f aca="false">IF(Settings!$C$16="",0,SUMIFS(Deals!$I$6:$I$305,Deals!$A$6:$A$305,Settings!$C$16,Deals!$J$6:$J$305,5))</f>
        <v>0</v>
      </c>
      <c r="H33" s="30" t="n">
        <f aca="false">IF(Settings!$C$16="",0,SUMIFS(Deals!$I$6:$I$305,Deals!$A$6:$A$305,Settings!$C$16,Deals!$J$6:$J$305,6))</f>
        <v>0</v>
      </c>
      <c r="I33" s="30" t="n">
        <f aca="false">IF(Settings!$C$16="",0,SUMIFS(Deals!$I$6:$I$305,Deals!$A$6:$A$305,Settings!$C$16,Deals!$J$6:$J$305,7))</f>
        <v>0</v>
      </c>
      <c r="J33" s="30" t="n">
        <f aca="false">IF(Settings!$C$16="",0,SUMIFS(Deals!$I$6:$I$305,Deals!$A$6:$A$305,Settings!$C$16,Deals!$J$6:$J$305,8))</f>
        <v>0</v>
      </c>
      <c r="K33" s="30" t="n">
        <f aca="false">IF(Settings!$C$16="",0,SUMIFS(Deals!$I$6:$I$305,Deals!$A$6:$A$305,Settings!$C$16,Deals!$J$6:$J$305,9))</f>
        <v>0</v>
      </c>
      <c r="L33" s="30" t="n">
        <f aca="false">IF(Settings!$C$16="",0,SUMIFS(Deals!$I$6:$I$305,Deals!$A$6:$A$305,Settings!$C$16,Deals!$J$6:$J$305,10))</f>
        <v>0</v>
      </c>
      <c r="M33" s="30" t="n">
        <f aca="false">IF(Settings!$C$16="",0,SUMIFS(Deals!$I$6:$I$305,Deals!$A$6:$A$305,Settings!$C$16,Deals!$J$6:$J$305,11))</f>
        <v>0</v>
      </c>
      <c r="N33" s="30" t="n">
        <f aca="false">IF(Settings!$C$16="",0,SUMIFS(Deals!$I$6:$I$305,Deals!$A$6:$A$305,Settings!$C$16,Deals!$J$6:$J$305,12))</f>
        <v>0</v>
      </c>
      <c r="O33" s="44" t="n">
        <f aca="false">SUM(C33:N33)</f>
        <v>0</v>
      </c>
    </row>
    <row r="34" customFormat="false" ht="15" hidden="false" customHeight="false" outlineLevel="0" collapsed="false">
      <c r="A34" s="57" t="str">
        <f aca="false">IF(Settings!$C$16="","",Settings!$C$16)</f>
        <v/>
      </c>
      <c r="B34" s="39" t="s">
        <v>216</v>
      </c>
      <c r="C34" s="30" t="n">
        <f aca="false">IF(Settings!$C$16="",0,SUMIFS(Adjustments!$J$6:$J$105,Adjustments!$A$6:$A$105,Settings!$C$16,Adjustments!$L$6:$L$105,1))</f>
        <v>0</v>
      </c>
      <c r="D34" s="30" t="n">
        <f aca="false">IF(Settings!$C$16="",0,SUMIFS(Adjustments!$J$6:$J$105,Adjustments!$A$6:$A$105,Settings!$C$16,Adjustments!$L$6:$L$105,2))</f>
        <v>0</v>
      </c>
      <c r="E34" s="30" t="n">
        <f aca="false">IF(Settings!$C$16="",0,SUMIFS(Adjustments!$J$6:$J$105,Adjustments!$A$6:$A$105,Settings!$C$16,Adjustments!$L$6:$L$105,3))</f>
        <v>0</v>
      </c>
      <c r="F34" s="30" t="n">
        <f aca="false">IF(Settings!$C$16="",0,SUMIFS(Adjustments!$J$6:$J$105,Adjustments!$A$6:$A$105,Settings!$C$16,Adjustments!$L$6:$L$105,4))</f>
        <v>0</v>
      </c>
      <c r="G34" s="30" t="n">
        <f aca="false">IF(Settings!$C$16="",0,SUMIFS(Adjustments!$J$6:$J$105,Adjustments!$A$6:$A$105,Settings!$C$16,Adjustments!$L$6:$L$105,5))</f>
        <v>0</v>
      </c>
      <c r="H34" s="30" t="n">
        <f aca="false">IF(Settings!$C$16="",0,SUMIFS(Adjustments!$J$6:$J$105,Adjustments!$A$6:$A$105,Settings!$C$16,Adjustments!$L$6:$L$105,6))</f>
        <v>0</v>
      </c>
      <c r="I34" s="30" t="n">
        <f aca="false">IF(Settings!$C$16="",0,SUMIFS(Adjustments!$J$6:$J$105,Adjustments!$A$6:$A$105,Settings!$C$16,Adjustments!$L$6:$L$105,7))</f>
        <v>0</v>
      </c>
      <c r="J34" s="30" t="n">
        <f aca="false">IF(Settings!$C$16="",0,SUMIFS(Adjustments!$J$6:$J$105,Adjustments!$A$6:$A$105,Settings!$C$16,Adjustments!$L$6:$L$105,8))</f>
        <v>0</v>
      </c>
      <c r="K34" s="30" t="n">
        <f aca="false">IF(Settings!$C$16="",0,SUMIFS(Adjustments!$J$6:$J$105,Adjustments!$A$6:$A$105,Settings!$C$16,Adjustments!$L$6:$L$105,9))</f>
        <v>0</v>
      </c>
      <c r="L34" s="30" t="n">
        <f aca="false">IF(Settings!$C$16="",0,SUMIFS(Adjustments!$J$6:$J$105,Adjustments!$A$6:$A$105,Settings!$C$16,Adjustments!$L$6:$L$105,10))</f>
        <v>0</v>
      </c>
      <c r="M34" s="30" t="n">
        <f aca="false">IF(Settings!$C$16="",0,SUMIFS(Adjustments!$J$6:$J$105,Adjustments!$A$6:$A$105,Settings!$C$16,Adjustments!$L$6:$L$105,11))</f>
        <v>0</v>
      </c>
      <c r="N34" s="30" t="n">
        <f aca="false">IF(Settings!$C$16="",0,SUMIFS(Adjustments!$J$6:$J$105,Adjustments!$A$6:$A$105,Settings!$C$16,Adjustments!$L$6:$L$105,12))</f>
        <v>0</v>
      </c>
      <c r="O34" s="44" t="n">
        <f aca="false">SUM(C34:N34)</f>
        <v>0</v>
      </c>
    </row>
    <row r="35" customFormat="false" ht="15" hidden="false" customHeight="false" outlineLevel="0" collapsed="false">
      <c r="A35" s="57" t="str">
        <f aca="false">IF(Settings!$C$16="","",Settings!$C$16)</f>
        <v/>
      </c>
      <c r="B35" s="46" t="s">
        <v>217</v>
      </c>
      <c r="C35" s="30" t="n">
        <f aca="false">C33+C34</f>
        <v>0</v>
      </c>
      <c r="D35" s="30" t="n">
        <f aca="false">D33+D34</f>
        <v>0</v>
      </c>
      <c r="E35" s="30" t="n">
        <f aca="false">E33+E34</f>
        <v>0</v>
      </c>
      <c r="F35" s="30" t="n">
        <f aca="false">F33+F34</f>
        <v>0</v>
      </c>
      <c r="G35" s="30" t="n">
        <f aca="false">G33+G34</f>
        <v>0</v>
      </c>
      <c r="H35" s="30" t="n">
        <f aca="false">H33+H34</f>
        <v>0</v>
      </c>
      <c r="I35" s="30" t="n">
        <f aca="false">I33+I34</f>
        <v>0</v>
      </c>
      <c r="J35" s="30" t="n">
        <f aca="false">J33+J34</f>
        <v>0</v>
      </c>
      <c r="K35" s="30" t="n">
        <f aca="false">K33+K34</f>
        <v>0</v>
      </c>
      <c r="L35" s="30" t="n">
        <f aca="false">L33+L34</f>
        <v>0</v>
      </c>
      <c r="M35" s="30" t="n">
        <f aca="false">M33+M34</f>
        <v>0</v>
      </c>
      <c r="N35" s="30" t="n">
        <f aca="false">N33+N34</f>
        <v>0</v>
      </c>
      <c r="O35" s="44" t="n">
        <f aca="false">SUM(C35:N35)</f>
        <v>0</v>
      </c>
    </row>
    <row r="36" customFormat="false" ht="15" hidden="false" customHeight="false" outlineLevel="0" collapsed="false">
      <c r="A36" s="57" t="str">
        <f aca="false">IF(Settings!$C$16="","",Settings!$C$16)</f>
        <v/>
      </c>
      <c r="B36" s="39" t="s">
        <v>218</v>
      </c>
      <c r="C36" s="30" t="n">
        <f aca="false">IF(OR(Settings!$C$16="",N(Settings!$G$16)=0),0,IF(AND(1&gt;=IFERROR(MATCH(Settings!$H$16,Settings!$N$13:$N$24,0),1),1&lt;=IFERROR(MATCH(Settings!$I$16,Settings!$N$13:$N$24,0),12)),Settings!$G$16,0))</f>
        <v>0</v>
      </c>
      <c r="D36" s="30" t="n">
        <f aca="false">IF(OR(Settings!$C$16="",N(Settings!$G$16)=0),0,IF(AND(2&gt;=IFERROR(MATCH(Settings!$H$16,Settings!$N$13:$N$24,0),1),2&lt;=IFERROR(MATCH(Settings!$I$16,Settings!$N$13:$N$24,0),12)),Settings!$G$16,0))</f>
        <v>0</v>
      </c>
      <c r="E36" s="30" t="n">
        <f aca="false">IF(OR(Settings!$C$16="",N(Settings!$G$16)=0),0,IF(AND(3&gt;=IFERROR(MATCH(Settings!$H$16,Settings!$N$13:$N$24,0),1),3&lt;=IFERROR(MATCH(Settings!$I$16,Settings!$N$13:$N$24,0),12)),Settings!$G$16,0))</f>
        <v>0</v>
      </c>
      <c r="F36" s="30" t="n">
        <f aca="false">IF(OR(Settings!$C$16="",N(Settings!$G$16)=0),0,IF(AND(4&gt;=IFERROR(MATCH(Settings!$H$16,Settings!$N$13:$N$24,0),1),4&lt;=IFERROR(MATCH(Settings!$I$16,Settings!$N$13:$N$24,0),12)),Settings!$G$16,0))</f>
        <v>0</v>
      </c>
      <c r="G36" s="30" t="n">
        <f aca="false">IF(OR(Settings!$C$16="",N(Settings!$G$16)=0),0,IF(AND(5&gt;=IFERROR(MATCH(Settings!$H$16,Settings!$N$13:$N$24,0),1),5&lt;=IFERROR(MATCH(Settings!$I$16,Settings!$N$13:$N$24,0),12)),Settings!$G$16,0))</f>
        <v>0</v>
      </c>
      <c r="H36" s="30" t="n">
        <f aca="false">IF(OR(Settings!$C$16="",N(Settings!$G$16)=0),0,IF(AND(6&gt;=IFERROR(MATCH(Settings!$H$16,Settings!$N$13:$N$24,0),1),6&lt;=IFERROR(MATCH(Settings!$I$16,Settings!$N$13:$N$24,0),12)),Settings!$G$16,0))</f>
        <v>0</v>
      </c>
      <c r="I36" s="30" t="n">
        <f aca="false">IF(OR(Settings!$C$16="",N(Settings!$G$16)=0),0,IF(AND(7&gt;=IFERROR(MATCH(Settings!$H$16,Settings!$N$13:$N$24,0),1),7&lt;=IFERROR(MATCH(Settings!$I$16,Settings!$N$13:$N$24,0),12)),Settings!$G$16,0))</f>
        <v>0</v>
      </c>
      <c r="J36" s="30" t="n">
        <f aca="false">IF(OR(Settings!$C$16="",N(Settings!$G$16)=0),0,IF(AND(8&gt;=IFERROR(MATCH(Settings!$H$16,Settings!$N$13:$N$24,0),1),8&lt;=IFERROR(MATCH(Settings!$I$16,Settings!$N$13:$N$24,0),12)),Settings!$G$16,0))</f>
        <v>0</v>
      </c>
      <c r="K36" s="30" t="n">
        <f aca="false">IF(OR(Settings!$C$16="",N(Settings!$G$16)=0),0,IF(AND(9&gt;=IFERROR(MATCH(Settings!$H$16,Settings!$N$13:$N$24,0),1),9&lt;=IFERROR(MATCH(Settings!$I$16,Settings!$N$13:$N$24,0),12)),Settings!$G$16,0))</f>
        <v>0</v>
      </c>
      <c r="L36" s="30" t="n">
        <f aca="false">IF(OR(Settings!$C$16="",N(Settings!$G$16)=0),0,IF(AND(10&gt;=IFERROR(MATCH(Settings!$H$16,Settings!$N$13:$N$24,0),1),10&lt;=IFERROR(MATCH(Settings!$I$16,Settings!$N$13:$N$24,0),12)),Settings!$G$16,0))</f>
        <v>0</v>
      </c>
      <c r="M36" s="30" t="n">
        <f aca="false">IF(OR(Settings!$C$16="",N(Settings!$G$16)=0),0,IF(AND(11&gt;=IFERROR(MATCH(Settings!$H$16,Settings!$N$13:$N$24,0),1),11&lt;=IFERROR(MATCH(Settings!$I$16,Settings!$N$13:$N$24,0),12)),Settings!$G$16,0))</f>
        <v>0</v>
      </c>
      <c r="N36" s="30" t="n">
        <f aca="false">IF(OR(Settings!$C$16="",N(Settings!$G$16)=0),0,IF(AND(12&gt;=IFERROR(MATCH(Settings!$H$16,Settings!$N$13:$N$24,0),1),12&lt;=IFERROR(MATCH(Settings!$I$16,Settings!$N$13:$N$24,0),12)),Settings!$G$16,0))</f>
        <v>0</v>
      </c>
      <c r="O36" s="44" t="n">
        <f aca="false">SUM(C36:N36)</f>
        <v>0</v>
      </c>
    </row>
    <row r="37" customFormat="false" ht="15" hidden="false" customHeight="false" outlineLevel="0" collapsed="false">
      <c r="A37" s="57" t="str">
        <f aca="false">IF(Settings!$C$16="","",Settings!$C$16)</f>
        <v/>
      </c>
      <c r="B37" s="39" t="s">
        <v>219</v>
      </c>
      <c r="C37" s="30" t="n">
        <f aca="false">IF(ISNUMBER(Settings!$K$16),MIN(0,Settings!$K$16),0)</f>
        <v>0</v>
      </c>
      <c r="D37" s="30" t="n">
        <f aca="false">C40</f>
        <v>0</v>
      </c>
      <c r="E37" s="30" t="n">
        <f aca="false">D40</f>
        <v>0</v>
      </c>
      <c r="F37" s="30" t="n">
        <f aca="false">E40</f>
        <v>0</v>
      </c>
      <c r="G37" s="30" t="n">
        <f aca="false">F40</f>
        <v>0</v>
      </c>
      <c r="H37" s="30" t="n">
        <f aca="false">G40</f>
        <v>0</v>
      </c>
      <c r="I37" s="30" t="n">
        <f aca="false">H40</f>
        <v>0</v>
      </c>
      <c r="J37" s="30" t="n">
        <f aca="false">I40</f>
        <v>0</v>
      </c>
      <c r="K37" s="30" t="n">
        <f aca="false">J40</f>
        <v>0</v>
      </c>
      <c r="L37" s="30" t="n">
        <f aca="false">K40</f>
        <v>0</v>
      </c>
      <c r="M37" s="30" t="n">
        <f aca="false">L40</f>
        <v>0</v>
      </c>
      <c r="N37" s="30" t="n">
        <f aca="false">M40</f>
        <v>0</v>
      </c>
    </row>
    <row r="38" customFormat="false" ht="15" hidden="false" customHeight="false" outlineLevel="0" collapsed="false">
      <c r="A38" s="57" t="str">
        <f aca="false">IF(Settings!$C$16="","",Settings!$C$16)</f>
        <v/>
      </c>
      <c r="B38" s="39" t="s">
        <v>220</v>
      </c>
      <c r="C38" s="30" t="n">
        <f aca="false">C35-C36+C37</f>
        <v>0</v>
      </c>
      <c r="D38" s="30" t="n">
        <f aca="false">D35-D36+D37</f>
        <v>0</v>
      </c>
      <c r="E38" s="30" t="n">
        <f aca="false">E35-E36+E37</f>
        <v>0</v>
      </c>
      <c r="F38" s="30" t="n">
        <f aca="false">F35-F36+F37</f>
        <v>0</v>
      </c>
      <c r="G38" s="30" t="n">
        <f aca="false">G35-G36+G37</f>
        <v>0</v>
      </c>
      <c r="H38" s="30" t="n">
        <f aca="false">H35-H36+H37</f>
        <v>0</v>
      </c>
      <c r="I38" s="30" t="n">
        <f aca="false">I35-I36+I37</f>
        <v>0</v>
      </c>
      <c r="J38" s="30" t="n">
        <f aca="false">J35-J36+J37</f>
        <v>0</v>
      </c>
      <c r="K38" s="30" t="n">
        <f aca="false">K35-K36+K37</f>
        <v>0</v>
      </c>
      <c r="L38" s="30" t="n">
        <f aca="false">L35-L36+L37</f>
        <v>0</v>
      </c>
      <c r="M38" s="30" t="n">
        <f aca="false">M35-M36+M37</f>
        <v>0</v>
      </c>
      <c r="N38" s="30" t="n">
        <f aca="false">N35-N36+N37</f>
        <v>0</v>
      </c>
    </row>
    <row r="39" customFormat="false" ht="15" hidden="false" customHeight="false" outlineLevel="0" collapsed="false">
      <c r="A39" s="57" t="str">
        <f aca="false">IF(Settings!$C$16="","",Settings!$C$16)</f>
        <v/>
      </c>
      <c r="B39" s="46" t="s">
        <v>172</v>
      </c>
      <c r="C39" s="44" t="n">
        <f aca="false">MAX(0,C38)</f>
        <v>0</v>
      </c>
      <c r="D39" s="44" t="n">
        <f aca="false">MAX(0,D38)</f>
        <v>0</v>
      </c>
      <c r="E39" s="44" t="n">
        <f aca="false">MAX(0,E38)</f>
        <v>0</v>
      </c>
      <c r="F39" s="44" t="n">
        <f aca="false">MAX(0,F38)</f>
        <v>0</v>
      </c>
      <c r="G39" s="44" t="n">
        <f aca="false">MAX(0,G38)</f>
        <v>0</v>
      </c>
      <c r="H39" s="44" t="n">
        <f aca="false">MAX(0,H38)</f>
        <v>0</v>
      </c>
      <c r="I39" s="44" t="n">
        <f aca="false">MAX(0,I38)</f>
        <v>0</v>
      </c>
      <c r="J39" s="44" t="n">
        <f aca="false">MAX(0,J38)</f>
        <v>0</v>
      </c>
      <c r="K39" s="44" t="n">
        <f aca="false">MAX(0,K38)</f>
        <v>0</v>
      </c>
      <c r="L39" s="44" t="n">
        <f aca="false">MAX(0,L38)</f>
        <v>0</v>
      </c>
      <c r="M39" s="44" t="n">
        <f aca="false">MAX(0,M38)</f>
        <v>0</v>
      </c>
      <c r="N39" s="44" t="n">
        <f aca="false">MAX(0,N38)</f>
        <v>0</v>
      </c>
      <c r="O39" s="44" t="n">
        <f aca="false">SUM(C39:N39)</f>
        <v>0</v>
      </c>
    </row>
    <row r="40" customFormat="false" ht="15" hidden="false" customHeight="false" outlineLevel="0" collapsed="false">
      <c r="A40" s="57" t="str">
        <f aca="false">IF(Settings!$C$16="","",Settings!$C$16)</f>
        <v/>
      </c>
      <c r="B40" s="39" t="s">
        <v>221</v>
      </c>
      <c r="C40" s="30" t="n">
        <f aca="false">IF(Settings!$J$16="No",MIN(0,C35+C37),MIN(0,C38))</f>
        <v>0</v>
      </c>
      <c r="D40" s="30" t="n">
        <f aca="false">IF(Settings!$J$16="No",MIN(0,D35+D37),MIN(0,D38))</f>
        <v>0</v>
      </c>
      <c r="E40" s="30" t="n">
        <f aca="false">IF(Settings!$J$16="No",MIN(0,E35+E37),MIN(0,E38))</f>
        <v>0</v>
      </c>
      <c r="F40" s="30" t="n">
        <f aca="false">IF(Settings!$J$16="No",MIN(0,F35+F37),MIN(0,F38))</f>
        <v>0</v>
      </c>
      <c r="G40" s="30" t="n">
        <f aca="false">IF(Settings!$J$16="No",MIN(0,G35+G37),MIN(0,G38))</f>
        <v>0</v>
      </c>
      <c r="H40" s="30" t="n">
        <f aca="false">IF(Settings!$J$16="No",MIN(0,H35+H37),MIN(0,H38))</f>
        <v>0</v>
      </c>
      <c r="I40" s="30" t="n">
        <f aca="false">IF(Settings!$J$16="No",MIN(0,I35+I37),MIN(0,I38))</f>
        <v>0</v>
      </c>
      <c r="J40" s="30" t="n">
        <f aca="false">IF(Settings!$J$16="No",MIN(0,J35+J37),MIN(0,J38))</f>
        <v>0</v>
      </c>
      <c r="K40" s="30" t="n">
        <f aca="false">IF(Settings!$J$16="No",MIN(0,K35+K37),MIN(0,K38))</f>
        <v>0</v>
      </c>
      <c r="L40" s="30" t="n">
        <f aca="false">IF(Settings!$J$16="No",MIN(0,L35+L37),MIN(0,L38))</f>
        <v>0</v>
      </c>
      <c r="M40" s="30" t="n">
        <f aca="false">IF(Settings!$J$16="No",MIN(0,M35+M37),MIN(0,M38))</f>
        <v>0</v>
      </c>
      <c r="N40" s="30" t="n">
        <f aca="false">IF(Settings!$J$16="No",MIN(0,N35+N37),MIN(0,N38))</f>
        <v>0</v>
      </c>
    </row>
    <row r="41" customFormat="false" ht="7.5" hidden="false" customHeight="true" outlineLevel="0" collapsed="false"/>
    <row r="42" customFormat="false" ht="15" hidden="false" customHeight="false" outlineLevel="0" collapsed="false">
      <c r="A42" s="46" t="str">
        <f aca="false">IF(Settings!$C$17="","",Settings!$C$17)</f>
        <v/>
      </c>
      <c r="B42" s="39" t="s">
        <v>215</v>
      </c>
      <c r="C42" s="30" t="n">
        <f aca="false">IF(Settings!$C$17="",0,SUMIFS(Deals!$I$6:$I$305,Deals!$A$6:$A$305,Settings!$C$17,Deals!$J$6:$J$305,1))</f>
        <v>0</v>
      </c>
      <c r="D42" s="30" t="n">
        <f aca="false">IF(Settings!$C$17="",0,SUMIFS(Deals!$I$6:$I$305,Deals!$A$6:$A$305,Settings!$C$17,Deals!$J$6:$J$305,2))</f>
        <v>0</v>
      </c>
      <c r="E42" s="30" t="n">
        <f aca="false">IF(Settings!$C$17="",0,SUMIFS(Deals!$I$6:$I$305,Deals!$A$6:$A$305,Settings!$C$17,Deals!$J$6:$J$305,3))</f>
        <v>0</v>
      </c>
      <c r="F42" s="30" t="n">
        <f aca="false">IF(Settings!$C$17="",0,SUMIFS(Deals!$I$6:$I$305,Deals!$A$6:$A$305,Settings!$C$17,Deals!$J$6:$J$305,4))</f>
        <v>0</v>
      </c>
      <c r="G42" s="30" t="n">
        <f aca="false">IF(Settings!$C$17="",0,SUMIFS(Deals!$I$6:$I$305,Deals!$A$6:$A$305,Settings!$C$17,Deals!$J$6:$J$305,5))</f>
        <v>0</v>
      </c>
      <c r="H42" s="30" t="n">
        <f aca="false">IF(Settings!$C$17="",0,SUMIFS(Deals!$I$6:$I$305,Deals!$A$6:$A$305,Settings!$C$17,Deals!$J$6:$J$305,6))</f>
        <v>0</v>
      </c>
      <c r="I42" s="30" t="n">
        <f aca="false">IF(Settings!$C$17="",0,SUMIFS(Deals!$I$6:$I$305,Deals!$A$6:$A$305,Settings!$C$17,Deals!$J$6:$J$305,7))</f>
        <v>0</v>
      </c>
      <c r="J42" s="30" t="n">
        <f aca="false">IF(Settings!$C$17="",0,SUMIFS(Deals!$I$6:$I$305,Deals!$A$6:$A$305,Settings!$C$17,Deals!$J$6:$J$305,8))</f>
        <v>0</v>
      </c>
      <c r="K42" s="30" t="n">
        <f aca="false">IF(Settings!$C$17="",0,SUMIFS(Deals!$I$6:$I$305,Deals!$A$6:$A$305,Settings!$C$17,Deals!$J$6:$J$305,9))</f>
        <v>0</v>
      </c>
      <c r="L42" s="30" t="n">
        <f aca="false">IF(Settings!$C$17="",0,SUMIFS(Deals!$I$6:$I$305,Deals!$A$6:$A$305,Settings!$C$17,Deals!$J$6:$J$305,10))</f>
        <v>0</v>
      </c>
      <c r="M42" s="30" t="n">
        <f aca="false">IF(Settings!$C$17="",0,SUMIFS(Deals!$I$6:$I$305,Deals!$A$6:$A$305,Settings!$C$17,Deals!$J$6:$J$305,11))</f>
        <v>0</v>
      </c>
      <c r="N42" s="30" t="n">
        <f aca="false">IF(Settings!$C$17="",0,SUMIFS(Deals!$I$6:$I$305,Deals!$A$6:$A$305,Settings!$C$17,Deals!$J$6:$J$305,12))</f>
        <v>0</v>
      </c>
      <c r="O42" s="44" t="n">
        <f aca="false">SUM(C42:N42)</f>
        <v>0</v>
      </c>
    </row>
    <row r="43" customFormat="false" ht="15" hidden="false" customHeight="false" outlineLevel="0" collapsed="false">
      <c r="A43" s="57" t="str">
        <f aca="false">IF(Settings!$C$17="","",Settings!$C$17)</f>
        <v/>
      </c>
      <c r="B43" s="39" t="s">
        <v>216</v>
      </c>
      <c r="C43" s="30" t="n">
        <f aca="false">IF(Settings!$C$17="",0,SUMIFS(Adjustments!$J$6:$J$105,Adjustments!$A$6:$A$105,Settings!$C$17,Adjustments!$L$6:$L$105,1))</f>
        <v>0</v>
      </c>
      <c r="D43" s="30" t="n">
        <f aca="false">IF(Settings!$C$17="",0,SUMIFS(Adjustments!$J$6:$J$105,Adjustments!$A$6:$A$105,Settings!$C$17,Adjustments!$L$6:$L$105,2))</f>
        <v>0</v>
      </c>
      <c r="E43" s="30" t="n">
        <f aca="false">IF(Settings!$C$17="",0,SUMIFS(Adjustments!$J$6:$J$105,Adjustments!$A$6:$A$105,Settings!$C$17,Adjustments!$L$6:$L$105,3))</f>
        <v>0</v>
      </c>
      <c r="F43" s="30" t="n">
        <f aca="false">IF(Settings!$C$17="",0,SUMIFS(Adjustments!$J$6:$J$105,Adjustments!$A$6:$A$105,Settings!$C$17,Adjustments!$L$6:$L$105,4))</f>
        <v>0</v>
      </c>
      <c r="G43" s="30" t="n">
        <f aca="false">IF(Settings!$C$17="",0,SUMIFS(Adjustments!$J$6:$J$105,Adjustments!$A$6:$A$105,Settings!$C$17,Adjustments!$L$6:$L$105,5))</f>
        <v>0</v>
      </c>
      <c r="H43" s="30" t="n">
        <f aca="false">IF(Settings!$C$17="",0,SUMIFS(Adjustments!$J$6:$J$105,Adjustments!$A$6:$A$105,Settings!$C$17,Adjustments!$L$6:$L$105,6))</f>
        <v>0</v>
      </c>
      <c r="I43" s="30" t="n">
        <f aca="false">IF(Settings!$C$17="",0,SUMIFS(Adjustments!$J$6:$J$105,Adjustments!$A$6:$A$105,Settings!$C$17,Adjustments!$L$6:$L$105,7))</f>
        <v>0</v>
      </c>
      <c r="J43" s="30" t="n">
        <f aca="false">IF(Settings!$C$17="",0,SUMIFS(Adjustments!$J$6:$J$105,Adjustments!$A$6:$A$105,Settings!$C$17,Adjustments!$L$6:$L$105,8))</f>
        <v>0</v>
      </c>
      <c r="K43" s="30" t="n">
        <f aca="false">IF(Settings!$C$17="",0,SUMIFS(Adjustments!$J$6:$J$105,Adjustments!$A$6:$A$105,Settings!$C$17,Adjustments!$L$6:$L$105,9))</f>
        <v>0</v>
      </c>
      <c r="L43" s="30" t="n">
        <f aca="false">IF(Settings!$C$17="",0,SUMIFS(Adjustments!$J$6:$J$105,Adjustments!$A$6:$A$105,Settings!$C$17,Adjustments!$L$6:$L$105,10))</f>
        <v>0</v>
      </c>
      <c r="M43" s="30" t="n">
        <f aca="false">IF(Settings!$C$17="",0,SUMIFS(Adjustments!$J$6:$J$105,Adjustments!$A$6:$A$105,Settings!$C$17,Adjustments!$L$6:$L$105,11))</f>
        <v>0</v>
      </c>
      <c r="N43" s="30" t="n">
        <f aca="false">IF(Settings!$C$17="",0,SUMIFS(Adjustments!$J$6:$J$105,Adjustments!$A$6:$A$105,Settings!$C$17,Adjustments!$L$6:$L$105,12))</f>
        <v>0</v>
      </c>
      <c r="O43" s="44" t="n">
        <f aca="false">SUM(C43:N43)</f>
        <v>0</v>
      </c>
    </row>
    <row r="44" customFormat="false" ht="15" hidden="false" customHeight="false" outlineLevel="0" collapsed="false">
      <c r="A44" s="57" t="str">
        <f aca="false">IF(Settings!$C$17="","",Settings!$C$17)</f>
        <v/>
      </c>
      <c r="B44" s="46" t="s">
        <v>217</v>
      </c>
      <c r="C44" s="30" t="n">
        <f aca="false">C42+C43</f>
        <v>0</v>
      </c>
      <c r="D44" s="30" t="n">
        <f aca="false">D42+D43</f>
        <v>0</v>
      </c>
      <c r="E44" s="30" t="n">
        <f aca="false">E42+E43</f>
        <v>0</v>
      </c>
      <c r="F44" s="30" t="n">
        <f aca="false">F42+F43</f>
        <v>0</v>
      </c>
      <c r="G44" s="30" t="n">
        <f aca="false">G42+G43</f>
        <v>0</v>
      </c>
      <c r="H44" s="30" t="n">
        <f aca="false">H42+H43</f>
        <v>0</v>
      </c>
      <c r="I44" s="30" t="n">
        <f aca="false">I42+I43</f>
        <v>0</v>
      </c>
      <c r="J44" s="30" t="n">
        <f aca="false">J42+J43</f>
        <v>0</v>
      </c>
      <c r="K44" s="30" t="n">
        <f aca="false">K42+K43</f>
        <v>0</v>
      </c>
      <c r="L44" s="30" t="n">
        <f aca="false">L42+L43</f>
        <v>0</v>
      </c>
      <c r="M44" s="30" t="n">
        <f aca="false">M42+M43</f>
        <v>0</v>
      </c>
      <c r="N44" s="30" t="n">
        <f aca="false">N42+N43</f>
        <v>0</v>
      </c>
      <c r="O44" s="44" t="n">
        <f aca="false">SUM(C44:N44)</f>
        <v>0</v>
      </c>
    </row>
    <row r="45" customFormat="false" ht="15" hidden="false" customHeight="false" outlineLevel="0" collapsed="false">
      <c r="A45" s="57" t="str">
        <f aca="false">IF(Settings!$C$17="","",Settings!$C$17)</f>
        <v/>
      </c>
      <c r="B45" s="39" t="s">
        <v>218</v>
      </c>
      <c r="C45" s="30" t="n">
        <f aca="false">IF(OR(Settings!$C$17="",N(Settings!$G$17)=0),0,IF(AND(1&gt;=IFERROR(MATCH(Settings!$H$17,Settings!$N$13:$N$24,0),1),1&lt;=IFERROR(MATCH(Settings!$I$17,Settings!$N$13:$N$24,0),12)),Settings!$G$17,0))</f>
        <v>0</v>
      </c>
      <c r="D45" s="30" t="n">
        <f aca="false">IF(OR(Settings!$C$17="",N(Settings!$G$17)=0),0,IF(AND(2&gt;=IFERROR(MATCH(Settings!$H$17,Settings!$N$13:$N$24,0),1),2&lt;=IFERROR(MATCH(Settings!$I$17,Settings!$N$13:$N$24,0),12)),Settings!$G$17,0))</f>
        <v>0</v>
      </c>
      <c r="E45" s="30" t="n">
        <f aca="false">IF(OR(Settings!$C$17="",N(Settings!$G$17)=0),0,IF(AND(3&gt;=IFERROR(MATCH(Settings!$H$17,Settings!$N$13:$N$24,0),1),3&lt;=IFERROR(MATCH(Settings!$I$17,Settings!$N$13:$N$24,0),12)),Settings!$G$17,0))</f>
        <v>0</v>
      </c>
      <c r="F45" s="30" t="n">
        <f aca="false">IF(OR(Settings!$C$17="",N(Settings!$G$17)=0),0,IF(AND(4&gt;=IFERROR(MATCH(Settings!$H$17,Settings!$N$13:$N$24,0),1),4&lt;=IFERROR(MATCH(Settings!$I$17,Settings!$N$13:$N$24,0),12)),Settings!$G$17,0))</f>
        <v>0</v>
      </c>
      <c r="G45" s="30" t="n">
        <f aca="false">IF(OR(Settings!$C$17="",N(Settings!$G$17)=0),0,IF(AND(5&gt;=IFERROR(MATCH(Settings!$H$17,Settings!$N$13:$N$24,0),1),5&lt;=IFERROR(MATCH(Settings!$I$17,Settings!$N$13:$N$24,0),12)),Settings!$G$17,0))</f>
        <v>0</v>
      </c>
      <c r="H45" s="30" t="n">
        <f aca="false">IF(OR(Settings!$C$17="",N(Settings!$G$17)=0),0,IF(AND(6&gt;=IFERROR(MATCH(Settings!$H$17,Settings!$N$13:$N$24,0),1),6&lt;=IFERROR(MATCH(Settings!$I$17,Settings!$N$13:$N$24,0),12)),Settings!$G$17,0))</f>
        <v>0</v>
      </c>
      <c r="I45" s="30" t="n">
        <f aca="false">IF(OR(Settings!$C$17="",N(Settings!$G$17)=0),0,IF(AND(7&gt;=IFERROR(MATCH(Settings!$H$17,Settings!$N$13:$N$24,0),1),7&lt;=IFERROR(MATCH(Settings!$I$17,Settings!$N$13:$N$24,0),12)),Settings!$G$17,0))</f>
        <v>0</v>
      </c>
      <c r="J45" s="30" t="n">
        <f aca="false">IF(OR(Settings!$C$17="",N(Settings!$G$17)=0),0,IF(AND(8&gt;=IFERROR(MATCH(Settings!$H$17,Settings!$N$13:$N$24,0),1),8&lt;=IFERROR(MATCH(Settings!$I$17,Settings!$N$13:$N$24,0),12)),Settings!$G$17,0))</f>
        <v>0</v>
      </c>
      <c r="K45" s="30" t="n">
        <f aca="false">IF(OR(Settings!$C$17="",N(Settings!$G$17)=0),0,IF(AND(9&gt;=IFERROR(MATCH(Settings!$H$17,Settings!$N$13:$N$24,0),1),9&lt;=IFERROR(MATCH(Settings!$I$17,Settings!$N$13:$N$24,0),12)),Settings!$G$17,0))</f>
        <v>0</v>
      </c>
      <c r="L45" s="30" t="n">
        <f aca="false">IF(OR(Settings!$C$17="",N(Settings!$G$17)=0),0,IF(AND(10&gt;=IFERROR(MATCH(Settings!$H$17,Settings!$N$13:$N$24,0),1),10&lt;=IFERROR(MATCH(Settings!$I$17,Settings!$N$13:$N$24,0),12)),Settings!$G$17,0))</f>
        <v>0</v>
      </c>
      <c r="M45" s="30" t="n">
        <f aca="false">IF(OR(Settings!$C$17="",N(Settings!$G$17)=0),0,IF(AND(11&gt;=IFERROR(MATCH(Settings!$H$17,Settings!$N$13:$N$24,0),1),11&lt;=IFERROR(MATCH(Settings!$I$17,Settings!$N$13:$N$24,0),12)),Settings!$G$17,0))</f>
        <v>0</v>
      </c>
      <c r="N45" s="30" t="n">
        <f aca="false">IF(OR(Settings!$C$17="",N(Settings!$G$17)=0),0,IF(AND(12&gt;=IFERROR(MATCH(Settings!$H$17,Settings!$N$13:$N$24,0),1),12&lt;=IFERROR(MATCH(Settings!$I$17,Settings!$N$13:$N$24,0),12)),Settings!$G$17,0))</f>
        <v>0</v>
      </c>
      <c r="O45" s="44" t="n">
        <f aca="false">SUM(C45:N45)</f>
        <v>0</v>
      </c>
    </row>
    <row r="46" customFormat="false" ht="15" hidden="false" customHeight="false" outlineLevel="0" collapsed="false">
      <c r="A46" s="57" t="str">
        <f aca="false">IF(Settings!$C$17="","",Settings!$C$17)</f>
        <v/>
      </c>
      <c r="B46" s="39" t="s">
        <v>219</v>
      </c>
      <c r="C46" s="30" t="n">
        <f aca="false">IF(ISNUMBER(Settings!$K$17),MIN(0,Settings!$K$17),0)</f>
        <v>0</v>
      </c>
      <c r="D46" s="30" t="n">
        <f aca="false">C49</f>
        <v>0</v>
      </c>
      <c r="E46" s="30" t="n">
        <f aca="false">D49</f>
        <v>0</v>
      </c>
      <c r="F46" s="30" t="n">
        <f aca="false">E49</f>
        <v>0</v>
      </c>
      <c r="G46" s="30" t="n">
        <f aca="false">F49</f>
        <v>0</v>
      </c>
      <c r="H46" s="30" t="n">
        <f aca="false">G49</f>
        <v>0</v>
      </c>
      <c r="I46" s="30" t="n">
        <f aca="false">H49</f>
        <v>0</v>
      </c>
      <c r="J46" s="30" t="n">
        <f aca="false">I49</f>
        <v>0</v>
      </c>
      <c r="K46" s="30" t="n">
        <f aca="false">J49</f>
        <v>0</v>
      </c>
      <c r="L46" s="30" t="n">
        <f aca="false">K49</f>
        <v>0</v>
      </c>
      <c r="M46" s="30" t="n">
        <f aca="false">L49</f>
        <v>0</v>
      </c>
      <c r="N46" s="30" t="n">
        <f aca="false">M49</f>
        <v>0</v>
      </c>
    </row>
    <row r="47" customFormat="false" ht="15" hidden="false" customHeight="false" outlineLevel="0" collapsed="false">
      <c r="A47" s="57" t="str">
        <f aca="false">IF(Settings!$C$17="","",Settings!$C$17)</f>
        <v/>
      </c>
      <c r="B47" s="39" t="s">
        <v>220</v>
      </c>
      <c r="C47" s="30" t="n">
        <f aca="false">C44-C45+C46</f>
        <v>0</v>
      </c>
      <c r="D47" s="30" t="n">
        <f aca="false">D44-D45+D46</f>
        <v>0</v>
      </c>
      <c r="E47" s="30" t="n">
        <f aca="false">E44-E45+E46</f>
        <v>0</v>
      </c>
      <c r="F47" s="30" t="n">
        <f aca="false">F44-F45+F46</f>
        <v>0</v>
      </c>
      <c r="G47" s="30" t="n">
        <f aca="false">G44-G45+G46</f>
        <v>0</v>
      </c>
      <c r="H47" s="30" t="n">
        <f aca="false">H44-H45+H46</f>
        <v>0</v>
      </c>
      <c r="I47" s="30" t="n">
        <f aca="false">I44-I45+I46</f>
        <v>0</v>
      </c>
      <c r="J47" s="30" t="n">
        <f aca="false">J44-J45+J46</f>
        <v>0</v>
      </c>
      <c r="K47" s="30" t="n">
        <f aca="false">K44-K45+K46</f>
        <v>0</v>
      </c>
      <c r="L47" s="30" t="n">
        <f aca="false">L44-L45+L46</f>
        <v>0</v>
      </c>
      <c r="M47" s="30" t="n">
        <f aca="false">M44-M45+M46</f>
        <v>0</v>
      </c>
      <c r="N47" s="30" t="n">
        <f aca="false">N44-N45+N46</f>
        <v>0</v>
      </c>
    </row>
    <row r="48" customFormat="false" ht="15" hidden="false" customHeight="false" outlineLevel="0" collapsed="false">
      <c r="A48" s="57" t="str">
        <f aca="false">IF(Settings!$C$17="","",Settings!$C$17)</f>
        <v/>
      </c>
      <c r="B48" s="46" t="s">
        <v>172</v>
      </c>
      <c r="C48" s="44" t="n">
        <f aca="false">MAX(0,C47)</f>
        <v>0</v>
      </c>
      <c r="D48" s="44" t="n">
        <f aca="false">MAX(0,D47)</f>
        <v>0</v>
      </c>
      <c r="E48" s="44" t="n">
        <f aca="false">MAX(0,E47)</f>
        <v>0</v>
      </c>
      <c r="F48" s="44" t="n">
        <f aca="false">MAX(0,F47)</f>
        <v>0</v>
      </c>
      <c r="G48" s="44" t="n">
        <f aca="false">MAX(0,G47)</f>
        <v>0</v>
      </c>
      <c r="H48" s="44" t="n">
        <f aca="false">MAX(0,H47)</f>
        <v>0</v>
      </c>
      <c r="I48" s="44" t="n">
        <f aca="false">MAX(0,I47)</f>
        <v>0</v>
      </c>
      <c r="J48" s="44" t="n">
        <f aca="false">MAX(0,J47)</f>
        <v>0</v>
      </c>
      <c r="K48" s="44" t="n">
        <f aca="false">MAX(0,K47)</f>
        <v>0</v>
      </c>
      <c r="L48" s="44" t="n">
        <f aca="false">MAX(0,L47)</f>
        <v>0</v>
      </c>
      <c r="M48" s="44" t="n">
        <f aca="false">MAX(0,M47)</f>
        <v>0</v>
      </c>
      <c r="N48" s="44" t="n">
        <f aca="false">MAX(0,N47)</f>
        <v>0</v>
      </c>
      <c r="O48" s="44" t="n">
        <f aca="false">SUM(C48:N48)</f>
        <v>0</v>
      </c>
    </row>
    <row r="49" customFormat="false" ht="15" hidden="false" customHeight="false" outlineLevel="0" collapsed="false">
      <c r="A49" s="57" t="str">
        <f aca="false">IF(Settings!$C$17="","",Settings!$C$17)</f>
        <v/>
      </c>
      <c r="B49" s="39" t="s">
        <v>221</v>
      </c>
      <c r="C49" s="30" t="n">
        <f aca="false">IF(Settings!$J$17="No",MIN(0,C44+C46),MIN(0,C47))</f>
        <v>0</v>
      </c>
      <c r="D49" s="30" t="n">
        <f aca="false">IF(Settings!$J$17="No",MIN(0,D44+D46),MIN(0,D47))</f>
        <v>0</v>
      </c>
      <c r="E49" s="30" t="n">
        <f aca="false">IF(Settings!$J$17="No",MIN(0,E44+E46),MIN(0,E47))</f>
        <v>0</v>
      </c>
      <c r="F49" s="30" t="n">
        <f aca="false">IF(Settings!$J$17="No",MIN(0,F44+F46),MIN(0,F47))</f>
        <v>0</v>
      </c>
      <c r="G49" s="30" t="n">
        <f aca="false">IF(Settings!$J$17="No",MIN(0,G44+G46),MIN(0,G47))</f>
        <v>0</v>
      </c>
      <c r="H49" s="30" t="n">
        <f aca="false">IF(Settings!$J$17="No",MIN(0,H44+H46),MIN(0,H47))</f>
        <v>0</v>
      </c>
      <c r="I49" s="30" t="n">
        <f aca="false">IF(Settings!$J$17="No",MIN(0,I44+I46),MIN(0,I47))</f>
        <v>0</v>
      </c>
      <c r="J49" s="30" t="n">
        <f aca="false">IF(Settings!$J$17="No",MIN(0,J44+J46),MIN(0,J47))</f>
        <v>0</v>
      </c>
      <c r="K49" s="30" t="n">
        <f aca="false">IF(Settings!$J$17="No",MIN(0,K44+K46),MIN(0,K47))</f>
        <v>0</v>
      </c>
      <c r="L49" s="30" t="n">
        <f aca="false">IF(Settings!$J$17="No",MIN(0,L44+L46),MIN(0,L47))</f>
        <v>0</v>
      </c>
      <c r="M49" s="30" t="n">
        <f aca="false">IF(Settings!$J$17="No",MIN(0,M44+M46),MIN(0,M47))</f>
        <v>0</v>
      </c>
      <c r="N49" s="30" t="n">
        <f aca="false">IF(Settings!$J$17="No",MIN(0,N44+N46),MIN(0,N47))</f>
        <v>0</v>
      </c>
    </row>
    <row r="50" customFormat="false" ht="7.5" hidden="false" customHeight="true" outlineLevel="0" collapsed="false"/>
    <row r="51" customFormat="false" ht="15" hidden="false" customHeight="false" outlineLevel="0" collapsed="false">
      <c r="A51" s="46" t="str">
        <f aca="false">IF(Settings!$C$18="","",Settings!$C$18)</f>
        <v/>
      </c>
      <c r="B51" s="39" t="s">
        <v>215</v>
      </c>
      <c r="C51" s="30" t="n">
        <f aca="false">IF(Settings!$C$18="",0,SUMIFS(Deals!$I$6:$I$305,Deals!$A$6:$A$305,Settings!$C$18,Deals!$J$6:$J$305,1))</f>
        <v>0</v>
      </c>
      <c r="D51" s="30" t="n">
        <f aca="false">IF(Settings!$C$18="",0,SUMIFS(Deals!$I$6:$I$305,Deals!$A$6:$A$305,Settings!$C$18,Deals!$J$6:$J$305,2))</f>
        <v>0</v>
      </c>
      <c r="E51" s="30" t="n">
        <f aca="false">IF(Settings!$C$18="",0,SUMIFS(Deals!$I$6:$I$305,Deals!$A$6:$A$305,Settings!$C$18,Deals!$J$6:$J$305,3))</f>
        <v>0</v>
      </c>
      <c r="F51" s="30" t="n">
        <f aca="false">IF(Settings!$C$18="",0,SUMIFS(Deals!$I$6:$I$305,Deals!$A$6:$A$305,Settings!$C$18,Deals!$J$6:$J$305,4))</f>
        <v>0</v>
      </c>
      <c r="G51" s="30" t="n">
        <f aca="false">IF(Settings!$C$18="",0,SUMIFS(Deals!$I$6:$I$305,Deals!$A$6:$A$305,Settings!$C$18,Deals!$J$6:$J$305,5))</f>
        <v>0</v>
      </c>
      <c r="H51" s="30" t="n">
        <f aca="false">IF(Settings!$C$18="",0,SUMIFS(Deals!$I$6:$I$305,Deals!$A$6:$A$305,Settings!$C$18,Deals!$J$6:$J$305,6))</f>
        <v>0</v>
      </c>
      <c r="I51" s="30" t="n">
        <f aca="false">IF(Settings!$C$18="",0,SUMIFS(Deals!$I$6:$I$305,Deals!$A$6:$A$305,Settings!$C$18,Deals!$J$6:$J$305,7))</f>
        <v>0</v>
      </c>
      <c r="J51" s="30" t="n">
        <f aca="false">IF(Settings!$C$18="",0,SUMIFS(Deals!$I$6:$I$305,Deals!$A$6:$A$305,Settings!$C$18,Deals!$J$6:$J$305,8))</f>
        <v>0</v>
      </c>
      <c r="K51" s="30" t="n">
        <f aca="false">IF(Settings!$C$18="",0,SUMIFS(Deals!$I$6:$I$305,Deals!$A$6:$A$305,Settings!$C$18,Deals!$J$6:$J$305,9))</f>
        <v>0</v>
      </c>
      <c r="L51" s="30" t="n">
        <f aca="false">IF(Settings!$C$18="",0,SUMIFS(Deals!$I$6:$I$305,Deals!$A$6:$A$305,Settings!$C$18,Deals!$J$6:$J$305,10))</f>
        <v>0</v>
      </c>
      <c r="M51" s="30" t="n">
        <f aca="false">IF(Settings!$C$18="",0,SUMIFS(Deals!$I$6:$I$305,Deals!$A$6:$A$305,Settings!$C$18,Deals!$J$6:$J$305,11))</f>
        <v>0</v>
      </c>
      <c r="N51" s="30" t="n">
        <f aca="false">IF(Settings!$C$18="",0,SUMIFS(Deals!$I$6:$I$305,Deals!$A$6:$A$305,Settings!$C$18,Deals!$J$6:$J$305,12))</f>
        <v>0</v>
      </c>
      <c r="O51" s="44" t="n">
        <f aca="false">SUM(C51:N51)</f>
        <v>0</v>
      </c>
    </row>
    <row r="52" customFormat="false" ht="15" hidden="false" customHeight="false" outlineLevel="0" collapsed="false">
      <c r="A52" s="57" t="str">
        <f aca="false">IF(Settings!$C$18="","",Settings!$C$18)</f>
        <v/>
      </c>
      <c r="B52" s="39" t="s">
        <v>216</v>
      </c>
      <c r="C52" s="30" t="n">
        <f aca="false">IF(Settings!$C$18="",0,SUMIFS(Adjustments!$J$6:$J$105,Adjustments!$A$6:$A$105,Settings!$C$18,Adjustments!$L$6:$L$105,1))</f>
        <v>0</v>
      </c>
      <c r="D52" s="30" t="n">
        <f aca="false">IF(Settings!$C$18="",0,SUMIFS(Adjustments!$J$6:$J$105,Adjustments!$A$6:$A$105,Settings!$C$18,Adjustments!$L$6:$L$105,2))</f>
        <v>0</v>
      </c>
      <c r="E52" s="30" t="n">
        <f aca="false">IF(Settings!$C$18="",0,SUMIFS(Adjustments!$J$6:$J$105,Adjustments!$A$6:$A$105,Settings!$C$18,Adjustments!$L$6:$L$105,3))</f>
        <v>0</v>
      </c>
      <c r="F52" s="30" t="n">
        <f aca="false">IF(Settings!$C$18="",0,SUMIFS(Adjustments!$J$6:$J$105,Adjustments!$A$6:$A$105,Settings!$C$18,Adjustments!$L$6:$L$105,4))</f>
        <v>0</v>
      </c>
      <c r="G52" s="30" t="n">
        <f aca="false">IF(Settings!$C$18="",0,SUMIFS(Adjustments!$J$6:$J$105,Adjustments!$A$6:$A$105,Settings!$C$18,Adjustments!$L$6:$L$105,5))</f>
        <v>0</v>
      </c>
      <c r="H52" s="30" t="n">
        <f aca="false">IF(Settings!$C$18="",0,SUMIFS(Adjustments!$J$6:$J$105,Adjustments!$A$6:$A$105,Settings!$C$18,Adjustments!$L$6:$L$105,6))</f>
        <v>0</v>
      </c>
      <c r="I52" s="30" t="n">
        <f aca="false">IF(Settings!$C$18="",0,SUMIFS(Adjustments!$J$6:$J$105,Adjustments!$A$6:$A$105,Settings!$C$18,Adjustments!$L$6:$L$105,7))</f>
        <v>0</v>
      </c>
      <c r="J52" s="30" t="n">
        <f aca="false">IF(Settings!$C$18="",0,SUMIFS(Adjustments!$J$6:$J$105,Adjustments!$A$6:$A$105,Settings!$C$18,Adjustments!$L$6:$L$105,8))</f>
        <v>0</v>
      </c>
      <c r="K52" s="30" t="n">
        <f aca="false">IF(Settings!$C$18="",0,SUMIFS(Adjustments!$J$6:$J$105,Adjustments!$A$6:$A$105,Settings!$C$18,Adjustments!$L$6:$L$105,9))</f>
        <v>0</v>
      </c>
      <c r="L52" s="30" t="n">
        <f aca="false">IF(Settings!$C$18="",0,SUMIFS(Adjustments!$J$6:$J$105,Adjustments!$A$6:$A$105,Settings!$C$18,Adjustments!$L$6:$L$105,10))</f>
        <v>0</v>
      </c>
      <c r="M52" s="30" t="n">
        <f aca="false">IF(Settings!$C$18="",0,SUMIFS(Adjustments!$J$6:$J$105,Adjustments!$A$6:$A$105,Settings!$C$18,Adjustments!$L$6:$L$105,11))</f>
        <v>0</v>
      </c>
      <c r="N52" s="30" t="n">
        <f aca="false">IF(Settings!$C$18="",0,SUMIFS(Adjustments!$J$6:$J$105,Adjustments!$A$6:$A$105,Settings!$C$18,Adjustments!$L$6:$L$105,12))</f>
        <v>0</v>
      </c>
      <c r="O52" s="44" t="n">
        <f aca="false">SUM(C52:N52)</f>
        <v>0</v>
      </c>
    </row>
    <row r="53" customFormat="false" ht="15" hidden="false" customHeight="false" outlineLevel="0" collapsed="false">
      <c r="A53" s="57" t="str">
        <f aca="false">IF(Settings!$C$18="","",Settings!$C$18)</f>
        <v/>
      </c>
      <c r="B53" s="46" t="s">
        <v>217</v>
      </c>
      <c r="C53" s="30" t="n">
        <f aca="false">C51+C52</f>
        <v>0</v>
      </c>
      <c r="D53" s="30" t="n">
        <f aca="false">D51+D52</f>
        <v>0</v>
      </c>
      <c r="E53" s="30" t="n">
        <f aca="false">E51+E52</f>
        <v>0</v>
      </c>
      <c r="F53" s="30" t="n">
        <f aca="false">F51+F52</f>
        <v>0</v>
      </c>
      <c r="G53" s="30" t="n">
        <f aca="false">G51+G52</f>
        <v>0</v>
      </c>
      <c r="H53" s="30" t="n">
        <f aca="false">H51+H52</f>
        <v>0</v>
      </c>
      <c r="I53" s="30" t="n">
        <f aca="false">I51+I52</f>
        <v>0</v>
      </c>
      <c r="J53" s="30" t="n">
        <f aca="false">J51+J52</f>
        <v>0</v>
      </c>
      <c r="K53" s="30" t="n">
        <f aca="false">K51+K52</f>
        <v>0</v>
      </c>
      <c r="L53" s="30" t="n">
        <f aca="false">L51+L52</f>
        <v>0</v>
      </c>
      <c r="M53" s="30" t="n">
        <f aca="false">M51+M52</f>
        <v>0</v>
      </c>
      <c r="N53" s="30" t="n">
        <f aca="false">N51+N52</f>
        <v>0</v>
      </c>
      <c r="O53" s="44" t="n">
        <f aca="false">SUM(C53:N53)</f>
        <v>0</v>
      </c>
    </row>
    <row r="54" customFormat="false" ht="15" hidden="false" customHeight="false" outlineLevel="0" collapsed="false">
      <c r="A54" s="57" t="str">
        <f aca="false">IF(Settings!$C$18="","",Settings!$C$18)</f>
        <v/>
      </c>
      <c r="B54" s="39" t="s">
        <v>218</v>
      </c>
      <c r="C54" s="30" t="n">
        <f aca="false">IF(OR(Settings!$C$18="",N(Settings!$G$18)=0),0,IF(AND(1&gt;=IFERROR(MATCH(Settings!$H$18,Settings!$N$13:$N$24,0),1),1&lt;=IFERROR(MATCH(Settings!$I$18,Settings!$N$13:$N$24,0),12)),Settings!$G$18,0))</f>
        <v>0</v>
      </c>
      <c r="D54" s="30" t="n">
        <f aca="false">IF(OR(Settings!$C$18="",N(Settings!$G$18)=0),0,IF(AND(2&gt;=IFERROR(MATCH(Settings!$H$18,Settings!$N$13:$N$24,0),1),2&lt;=IFERROR(MATCH(Settings!$I$18,Settings!$N$13:$N$24,0),12)),Settings!$G$18,0))</f>
        <v>0</v>
      </c>
      <c r="E54" s="30" t="n">
        <f aca="false">IF(OR(Settings!$C$18="",N(Settings!$G$18)=0),0,IF(AND(3&gt;=IFERROR(MATCH(Settings!$H$18,Settings!$N$13:$N$24,0),1),3&lt;=IFERROR(MATCH(Settings!$I$18,Settings!$N$13:$N$24,0),12)),Settings!$G$18,0))</f>
        <v>0</v>
      </c>
      <c r="F54" s="30" t="n">
        <f aca="false">IF(OR(Settings!$C$18="",N(Settings!$G$18)=0),0,IF(AND(4&gt;=IFERROR(MATCH(Settings!$H$18,Settings!$N$13:$N$24,0),1),4&lt;=IFERROR(MATCH(Settings!$I$18,Settings!$N$13:$N$24,0),12)),Settings!$G$18,0))</f>
        <v>0</v>
      </c>
      <c r="G54" s="30" t="n">
        <f aca="false">IF(OR(Settings!$C$18="",N(Settings!$G$18)=0),0,IF(AND(5&gt;=IFERROR(MATCH(Settings!$H$18,Settings!$N$13:$N$24,0),1),5&lt;=IFERROR(MATCH(Settings!$I$18,Settings!$N$13:$N$24,0),12)),Settings!$G$18,0))</f>
        <v>0</v>
      </c>
      <c r="H54" s="30" t="n">
        <f aca="false">IF(OR(Settings!$C$18="",N(Settings!$G$18)=0),0,IF(AND(6&gt;=IFERROR(MATCH(Settings!$H$18,Settings!$N$13:$N$24,0),1),6&lt;=IFERROR(MATCH(Settings!$I$18,Settings!$N$13:$N$24,0),12)),Settings!$G$18,0))</f>
        <v>0</v>
      </c>
      <c r="I54" s="30" t="n">
        <f aca="false">IF(OR(Settings!$C$18="",N(Settings!$G$18)=0),0,IF(AND(7&gt;=IFERROR(MATCH(Settings!$H$18,Settings!$N$13:$N$24,0),1),7&lt;=IFERROR(MATCH(Settings!$I$18,Settings!$N$13:$N$24,0),12)),Settings!$G$18,0))</f>
        <v>0</v>
      </c>
      <c r="J54" s="30" t="n">
        <f aca="false">IF(OR(Settings!$C$18="",N(Settings!$G$18)=0),0,IF(AND(8&gt;=IFERROR(MATCH(Settings!$H$18,Settings!$N$13:$N$24,0),1),8&lt;=IFERROR(MATCH(Settings!$I$18,Settings!$N$13:$N$24,0),12)),Settings!$G$18,0))</f>
        <v>0</v>
      </c>
      <c r="K54" s="30" t="n">
        <f aca="false">IF(OR(Settings!$C$18="",N(Settings!$G$18)=0),0,IF(AND(9&gt;=IFERROR(MATCH(Settings!$H$18,Settings!$N$13:$N$24,0),1),9&lt;=IFERROR(MATCH(Settings!$I$18,Settings!$N$13:$N$24,0),12)),Settings!$G$18,0))</f>
        <v>0</v>
      </c>
      <c r="L54" s="30" t="n">
        <f aca="false">IF(OR(Settings!$C$18="",N(Settings!$G$18)=0),0,IF(AND(10&gt;=IFERROR(MATCH(Settings!$H$18,Settings!$N$13:$N$24,0),1),10&lt;=IFERROR(MATCH(Settings!$I$18,Settings!$N$13:$N$24,0),12)),Settings!$G$18,0))</f>
        <v>0</v>
      </c>
      <c r="M54" s="30" t="n">
        <f aca="false">IF(OR(Settings!$C$18="",N(Settings!$G$18)=0),0,IF(AND(11&gt;=IFERROR(MATCH(Settings!$H$18,Settings!$N$13:$N$24,0),1),11&lt;=IFERROR(MATCH(Settings!$I$18,Settings!$N$13:$N$24,0),12)),Settings!$G$18,0))</f>
        <v>0</v>
      </c>
      <c r="N54" s="30" t="n">
        <f aca="false">IF(OR(Settings!$C$18="",N(Settings!$G$18)=0),0,IF(AND(12&gt;=IFERROR(MATCH(Settings!$H$18,Settings!$N$13:$N$24,0),1),12&lt;=IFERROR(MATCH(Settings!$I$18,Settings!$N$13:$N$24,0),12)),Settings!$G$18,0))</f>
        <v>0</v>
      </c>
      <c r="O54" s="44" t="n">
        <f aca="false">SUM(C54:N54)</f>
        <v>0</v>
      </c>
    </row>
    <row r="55" customFormat="false" ht="15" hidden="false" customHeight="false" outlineLevel="0" collapsed="false">
      <c r="A55" s="57" t="str">
        <f aca="false">IF(Settings!$C$18="","",Settings!$C$18)</f>
        <v/>
      </c>
      <c r="B55" s="39" t="s">
        <v>219</v>
      </c>
      <c r="C55" s="30" t="n">
        <f aca="false">IF(ISNUMBER(Settings!$K$18),MIN(0,Settings!$K$18),0)</f>
        <v>0</v>
      </c>
      <c r="D55" s="30" t="n">
        <f aca="false">C58</f>
        <v>0</v>
      </c>
      <c r="E55" s="30" t="n">
        <f aca="false">D58</f>
        <v>0</v>
      </c>
      <c r="F55" s="30" t="n">
        <f aca="false">E58</f>
        <v>0</v>
      </c>
      <c r="G55" s="30" t="n">
        <f aca="false">F58</f>
        <v>0</v>
      </c>
      <c r="H55" s="30" t="n">
        <f aca="false">G58</f>
        <v>0</v>
      </c>
      <c r="I55" s="30" t="n">
        <f aca="false">H58</f>
        <v>0</v>
      </c>
      <c r="J55" s="30" t="n">
        <f aca="false">I58</f>
        <v>0</v>
      </c>
      <c r="K55" s="30" t="n">
        <f aca="false">J58</f>
        <v>0</v>
      </c>
      <c r="L55" s="30" t="n">
        <f aca="false">K58</f>
        <v>0</v>
      </c>
      <c r="M55" s="30" t="n">
        <f aca="false">L58</f>
        <v>0</v>
      </c>
      <c r="N55" s="30" t="n">
        <f aca="false">M58</f>
        <v>0</v>
      </c>
    </row>
    <row r="56" customFormat="false" ht="15" hidden="false" customHeight="false" outlineLevel="0" collapsed="false">
      <c r="A56" s="57" t="str">
        <f aca="false">IF(Settings!$C$18="","",Settings!$C$18)</f>
        <v/>
      </c>
      <c r="B56" s="39" t="s">
        <v>220</v>
      </c>
      <c r="C56" s="30" t="n">
        <f aca="false">C53-C54+C55</f>
        <v>0</v>
      </c>
      <c r="D56" s="30" t="n">
        <f aca="false">D53-D54+D55</f>
        <v>0</v>
      </c>
      <c r="E56" s="30" t="n">
        <f aca="false">E53-E54+E55</f>
        <v>0</v>
      </c>
      <c r="F56" s="30" t="n">
        <f aca="false">F53-F54+F55</f>
        <v>0</v>
      </c>
      <c r="G56" s="30" t="n">
        <f aca="false">G53-G54+G55</f>
        <v>0</v>
      </c>
      <c r="H56" s="30" t="n">
        <f aca="false">H53-H54+H55</f>
        <v>0</v>
      </c>
      <c r="I56" s="30" t="n">
        <f aca="false">I53-I54+I55</f>
        <v>0</v>
      </c>
      <c r="J56" s="30" t="n">
        <f aca="false">J53-J54+J55</f>
        <v>0</v>
      </c>
      <c r="K56" s="30" t="n">
        <f aca="false">K53-K54+K55</f>
        <v>0</v>
      </c>
      <c r="L56" s="30" t="n">
        <f aca="false">L53-L54+L55</f>
        <v>0</v>
      </c>
      <c r="M56" s="30" t="n">
        <f aca="false">M53-M54+M55</f>
        <v>0</v>
      </c>
      <c r="N56" s="30" t="n">
        <f aca="false">N53-N54+N55</f>
        <v>0</v>
      </c>
    </row>
    <row r="57" customFormat="false" ht="15" hidden="false" customHeight="false" outlineLevel="0" collapsed="false">
      <c r="A57" s="57" t="str">
        <f aca="false">IF(Settings!$C$18="","",Settings!$C$18)</f>
        <v/>
      </c>
      <c r="B57" s="46" t="s">
        <v>172</v>
      </c>
      <c r="C57" s="44" t="n">
        <f aca="false">MAX(0,C56)</f>
        <v>0</v>
      </c>
      <c r="D57" s="44" t="n">
        <f aca="false">MAX(0,D56)</f>
        <v>0</v>
      </c>
      <c r="E57" s="44" t="n">
        <f aca="false">MAX(0,E56)</f>
        <v>0</v>
      </c>
      <c r="F57" s="44" t="n">
        <f aca="false">MAX(0,F56)</f>
        <v>0</v>
      </c>
      <c r="G57" s="44" t="n">
        <f aca="false">MAX(0,G56)</f>
        <v>0</v>
      </c>
      <c r="H57" s="44" t="n">
        <f aca="false">MAX(0,H56)</f>
        <v>0</v>
      </c>
      <c r="I57" s="44" t="n">
        <f aca="false">MAX(0,I56)</f>
        <v>0</v>
      </c>
      <c r="J57" s="44" t="n">
        <f aca="false">MAX(0,J56)</f>
        <v>0</v>
      </c>
      <c r="K57" s="44" t="n">
        <f aca="false">MAX(0,K56)</f>
        <v>0</v>
      </c>
      <c r="L57" s="44" t="n">
        <f aca="false">MAX(0,L56)</f>
        <v>0</v>
      </c>
      <c r="M57" s="44" t="n">
        <f aca="false">MAX(0,M56)</f>
        <v>0</v>
      </c>
      <c r="N57" s="44" t="n">
        <f aca="false">MAX(0,N56)</f>
        <v>0</v>
      </c>
      <c r="O57" s="44" t="n">
        <f aca="false">SUM(C57:N57)</f>
        <v>0</v>
      </c>
    </row>
    <row r="58" customFormat="false" ht="15" hidden="false" customHeight="false" outlineLevel="0" collapsed="false">
      <c r="A58" s="57" t="str">
        <f aca="false">IF(Settings!$C$18="","",Settings!$C$18)</f>
        <v/>
      </c>
      <c r="B58" s="39" t="s">
        <v>221</v>
      </c>
      <c r="C58" s="30" t="n">
        <f aca="false">IF(Settings!$J$18="No",MIN(0,C53+C55),MIN(0,C56))</f>
        <v>0</v>
      </c>
      <c r="D58" s="30" t="n">
        <f aca="false">IF(Settings!$J$18="No",MIN(0,D53+D55),MIN(0,D56))</f>
        <v>0</v>
      </c>
      <c r="E58" s="30" t="n">
        <f aca="false">IF(Settings!$J$18="No",MIN(0,E53+E55),MIN(0,E56))</f>
        <v>0</v>
      </c>
      <c r="F58" s="30" t="n">
        <f aca="false">IF(Settings!$J$18="No",MIN(0,F53+F55),MIN(0,F56))</f>
        <v>0</v>
      </c>
      <c r="G58" s="30" t="n">
        <f aca="false">IF(Settings!$J$18="No",MIN(0,G53+G55),MIN(0,G56))</f>
        <v>0</v>
      </c>
      <c r="H58" s="30" t="n">
        <f aca="false">IF(Settings!$J$18="No",MIN(0,H53+H55),MIN(0,H56))</f>
        <v>0</v>
      </c>
      <c r="I58" s="30" t="n">
        <f aca="false">IF(Settings!$J$18="No",MIN(0,I53+I55),MIN(0,I56))</f>
        <v>0</v>
      </c>
      <c r="J58" s="30" t="n">
        <f aca="false">IF(Settings!$J$18="No",MIN(0,J53+J55),MIN(0,J56))</f>
        <v>0</v>
      </c>
      <c r="K58" s="30" t="n">
        <f aca="false">IF(Settings!$J$18="No",MIN(0,K53+K55),MIN(0,K56))</f>
        <v>0</v>
      </c>
      <c r="L58" s="30" t="n">
        <f aca="false">IF(Settings!$J$18="No",MIN(0,L53+L55),MIN(0,L56))</f>
        <v>0</v>
      </c>
      <c r="M58" s="30" t="n">
        <f aca="false">IF(Settings!$J$18="No",MIN(0,M53+M55),MIN(0,M56))</f>
        <v>0</v>
      </c>
      <c r="N58" s="30" t="n">
        <f aca="false">IF(Settings!$J$18="No",MIN(0,N53+N55),MIN(0,N56))</f>
        <v>0</v>
      </c>
    </row>
    <row r="59" customFormat="false" ht="7.5" hidden="false" customHeight="true" outlineLevel="0" collapsed="false"/>
    <row r="60" customFormat="false" ht="15" hidden="false" customHeight="false" outlineLevel="0" collapsed="false">
      <c r="A60" s="46" t="str">
        <f aca="false">IF(Settings!$C$19="","",Settings!$C$19)</f>
        <v/>
      </c>
      <c r="B60" s="39" t="s">
        <v>215</v>
      </c>
      <c r="C60" s="30" t="n">
        <f aca="false">IF(Settings!$C$19="",0,SUMIFS(Deals!$I$6:$I$305,Deals!$A$6:$A$305,Settings!$C$19,Deals!$J$6:$J$305,1))</f>
        <v>0</v>
      </c>
      <c r="D60" s="30" t="n">
        <f aca="false">IF(Settings!$C$19="",0,SUMIFS(Deals!$I$6:$I$305,Deals!$A$6:$A$305,Settings!$C$19,Deals!$J$6:$J$305,2))</f>
        <v>0</v>
      </c>
      <c r="E60" s="30" t="n">
        <f aca="false">IF(Settings!$C$19="",0,SUMIFS(Deals!$I$6:$I$305,Deals!$A$6:$A$305,Settings!$C$19,Deals!$J$6:$J$305,3))</f>
        <v>0</v>
      </c>
      <c r="F60" s="30" t="n">
        <f aca="false">IF(Settings!$C$19="",0,SUMIFS(Deals!$I$6:$I$305,Deals!$A$6:$A$305,Settings!$C$19,Deals!$J$6:$J$305,4))</f>
        <v>0</v>
      </c>
      <c r="G60" s="30" t="n">
        <f aca="false">IF(Settings!$C$19="",0,SUMIFS(Deals!$I$6:$I$305,Deals!$A$6:$A$305,Settings!$C$19,Deals!$J$6:$J$305,5))</f>
        <v>0</v>
      </c>
      <c r="H60" s="30" t="n">
        <f aca="false">IF(Settings!$C$19="",0,SUMIFS(Deals!$I$6:$I$305,Deals!$A$6:$A$305,Settings!$C$19,Deals!$J$6:$J$305,6))</f>
        <v>0</v>
      </c>
      <c r="I60" s="30" t="n">
        <f aca="false">IF(Settings!$C$19="",0,SUMIFS(Deals!$I$6:$I$305,Deals!$A$6:$A$305,Settings!$C$19,Deals!$J$6:$J$305,7))</f>
        <v>0</v>
      </c>
      <c r="J60" s="30" t="n">
        <f aca="false">IF(Settings!$C$19="",0,SUMIFS(Deals!$I$6:$I$305,Deals!$A$6:$A$305,Settings!$C$19,Deals!$J$6:$J$305,8))</f>
        <v>0</v>
      </c>
      <c r="K60" s="30" t="n">
        <f aca="false">IF(Settings!$C$19="",0,SUMIFS(Deals!$I$6:$I$305,Deals!$A$6:$A$305,Settings!$C$19,Deals!$J$6:$J$305,9))</f>
        <v>0</v>
      </c>
      <c r="L60" s="30" t="n">
        <f aca="false">IF(Settings!$C$19="",0,SUMIFS(Deals!$I$6:$I$305,Deals!$A$6:$A$305,Settings!$C$19,Deals!$J$6:$J$305,10))</f>
        <v>0</v>
      </c>
      <c r="M60" s="30" t="n">
        <f aca="false">IF(Settings!$C$19="",0,SUMIFS(Deals!$I$6:$I$305,Deals!$A$6:$A$305,Settings!$C$19,Deals!$J$6:$J$305,11))</f>
        <v>0</v>
      </c>
      <c r="N60" s="30" t="n">
        <f aca="false">IF(Settings!$C$19="",0,SUMIFS(Deals!$I$6:$I$305,Deals!$A$6:$A$305,Settings!$C$19,Deals!$J$6:$J$305,12))</f>
        <v>0</v>
      </c>
      <c r="O60" s="44" t="n">
        <f aca="false">SUM(C60:N60)</f>
        <v>0</v>
      </c>
    </row>
    <row r="61" customFormat="false" ht="15" hidden="false" customHeight="false" outlineLevel="0" collapsed="false">
      <c r="A61" s="57" t="str">
        <f aca="false">IF(Settings!$C$19="","",Settings!$C$19)</f>
        <v/>
      </c>
      <c r="B61" s="39" t="s">
        <v>216</v>
      </c>
      <c r="C61" s="30" t="n">
        <f aca="false">IF(Settings!$C$19="",0,SUMIFS(Adjustments!$J$6:$J$105,Adjustments!$A$6:$A$105,Settings!$C$19,Adjustments!$L$6:$L$105,1))</f>
        <v>0</v>
      </c>
      <c r="D61" s="30" t="n">
        <f aca="false">IF(Settings!$C$19="",0,SUMIFS(Adjustments!$J$6:$J$105,Adjustments!$A$6:$A$105,Settings!$C$19,Adjustments!$L$6:$L$105,2))</f>
        <v>0</v>
      </c>
      <c r="E61" s="30" t="n">
        <f aca="false">IF(Settings!$C$19="",0,SUMIFS(Adjustments!$J$6:$J$105,Adjustments!$A$6:$A$105,Settings!$C$19,Adjustments!$L$6:$L$105,3))</f>
        <v>0</v>
      </c>
      <c r="F61" s="30" t="n">
        <f aca="false">IF(Settings!$C$19="",0,SUMIFS(Adjustments!$J$6:$J$105,Adjustments!$A$6:$A$105,Settings!$C$19,Adjustments!$L$6:$L$105,4))</f>
        <v>0</v>
      </c>
      <c r="G61" s="30" t="n">
        <f aca="false">IF(Settings!$C$19="",0,SUMIFS(Adjustments!$J$6:$J$105,Adjustments!$A$6:$A$105,Settings!$C$19,Adjustments!$L$6:$L$105,5))</f>
        <v>0</v>
      </c>
      <c r="H61" s="30" t="n">
        <f aca="false">IF(Settings!$C$19="",0,SUMIFS(Adjustments!$J$6:$J$105,Adjustments!$A$6:$A$105,Settings!$C$19,Adjustments!$L$6:$L$105,6))</f>
        <v>0</v>
      </c>
      <c r="I61" s="30" t="n">
        <f aca="false">IF(Settings!$C$19="",0,SUMIFS(Adjustments!$J$6:$J$105,Adjustments!$A$6:$A$105,Settings!$C$19,Adjustments!$L$6:$L$105,7))</f>
        <v>0</v>
      </c>
      <c r="J61" s="30" t="n">
        <f aca="false">IF(Settings!$C$19="",0,SUMIFS(Adjustments!$J$6:$J$105,Adjustments!$A$6:$A$105,Settings!$C$19,Adjustments!$L$6:$L$105,8))</f>
        <v>0</v>
      </c>
      <c r="K61" s="30" t="n">
        <f aca="false">IF(Settings!$C$19="",0,SUMIFS(Adjustments!$J$6:$J$105,Adjustments!$A$6:$A$105,Settings!$C$19,Adjustments!$L$6:$L$105,9))</f>
        <v>0</v>
      </c>
      <c r="L61" s="30" t="n">
        <f aca="false">IF(Settings!$C$19="",0,SUMIFS(Adjustments!$J$6:$J$105,Adjustments!$A$6:$A$105,Settings!$C$19,Adjustments!$L$6:$L$105,10))</f>
        <v>0</v>
      </c>
      <c r="M61" s="30" t="n">
        <f aca="false">IF(Settings!$C$19="",0,SUMIFS(Adjustments!$J$6:$J$105,Adjustments!$A$6:$A$105,Settings!$C$19,Adjustments!$L$6:$L$105,11))</f>
        <v>0</v>
      </c>
      <c r="N61" s="30" t="n">
        <f aca="false">IF(Settings!$C$19="",0,SUMIFS(Adjustments!$J$6:$J$105,Adjustments!$A$6:$A$105,Settings!$C$19,Adjustments!$L$6:$L$105,12))</f>
        <v>0</v>
      </c>
      <c r="O61" s="44" t="n">
        <f aca="false">SUM(C61:N61)</f>
        <v>0</v>
      </c>
    </row>
    <row r="62" customFormat="false" ht="15" hidden="false" customHeight="false" outlineLevel="0" collapsed="false">
      <c r="A62" s="57" t="str">
        <f aca="false">IF(Settings!$C$19="","",Settings!$C$19)</f>
        <v/>
      </c>
      <c r="B62" s="46" t="s">
        <v>217</v>
      </c>
      <c r="C62" s="30" t="n">
        <f aca="false">C60+C61</f>
        <v>0</v>
      </c>
      <c r="D62" s="30" t="n">
        <f aca="false">D60+D61</f>
        <v>0</v>
      </c>
      <c r="E62" s="30" t="n">
        <f aca="false">E60+E61</f>
        <v>0</v>
      </c>
      <c r="F62" s="30" t="n">
        <f aca="false">F60+F61</f>
        <v>0</v>
      </c>
      <c r="G62" s="30" t="n">
        <f aca="false">G60+G61</f>
        <v>0</v>
      </c>
      <c r="H62" s="30" t="n">
        <f aca="false">H60+H61</f>
        <v>0</v>
      </c>
      <c r="I62" s="30" t="n">
        <f aca="false">I60+I61</f>
        <v>0</v>
      </c>
      <c r="J62" s="30" t="n">
        <f aca="false">J60+J61</f>
        <v>0</v>
      </c>
      <c r="K62" s="30" t="n">
        <f aca="false">K60+K61</f>
        <v>0</v>
      </c>
      <c r="L62" s="30" t="n">
        <f aca="false">L60+L61</f>
        <v>0</v>
      </c>
      <c r="M62" s="30" t="n">
        <f aca="false">M60+M61</f>
        <v>0</v>
      </c>
      <c r="N62" s="30" t="n">
        <f aca="false">N60+N61</f>
        <v>0</v>
      </c>
      <c r="O62" s="44" t="n">
        <f aca="false">SUM(C62:N62)</f>
        <v>0</v>
      </c>
    </row>
    <row r="63" customFormat="false" ht="15" hidden="false" customHeight="false" outlineLevel="0" collapsed="false">
      <c r="A63" s="57" t="str">
        <f aca="false">IF(Settings!$C$19="","",Settings!$C$19)</f>
        <v/>
      </c>
      <c r="B63" s="39" t="s">
        <v>218</v>
      </c>
      <c r="C63" s="30" t="n">
        <f aca="false">IF(OR(Settings!$C$19="",N(Settings!$G$19)=0),0,IF(AND(1&gt;=IFERROR(MATCH(Settings!$H$19,Settings!$N$13:$N$24,0),1),1&lt;=IFERROR(MATCH(Settings!$I$19,Settings!$N$13:$N$24,0),12)),Settings!$G$19,0))</f>
        <v>0</v>
      </c>
      <c r="D63" s="30" t="n">
        <f aca="false">IF(OR(Settings!$C$19="",N(Settings!$G$19)=0),0,IF(AND(2&gt;=IFERROR(MATCH(Settings!$H$19,Settings!$N$13:$N$24,0),1),2&lt;=IFERROR(MATCH(Settings!$I$19,Settings!$N$13:$N$24,0),12)),Settings!$G$19,0))</f>
        <v>0</v>
      </c>
      <c r="E63" s="30" t="n">
        <f aca="false">IF(OR(Settings!$C$19="",N(Settings!$G$19)=0),0,IF(AND(3&gt;=IFERROR(MATCH(Settings!$H$19,Settings!$N$13:$N$24,0),1),3&lt;=IFERROR(MATCH(Settings!$I$19,Settings!$N$13:$N$24,0),12)),Settings!$G$19,0))</f>
        <v>0</v>
      </c>
      <c r="F63" s="30" t="n">
        <f aca="false">IF(OR(Settings!$C$19="",N(Settings!$G$19)=0),0,IF(AND(4&gt;=IFERROR(MATCH(Settings!$H$19,Settings!$N$13:$N$24,0),1),4&lt;=IFERROR(MATCH(Settings!$I$19,Settings!$N$13:$N$24,0),12)),Settings!$G$19,0))</f>
        <v>0</v>
      </c>
      <c r="G63" s="30" t="n">
        <f aca="false">IF(OR(Settings!$C$19="",N(Settings!$G$19)=0),0,IF(AND(5&gt;=IFERROR(MATCH(Settings!$H$19,Settings!$N$13:$N$24,0),1),5&lt;=IFERROR(MATCH(Settings!$I$19,Settings!$N$13:$N$24,0),12)),Settings!$G$19,0))</f>
        <v>0</v>
      </c>
      <c r="H63" s="30" t="n">
        <f aca="false">IF(OR(Settings!$C$19="",N(Settings!$G$19)=0),0,IF(AND(6&gt;=IFERROR(MATCH(Settings!$H$19,Settings!$N$13:$N$24,0),1),6&lt;=IFERROR(MATCH(Settings!$I$19,Settings!$N$13:$N$24,0),12)),Settings!$G$19,0))</f>
        <v>0</v>
      </c>
      <c r="I63" s="30" t="n">
        <f aca="false">IF(OR(Settings!$C$19="",N(Settings!$G$19)=0),0,IF(AND(7&gt;=IFERROR(MATCH(Settings!$H$19,Settings!$N$13:$N$24,0),1),7&lt;=IFERROR(MATCH(Settings!$I$19,Settings!$N$13:$N$24,0),12)),Settings!$G$19,0))</f>
        <v>0</v>
      </c>
      <c r="J63" s="30" t="n">
        <f aca="false">IF(OR(Settings!$C$19="",N(Settings!$G$19)=0),0,IF(AND(8&gt;=IFERROR(MATCH(Settings!$H$19,Settings!$N$13:$N$24,0),1),8&lt;=IFERROR(MATCH(Settings!$I$19,Settings!$N$13:$N$24,0),12)),Settings!$G$19,0))</f>
        <v>0</v>
      </c>
      <c r="K63" s="30" t="n">
        <f aca="false">IF(OR(Settings!$C$19="",N(Settings!$G$19)=0),0,IF(AND(9&gt;=IFERROR(MATCH(Settings!$H$19,Settings!$N$13:$N$24,0),1),9&lt;=IFERROR(MATCH(Settings!$I$19,Settings!$N$13:$N$24,0),12)),Settings!$G$19,0))</f>
        <v>0</v>
      </c>
      <c r="L63" s="30" t="n">
        <f aca="false">IF(OR(Settings!$C$19="",N(Settings!$G$19)=0),0,IF(AND(10&gt;=IFERROR(MATCH(Settings!$H$19,Settings!$N$13:$N$24,0),1),10&lt;=IFERROR(MATCH(Settings!$I$19,Settings!$N$13:$N$24,0),12)),Settings!$G$19,0))</f>
        <v>0</v>
      </c>
      <c r="M63" s="30" t="n">
        <f aca="false">IF(OR(Settings!$C$19="",N(Settings!$G$19)=0),0,IF(AND(11&gt;=IFERROR(MATCH(Settings!$H$19,Settings!$N$13:$N$24,0),1),11&lt;=IFERROR(MATCH(Settings!$I$19,Settings!$N$13:$N$24,0),12)),Settings!$G$19,0))</f>
        <v>0</v>
      </c>
      <c r="N63" s="30" t="n">
        <f aca="false">IF(OR(Settings!$C$19="",N(Settings!$G$19)=0),0,IF(AND(12&gt;=IFERROR(MATCH(Settings!$H$19,Settings!$N$13:$N$24,0),1),12&lt;=IFERROR(MATCH(Settings!$I$19,Settings!$N$13:$N$24,0),12)),Settings!$G$19,0))</f>
        <v>0</v>
      </c>
      <c r="O63" s="44" t="n">
        <f aca="false">SUM(C63:N63)</f>
        <v>0</v>
      </c>
    </row>
    <row r="64" customFormat="false" ht="15" hidden="false" customHeight="false" outlineLevel="0" collapsed="false">
      <c r="A64" s="57" t="str">
        <f aca="false">IF(Settings!$C$19="","",Settings!$C$19)</f>
        <v/>
      </c>
      <c r="B64" s="39" t="s">
        <v>219</v>
      </c>
      <c r="C64" s="30" t="n">
        <f aca="false">IF(ISNUMBER(Settings!$K$19),MIN(0,Settings!$K$19),0)</f>
        <v>0</v>
      </c>
      <c r="D64" s="30" t="n">
        <f aca="false">C67</f>
        <v>0</v>
      </c>
      <c r="E64" s="30" t="n">
        <f aca="false">D67</f>
        <v>0</v>
      </c>
      <c r="F64" s="30" t="n">
        <f aca="false">E67</f>
        <v>0</v>
      </c>
      <c r="G64" s="30" t="n">
        <f aca="false">F67</f>
        <v>0</v>
      </c>
      <c r="H64" s="30" t="n">
        <f aca="false">G67</f>
        <v>0</v>
      </c>
      <c r="I64" s="30" t="n">
        <f aca="false">H67</f>
        <v>0</v>
      </c>
      <c r="J64" s="30" t="n">
        <f aca="false">I67</f>
        <v>0</v>
      </c>
      <c r="K64" s="30" t="n">
        <f aca="false">J67</f>
        <v>0</v>
      </c>
      <c r="L64" s="30" t="n">
        <f aca="false">K67</f>
        <v>0</v>
      </c>
      <c r="M64" s="30" t="n">
        <f aca="false">L67</f>
        <v>0</v>
      </c>
      <c r="N64" s="30" t="n">
        <f aca="false">M67</f>
        <v>0</v>
      </c>
    </row>
    <row r="65" customFormat="false" ht="15" hidden="false" customHeight="false" outlineLevel="0" collapsed="false">
      <c r="A65" s="57" t="str">
        <f aca="false">IF(Settings!$C$19="","",Settings!$C$19)</f>
        <v/>
      </c>
      <c r="B65" s="39" t="s">
        <v>220</v>
      </c>
      <c r="C65" s="30" t="n">
        <f aca="false">C62-C63+C64</f>
        <v>0</v>
      </c>
      <c r="D65" s="30" t="n">
        <f aca="false">D62-D63+D64</f>
        <v>0</v>
      </c>
      <c r="E65" s="30" t="n">
        <f aca="false">E62-E63+E64</f>
        <v>0</v>
      </c>
      <c r="F65" s="30" t="n">
        <f aca="false">F62-F63+F64</f>
        <v>0</v>
      </c>
      <c r="G65" s="30" t="n">
        <f aca="false">G62-G63+G64</f>
        <v>0</v>
      </c>
      <c r="H65" s="30" t="n">
        <f aca="false">H62-H63+H64</f>
        <v>0</v>
      </c>
      <c r="I65" s="30" t="n">
        <f aca="false">I62-I63+I64</f>
        <v>0</v>
      </c>
      <c r="J65" s="30" t="n">
        <f aca="false">J62-J63+J64</f>
        <v>0</v>
      </c>
      <c r="K65" s="30" t="n">
        <f aca="false">K62-K63+K64</f>
        <v>0</v>
      </c>
      <c r="L65" s="30" t="n">
        <f aca="false">L62-L63+L64</f>
        <v>0</v>
      </c>
      <c r="M65" s="30" t="n">
        <f aca="false">M62-M63+M64</f>
        <v>0</v>
      </c>
      <c r="N65" s="30" t="n">
        <f aca="false">N62-N63+N64</f>
        <v>0</v>
      </c>
    </row>
    <row r="66" customFormat="false" ht="15" hidden="false" customHeight="false" outlineLevel="0" collapsed="false">
      <c r="A66" s="57" t="str">
        <f aca="false">IF(Settings!$C$19="","",Settings!$C$19)</f>
        <v/>
      </c>
      <c r="B66" s="46" t="s">
        <v>172</v>
      </c>
      <c r="C66" s="44" t="n">
        <f aca="false">MAX(0,C65)</f>
        <v>0</v>
      </c>
      <c r="D66" s="44" t="n">
        <f aca="false">MAX(0,D65)</f>
        <v>0</v>
      </c>
      <c r="E66" s="44" t="n">
        <f aca="false">MAX(0,E65)</f>
        <v>0</v>
      </c>
      <c r="F66" s="44" t="n">
        <f aca="false">MAX(0,F65)</f>
        <v>0</v>
      </c>
      <c r="G66" s="44" t="n">
        <f aca="false">MAX(0,G65)</f>
        <v>0</v>
      </c>
      <c r="H66" s="44" t="n">
        <f aca="false">MAX(0,H65)</f>
        <v>0</v>
      </c>
      <c r="I66" s="44" t="n">
        <f aca="false">MAX(0,I65)</f>
        <v>0</v>
      </c>
      <c r="J66" s="44" t="n">
        <f aca="false">MAX(0,J65)</f>
        <v>0</v>
      </c>
      <c r="K66" s="44" t="n">
        <f aca="false">MAX(0,K65)</f>
        <v>0</v>
      </c>
      <c r="L66" s="44" t="n">
        <f aca="false">MAX(0,L65)</f>
        <v>0</v>
      </c>
      <c r="M66" s="44" t="n">
        <f aca="false">MAX(0,M65)</f>
        <v>0</v>
      </c>
      <c r="N66" s="44" t="n">
        <f aca="false">MAX(0,N65)</f>
        <v>0</v>
      </c>
      <c r="O66" s="44" t="n">
        <f aca="false">SUM(C66:N66)</f>
        <v>0</v>
      </c>
    </row>
    <row r="67" customFormat="false" ht="15" hidden="false" customHeight="false" outlineLevel="0" collapsed="false">
      <c r="A67" s="57" t="str">
        <f aca="false">IF(Settings!$C$19="","",Settings!$C$19)</f>
        <v/>
      </c>
      <c r="B67" s="39" t="s">
        <v>221</v>
      </c>
      <c r="C67" s="30" t="n">
        <f aca="false">IF(Settings!$J$19="No",MIN(0,C62+C64),MIN(0,C65))</f>
        <v>0</v>
      </c>
      <c r="D67" s="30" t="n">
        <f aca="false">IF(Settings!$J$19="No",MIN(0,D62+D64),MIN(0,D65))</f>
        <v>0</v>
      </c>
      <c r="E67" s="30" t="n">
        <f aca="false">IF(Settings!$J$19="No",MIN(0,E62+E64),MIN(0,E65))</f>
        <v>0</v>
      </c>
      <c r="F67" s="30" t="n">
        <f aca="false">IF(Settings!$J$19="No",MIN(0,F62+F64),MIN(0,F65))</f>
        <v>0</v>
      </c>
      <c r="G67" s="30" t="n">
        <f aca="false">IF(Settings!$J$19="No",MIN(0,G62+G64),MIN(0,G65))</f>
        <v>0</v>
      </c>
      <c r="H67" s="30" t="n">
        <f aca="false">IF(Settings!$J$19="No",MIN(0,H62+H64),MIN(0,H65))</f>
        <v>0</v>
      </c>
      <c r="I67" s="30" t="n">
        <f aca="false">IF(Settings!$J$19="No",MIN(0,I62+I64),MIN(0,I65))</f>
        <v>0</v>
      </c>
      <c r="J67" s="30" t="n">
        <f aca="false">IF(Settings!$J$19="No",MIN(0,J62+J64),MIN(0,J65))</f>
        <v>0</v>
      </c>
      <c r="K67" s="30" t="n">
        <f aca="false">IF(Settings!$J$19="No",MIN(0,K62+K64),MIN(0,K65))</f>
        <v>0</v>
      </c>
      <c r="L67" s="30" t="n">
        <f aca="false">IF(Settings!$J$19="No",MIN(0,L62+L64),MIN(0,L65))</f>
        <v>0</v>
      </c>
      <c r="M67" s="30" t="n">
        <f aca="false">IF(Settings!$J$19="No",MIN(0,M62+M64),MIN(0,M65))</f>
        <v>0</v>
      </c>
      <c r="N67" s="30" t="n">
        <f aca="false">IF(Settings!$J$19="No",MIN(0,N62+N64),MIN(0,N65))</f>
        <v>0</v>
      </c>
    </row>
    <row r="68" customFormat="false" ht="7.5" hidden="false" customHeight="true" outlineLevel="0" collapsed="false"/>
    <row r="69" customFormat="false" ht="15" hidden="false" customHeight="false" outlineLevel="0" collapsed="false">
      <c r="A69" s="46" t="str">
        <f aca="false">IF(Settings!$C$20="","",Settings!$C$20)</f>
        <v/>
      </c>
      <c r="B69" s="39" t="s">
        <v>215</v>
      </c>
      <c r="C69" s="30" t="n">
        <f aca="false">IF(Settings!$C$20="",0,SUMIFS(Deals!$I$6:$I$305,Deals!$A$6:$A$305,Settings!$C$20,Deals!$J$6:$J$305,1))</f>
        <v>0</v>
      </c>
      <c r="D69" s="30" t="n">
        <f aca="false">IF(Settings!$C$20="",0,SUMIFS(Deals!$I$6:$I$305,Deals!$A$6:$A$305,Settings!$C$20,Deals!$J$6:$J$305,2))</f>
        <v>0</v>
      </c>
      <c r="E69" s="30" t="n">
        <f aca="false">IF(Settings!$C$20="",0,SUMIFS(Deals!$I$6:$I$305,Deals!$A$6:$A$305,Settings!$C$20,Deals!$J$6:$J$305,3))</f>
        <v>0</v>
      </c>
      <c r="F69" s="30" t="n">
        <f aca="false">IF(Settings!$C$20="",0,SUMIFS(Deals!$I$6:$I$305,Deals!$A$6:$A$305,Settings!$C$20,Deals!$J$6:$J$305,4))</f>
        <v>0</v>
      </c>
      <c r="G69" s="30" t="n">
        <f aca="false">IF(Settings!$C$20="",0,SUMIFS(Deals!$I$6:$I$305,Deals!$A$6:$A$305,Settings!$C$20,Deals!$J$6:$J$305,5))</f>
        <v>0</v>
      </c>
      <c r="H69" s="30" t="n">
        <f aca="false">IF(Settings!$C$20="",0,SUMIFS(Deals!$I$6:$I$305,Deals!$A$6:$A$305,Settings!$C$20,Deals!$J$6:$J$305,6))</f>
        <v>0</v>
      </c>
      <c r="I69" s="30" t="n">
        <f aca="false">IF(Settings!$C$20="",0,SUMIFS(Deals!$I$6:$I$305,Deals!$A$6:$A$305,Settings!$C$20,Deals!$J$6:$J$305,7))</f>
        <v>0</v>
      </c>
      <c r="J69" s="30" t="n">
        <f aca="false">IF(Settings!$C$20="",0,SUMIFS(Deals!$I$6:$I$305,Deals!$A$6:$A$305,Settings!$C$20,Deals!$J$6:$J$305,8))</f>
        <v>0</v>
      </c>
      <c r="K69" s="30" t="n">
        <f aca="false">IF(Settings!$C$20="",0,SUMIFS(Deals!$I$6:$I$305,Deals!$A$6:$A$305,Settings!$C$20,Deals!$J$6:$J$305,9))</f>
        <v>0</v>
      </c>
      <c r="L69" s="30" t="n">
        <f aca="false">IF(Settings!$C$20="",0,SUMIFS(Deals!$I$6:$I$305,Deals!$A$6:$A$305,Settings!$C$20,Deals!$J$6:$J$305,10))</f>
        <v>0</v>
      </c>
      <c r="M69" s="30" t="n">
        <f aca="false">IF(Settings!$C$20="",0,SUMIFS(Deals!$I$6:$I$305,Deals!$A$6:$A$305,Settings!$C$20,Deals!$J$6:$J$305,11))</f>
        <v>0</v>
      </c>
      <c r="N69" s="30" t="n">
        <f aca="false">IF(Settings!$C$20="",0,SUMIFS(Deals!$I$6:$I$305,Deals!$A$6:$A$305,Settings!$C$20,Deals!$J$6:$J$305,12))</f>
        <v>0</v>
      </c>
      <c r="O69" s="44" t="n">
        <f aca="false">SUM(C69:N69)</f>
        <v>0</v>
      </c>
    </row>
    <row r="70" customFormat="false" ht="15" hidden="false" customHeight="false" outlineLevel="0" collapsed="false">
      <c r="A70" s="57" t="str">
        <f aca="false">IF(Settings!$C$20="","",Settings!$C$20)</f>
        <v/>
      </c>
      <c r="B70" s="39" t="s">
        <v>216</v>
      </c>
      <c r="C70" s="30" t="n">
        <f aca="false">IF(Settings!$C$20="",0,SUMIFS(Adjustments!$J$6:$J$105,Adjustments!$A$6:$A$105,Settings!$C$20,Adjustments!$L$6:$L$105,1))</f>
        <v>0</v>
      </c>
      <c r="D70" s="30" t="n">
        <f aca="false">IF(Settings!$C$20="",0,SUMIFS(Adjustments!$J$6:$J$105,Adjustments!$A$6:$A$105,Settings!$C$20,Adjustments!$L$6:$L$105,2))</f>
        <v>0</v>
      </c>
      <c r="E70" s="30" t="n">
        <f aca="false">IF(Settings!$C$20="",0,SUMIFS(Adjustments!$J$6:$J$105,Adjustments!$A$6:$A$105,Settings!$C$20,Adjustments!$L$6:$L$105,3))</f>
        <v>0</v>
      </c>
      <c r="F70" s="30" t="n">
        <f aca="false">IF(Settings!$C$20="",0,SUMIFS(Adjustments!$J$6:$J$105,Adjustments!$A$6:$A$105,Settings!$C$20,Adjustments!$L$6:$L$105,4))</f>
        <v>0</v>
      </c>
      <c r="G70" s="30" t="n">
        <f aca="false">IF(Settings!$C$20="",0,SUMIFS(Adjustments!$J$6:$J$105,Adjustments!$A$6:$A$105,Settings!$C$20,Adjustments!$L$6:$L$105,5))</f>
        <v>0</v>
      </c>
      <c r="H70" s="30" t="n">
        <f aca="false">IF(Settings!$C$20="",0,SUMIFS(Adjustments!$J$6:$J$105,Adjustments!$A$6:$A$105,Settings!$C$20,Adjustments!$L$6:$L$105,6))</f>
        <v>0</v>
      </c>
      <c r="I70" s="30" t="n">
        <f aca="false">IF(Settings!$C$20="",0,SUMIFS(Adjustments!$J$6:$J$105,Adjustments!$A$6:$A$105,Settings!$C$20,Adjustments!$L$6:$L$105,7))</f>
        <v>0</v>
      </c>
      <c r="J70" s="30" t="n">
        <f aca="false">IF(Settings!$C$20="",0,SUMIFS(Adjustments!$J$6:$J$105,Adjustments!$A$6:$A$105,Settings!$C$20,Adjustments!$L$6:$L$105,8))</f>
        <v>0</v>
      </c>
      <c r="K70" s="30" t="n">
        <f aca="false">IF(Settings!$C$20="",0,SUMIFS(Adjustments!$J$6:$J$105,Adjustments!$A$6:$A$105,Settings!$C$20,Adjustments!$L$6:$L$105,9))</f>
        <v>0</v>
      </c>
      <c r="L70" s="30" t="n">
        <f aca="false">IF(Settings!$C$20="",0,SUMIFS(Adjustments!$J$6:$J$105,Adjustments!$A$6:$A$105,Settings!$C$20,Adjustments!$L$6:$L$105,10))</f>
        <v>0</v>
      </c>
      <c r="M70" s="30" t="n">
        <f aca="false">IF(Settings!$C$20="",0,SUMIFS(Adjustments!$J$6:$J$105,Adjustments!$A$6:$A$105,Settings!$C$20,Adjustments!$L$6:$L$105,11))</f>
        <v>0</v>
      </c>
      <c r="N70" s="30" t="n">
        <f aca="false">IF(Settings!$C$20="",0,SUMIFS(Adjustments!$J$6:$J$105,Adjustments!$A$6:$A$105,Settings!$C$20,Adjustments!$L$6:$L$105,12))</f>
        <v>0</v>
      </c>
      <c r="O70" s="44" t="n">
        <f aca="false">SUM(C70:N70)</f>
        <v>0</v>
      </c>
    </row>
    <row r="71" customFormat="false" ht="15" hidden="false" customHeight="false" outlineLevel="0" collapsed="false">
      <c r="A71" s="57" t="str">
        <f aca="false">IF(Settings!$C$20="","",Settings!$C$20)</f>
        <v/>
      </c>
      <c r="B71" s="46" t="s">
        <v>217</v>
      </c>
      <c r="C71" s="30" t="n">
        <f aca="false">C69+C70</f>
        <v>0</v>
      </c>
      <c r="D71" s="30" t="n">
        <f aca="false">D69+D70</f>
        <v>0</v>
      </c>
      <c r="E71" s="30" t="n">
        <f aca="false">E69+E70</f>
        <v>0</v>
      </c>
      <c r="F71" s="30" t="n">
        <f aca="false">F69+F70</f>
        <v>0</v>
      </c>
      <c r="G71" s="30" t="n">
        <f aca="false">G69+G70</f>
        <v>0</v>
      </c>
      <c r="H71" s="30" t="n">
        <f aca="false">H69+H70</f>
        <v>0</v>
      </c>
      <c r="I71" s="30" t="n">
        <f aca="false">I69+I70</f>
        <v>0</v>
      </c>
      <c r="J71" s="30" t="n">
        <f aca="false">J69+J70</f>
        <v>0</v>
      </c>
      <c r="K71" s="30" t="n">
        <f aca="false">K69+K70</f>
        <v>0</v>
      </c>
      <c r="L71" s="30" t="n">
        <f aca="false">L69+L70</f>
        <v>0</v>
      </c>
      <c r="M71" s="30" t="n">
        <f aca="false">M69+M70</f>
        <v>0</v>
      </c>
      <c r="N71" s="30" t="n">
        <f aca="false">N69+N70</f>
        <v>0</v>
      </c>
      <c r="O71" s="44" t="n">
        <f aca="false">SUM(C71:N71)</f>
        <v>0</v>
      </c>
    </row>
    <row r="72" customFormat="false" ht="15" hidden="false" customHeight="false" outlineLevel="0" collapsed="false">
      <c r="A72" s="57" t="str">
        <f aca="false">IF(Settings!$C$20="","",Settings!$C$20)</f>
        <v/>
      </c>
      <c r="B72" s="39" t="s">
        <v>218</v>
      </c>
      <c r="C72" s="30" t="n">
        <f aca="false">IF(OR(Settings!$C$20="",N(Settings!$G$20)=0),0,IF(AND(1&gt;=IFERROR(MATCH(Settings!$H$20,Settings!$N$13:$N$24,0),1),1&lt;=IFERROR(MATCH(Settings!$I$20,Settings!$N$13:$N$24,0),12)),Settings!$G$20,0))</f>
        <v>0</v>
      </c>
      <c r="D72" s="30" t="n">
        <f aca="false">IF(OR(Settings!$C$20="",N(Settings!$G$20)=0),0,IF(AND(2&gt;=IFERROR(MATCH(Settings!$H$20,Settings!$N$13:$N$24,0),1),2&lt;=IFERROR(MATCH(Settings!$I$20,Settings!$N$13:$N$24,0),12)),Settings!$G$20,0))</f>
        <v>0</v>
      </c>
      <c r="E72" s="30" t="n">
        <f aca="false">IF(OR(Settings!$C$20="",N(Settings!$G$20)=0),0,IF(AND(3&gt;=IFERROR(MATCH(Settings!$H$20,Settings!$N$13:$N$24,0),1),3&lt;=IFERROR(MATCH(Settings!$I$20,Settings!$N$13:$N$24,0),12)),Settings!$G$20,0))</f>
        <v>0</v>
      </c>
      <c r="F72" s="30" t="n">
        <f aca="false">IF(OR(Settings!$C$20="",N(Settings!$G$20)=0),0,IF(AND(4&gt;=IFERROR(MATCH(Settings!$H$20,Settings!$N$13:$N$24,0),1),4&lt;=IFERROR(MATCH(Settings!$I$20,Settings!$N$13:$N$24,0),12)),Settings!$G$20,0))</f>
        <v>0</v>
      </c>
      <c r="G72" s="30" t="n">
        <f aca="false">IF(OR(Settings!$C$20="",N(Settings!$G$20)=0),0,IF(AND(5&gt;=IFERROR(MATCH(Settings!$H$20,Settings!$N$13:$N$24,0),1),5&lt;=IFERROR(MATCH(Settings!$I$20,Settings!$N$13:$N$24,0),12)),Settings!$G$20,0))</f>
        <v>0</v>
      </c>
      <c r="H72" s="30" t="n">
        <f aca="false">IF(OR(Settings!$C$20="",N(Settings!$G$20)=0),0,IF(AND(6&gt;=IFERROR(MATCH(Settings!$H$20,Settings!$N$13:$N$24,0),1),6&lt;=IFERROR(MATCH(Settings!$I$20,Settings!$N$13:$N$24,0),12)),Settings!$G$20,0))</f>
        <v>0</v>
      </c>
      <c r="I72" s="30" t="n">
        <f aca="false">IF(OR(Settings!$C$20="",N(Settings!$G$20)=0),0,IF(AND(7&gt;=IFERROR(MATCH(Settings!$H$20,Settings!$N$13:$N$24,0),1),7&lt;=IFERROR(MATCH(Settings!$I$20,Settings!$N$13:$N$24,0),12)),Settings!$G$20,0))</f>
        <v>0</v>
      </c>
      <c r="J72" s="30" t="n">
        <f aca="false">IF(OR(Settings!$C$20="",N(Settings!$G$20)=0),0,IF(AND(8&gt;=IFERROR(MATCH(Settings!$H$20,Settings!$N$13:$N$24,0),1),8&lt;=IFERROR(MATCH(Settings!$I$20,Settings!$N$13:$N$24,0),12)),Settings!$G$20,0))</f>
        <v>0</v>
      </c>
      <c r="K72" s="30" t="n">
        <f aca="false">IF(OR(Settings!$C$20="",N(Settings!$G$20)=0),0,IF(AND(9&gt;=IFERROR(MATCH(Settings!$H$20,Settings!$N$13:$N$24,0),1),9&lt;=IFERROR(MATCH(Settings!$I$20,Settings!$N$13:$N$24,0),12)),Settings!$G$20,0))</f>
        <v>0</v>
      </c>
      <c r="L72" s="30" t="n">
        <f aca="false">IF(OR(Settings!$C$20="",N(Settings!$G$20)=0),0,IF(AND(10&gt;=IFERROR(MATCH(Settings!$H$20,Settings!$N$13:$N$24,0),1),10&lt;=IFERROR(MATCH(Settings!$I$20,Settings!$N$13:$N$24,0),12)),Settings!$G$20,0))</f>
        <v>0</v>
      </c>
      <c r="M72" s="30" t="n">
        <f aca="false">IF(OR(Settings!$C$20="",N(Settings!$G$20)=0),0,IF(AND(11&gt;=IFERROR(MATCH(Settings!$H$20,Settings!$N$13:$N$24,0),1),11&lt;=IFERROR(MATCH(Settings!$I$20,Settings!$N$13:$N$24,0),12)),Settings!$G$20,0))</f>
        <v>0</v>
      </c>
      <c r="N72" s="30" t="n">
        <f aca="false">IF(OR(Settings!$C$20="",N(Settings!$G$20)=0),0,IF(AND(12&gt;=IFERROR(MATCH(Settings!$H$20,Settings!$N$13:$N$24,0),1),12&lt;=IFERROR(MATCH(Settings!$I$20,Settings!$N$13:$N$24,0),12)),Settings!$G$20,0))</f>
        <v>0</v>
      </c>
      <c r="O72" s="44" t="n">
        <f aca="false">SUM(C72:N72)</f>
        <v>0</v>
      </c>
    </row>
    <row r="73" customFormat="false" ht="15" hidden="false" customHeight="false" outlineLevel="0" collapsed="false">
      <c r="A73" s="57" t="str">
        <f aca="false">IF(Settings!$C$20="","",Settings!$C$20)</f>
        <v/>
      </c>
      <c r="B73" s="39" t="s">
        <v>219</v>
      </c>
      <c r="C73" s="30" t="n">
        <f aca="false">IF(ISNUMBER(Settings!$K$20),MIN(0,Settings!$K$20),0)</f>
        <v>0</v>
      </c>
      <c r="D73" s="30" t="n">
        <f aca="false">C76</f>
        <v>0</v>
      </c>
      <c r="E73" s="30" t="n">
        <f aca="false">D76</f>
        <v>0</v>
      </c>
      <c r="F73" s="30" t="n">
        <f aca="false">E76</f>
        <v>0</v>
      </c>
      <c r="G73" s="30" t="n">
        <f aca="false">F76</f>
        <v>0</v>
      </c>
      <c r="H73" s="30" t="n">
        <f aca="false">G76</f>
        <v>0</v>
      </c>
      <c r="I73" s="30" t="n">
        <f aca="false">H76</f>
        <v>0</v>
      </c>
      <c r="J73" s="30" t="n">
        <f aca="false">I76</f>
        <v>0</v>
      </c>
      <c r="K73" s="30" t="n">
        <f aca="false">J76</f>
        <v>0</v>
      </c>
      <c r="L73" s="30" t="n">
        <f aca="false">K76</f>
        <v>0</v>
      </c>
      <c r="M73" s="30" t="n">
        <f aca="false">L76</f>
        <v>0</v>
      </c>
      <c r="N73" s="30" t="n">
        <f aca="false">M76</f>
        <v>0</v>
      </c>
    </row>
    <row r="74" customFormat="false" ht="15" hidden="false" customHeight="false" outlineLevel="0" collapsed="false">
      <c r="A74" s="57" t="str">
        <f aca="false">IF(Settings!$C$20="","",Settings!$C$20)</f>
        <v/>
      </c>
      <c r="B74" s="39" t="s">
        <v>220</v>
      </c>
      <c r="C74" s="30" t="n">
        <f aca="false">C71-C72+C73</f>
        <v>0</v>
      </c>
      <c r="D74" s="30" t="n">
        <f aca="false">D71-D72+D73</f>
        <v>0</v>
      </c>
      <c r="E74" s="30" t="n">
        <f aca="false">E71-E72+E73</f>
        <v>0</v>
      </c>
      <c r="F74" s="30" t="n">
        <f aca="false">F71-F72+F73</f>
        <v>0</v>
      </c>
      <c r="G74" s="30" t="n">
        <f aca="false">G71-G72+G73</f>
        <v>0</v>
      </c>
      <c r="H74" s="30" t="n">
        <f aca="false">H71-H72+H73</f>
        <v>0</v>
      </c>
      <c r="I74" s="30" t="n">
        <f aca="false">I71-I72+I73</f>
        <v>0</v>
      </c>
      <c r="J74" s="30" t="n">
        <f aca="false">J71-J72+J73</f>
        <v>0</v>
      </c>
      <c r="K74" s="30" t="n">
        <f aca="false">K71-K72+K73</f>
        <v>0</v>
      </c>
      <c r="L74" s="30" t="n">
        <f aca="false">L71-L72+L73</f>
        <v>0</v>
      </c>
      <c r="M74" s="30" t="n">
        <f aca="false">M71-M72+M73</f>
        <v>0</v>
      </c>
      <c r="N74" s="30" t="n">
        <f aca="false">N71-N72+N73</f>
        <v>0</v>
      </c>
    </row>
    <row r="75" customFormat="false" ht="15" hidden="false" customHeight="false" outlineLevel="0" collapsed="false">
      <c r="A75" s="57" t="str">
        <f aca="false">IF(Settings!$C$20="","",Settings!$C$20)</f>
        <v/>
      </c>
      <c r="B75" s="46" t="s">
        <v>172</v>
      </c>
      <c r="C75" s="44" t="n">
        <f aca="false">MAX(0,C74)</f>
        <v>0</v>
      </c>
      <c r="D75" s="44" t="n">
        <f aca="false">MAX(0,D74)</f>
        <v>0</v>
      </c>
      <c r="E75" s="44" t="n">
        <f aca="false">MAX(0,E74)</f>
        <v>0</v>
      </c>
      <c r="F75" s="44" t="n">
        <f aca="false">MAX(0,F74)</f>
        <v>0</v>
      </c>
      <c r="G75" s="44" t="n">
        <f aca="false">MAX(0,G74)</f>
        <v>0</v>
      </c>
      <c r="H75" s="44" t="n">
        <f aca="false">MAX(0,H74)</f>
        <v>0</v>
      </c>
      <c r="I75" s="44" t="n">
        <f aca="false">MAX(0,I74)</f>
        <v>0</v>
      </c>
      <c r="J75" s="44" t="n">
        <f aca="false">MAX(0,J74)</f>
        <v>0</v>
      </c>
      <c r="K75" s="44" t="n">
        <f aca="false">MAX(0,K74)</f>
        <v>0</v>
      </c>
      <c r="L75" s="44" t="n">
        <f aca="false">MAX(0,L74)</f>
        <v>0</v>
      </c>
      <c r="M75" s="44" t="n">
        <f aca="false">MAX(0,M74)</f>
        <v>0</v>
      </c>
      <c r="N75" s="44" t="n">
        <f aca="false">MAX(0,N74)</f>
        <v>0</v>
      </c>
      <c r="O75" s="44" t="n">
        <f aca="false">SUM(C75:N75)</f>
        <v>0</v>
      </c>
    </row>
    <row r="76" customFormat="false" ht="15" hidden="false" customHeight="false" outlineLevel="0" collapsed="false">
      <c r="A76" s="57" t="str">
        <f aca="false">IF(Settings!$C$20="","",Settings!$C$20)</f>
        <v/>
      </c>
      <c r="B76" s="39" t="s">
        <v>221</v>
      </c>
      <c r="C76" s="30" t="n">
        <f aca="false">IF(Settings!$J$20="No",MIN(0,C71+C73),MIN(0,C74))</f>
        <v>0</v>
      </c>
      <c r="D76" s="30" t="n">
        <f aca="false">IF(Settings!$J$20="No",MIN(0,D71+D73),MIN(0,D74))</f>
        <v>0</v>
      </c>
      <c r="E76" s="30" t="n">
        <f aca="false">IF(Settings!$J$20="No",MIN(0,E71+E73),MIN(0,E74))</f>
        <v>0</v>
      </c>
      <c r="F76" s="30" t="n">
        <f aca="false">IF(Settings!$J$20="No",MIN(0,F71+F73),MIN(0,F74))</f>
        <v>0</v>
      </c>
      <c r="G76" s="30" t="n">
        <f aca="false">IF(Settings!$J$20="No",MIN(0,G71+G73),MIN(0,G74))</f>
        <v>0</v>
      </c>
      <c r="H76" s="30" t="n">
        <f aca="false">IF(Settings!$J$20="No",MIN(0,H71+H73),MIN(0,H74))</f>
        <v>0</v>
      </c>
      <c r="I76" s="30" t="n">
        <f aca="false">IF(Settings!$J$20="No",MIN(0,I71+I73),MIN(0,I74))</f>
        <v>0</v>
      </c>
      <c r="J76" s="30" t="n">
        <f aca="false">IF(Settings!$J$20="No",MIN(0,J71+J73),MIN(0,J74))</f>
        <v>0</v>
      </c>
      <c r="K76" s="30" t="n">
        <f aca="false">IF(Settings!$J$20="No",MIN(0,K71+K73),MIN(0,K74))</f>
        <v>0</v>
      </c>
      <c r="L76" s="30" t="n">
        <f aca="false">IF(Settings!$J$20="No",MIN(0,L71+L73),MIN(0,L74))</f>
        <v>0</v>
      </c>
      <c r="M76" s="30" t="n">
        <f aca="false">IF(Settings!$J$20="No",MIN(0,M71+M73),MIN(0,M74))</f>
        <v>0</v>
      </c>
      <c r="N76" s="30" t="n">
        <f aca="false">IF(Settings!$J$20="No",MIN(0,N71+N73),MIN(0,N74))</f>
        <v>0</v>
      </c>
    </row>
    <row r="77" customFormat="false" ht="7.5" hidden="false" customHeight="true" outlineLevel="0" collapsed="false"/>
    <row r="78" customFormat="false" ht="15" hidden="false" customHeight="false" outlineLevel="0" collapsed="false">
      <c r="A78" s="46" t="str">
        <f aca="false">IF(Settings!$C$21="","",Settings!$C$21)</f>
        <v/>
      </c>
      <c r="B78" s="39" t="s">
        <v>215</v>
      </c>
      <c r="C78" s="30" t="n">
        <f aca="false">IF(Settings!$C$21="",0,SUMIFS(Deals!$I$6:$I$305,Deals!$A$6:$A$305,Settings!$C$21,Deals!$J$6:$J$305,1))</f>
        <v>0</v>
      </c>
      <c r="D78" s="30" t="n">
        <f aca="false">IF(Settings!$C$21="",0,SUMIFS(Deals!$I$6:$I$305,Deals!$A$6:$A$305,Settings!$C$21,Deals!$J$6:$J$305,2))</f>
        <v>0</v>
      </c>
      <c r="E78" s="30" t="n">
        <f aca="false">IF(Settings!$C$21="",0,SUMIFS(Deals!$I$6:$I$305,Deals!$A$6:$A$305,Settings!$C$21,Deals!$J$6:$J$305,3))</f>
        <v>0</v>
      </c>
      <c r="F78" s="30" t="n">
        <f aca="false">IF(Settings!$C$21="",0,SUMIFS(Deals!$I$6:$I$305,Deals!$A$6:$A$305,Settings!$C$21,Deals!$J$6:$J$305,4))</f>
        <v>0</v>
      </c>
      <c r="G78" s="30" t="n">
        <f aca="false">IF(Settings!$C$21="",0,SUMIFS(Deals!$I$6:$I$305,Deals!$A$6:$A$305,Settings!$C$21,Deals!$J$6:$J$305,5))</f>
        <v>0</v>
      </c>
      <c r="H78" s="30" t="n">
        <f aca="false">IF(Settings!$C$21="",0,SUMIFS(Deals!$I$6:$I$305,Deals!$A$6:$A$305,Settings!$C$21,Deals!$J$6:$J$305,6))</f>
        <v>0</v>
      </c>
      <c r="I78" s="30" t="n">
        <f aca="false">IF(Settings!$C$21="",0,SUMIFS(Deals!$I$6:$I$305,Deals!$A$6:$A$305,Settings!$C$21,Deals!$J$6:$J$305,7))</f>
        <v>0</v>
      </c>
      <c r="J78" s="30" t="n">
        <f aca="false">IF(Settings!$C$21="",0,SUMIFS(Deals!$I$6:$I$305,Deals!$A$6:$A$305,Settings!$C$21,Deals!$J$6:$J$305,8))</f>
        <v>0</v>
      </c>
      <c r="K78" s="30" t="n">
        <f aca="false">IF(Settings!$C$21="",0,SUMIFS(Deals!$I$6:$I$305,Deals!$A$6:$A$305,Settings!$C$21,Deals!$J$6:$J$305,9))</f>
        <v>0</v>
      </c>
      <c r="L78" s="30" t="n">
        <f aca="false">IF(Settings!$C$21="",0,SUMIFS(Deals!$I$6:$I$305,Deals!$A$6:$A$305,Settings!$C$21,Deals!$J$6:$J$305,10))</f>
        <v>0</v>
      </c>
      <c r="M78" s="30" t="n">
        <f aca="false">IF(Settings!$C$21="",0,SUMIFS(Deals!$I$6:$I$305,Deals!$A$6:$A$305,Settings!$C$21,Deals!$J$6:$J$305,11))</f>
        <v>0</v>
      </c>
      <c r="N78" s="30" t="n">
        <f aca="false">IF(Settings!$C$21="",0,SUMIFS(Deals!$I$6:$I$305,Deals!$A$6:$A$305,Settings!$C$21,Deals!$J$6:$J$305,12))</f>
        <v>0</v>
      </c>
      <c r="O78" s="44" t="n">
        <f aca="false">SUM(C78:N78)</f>
        <v>0</v>
      </c>
    </row>
    <row r="79" customFormat="false" ht="15" hidden="false" customHeight="false" outlineLevel="0" collapsed="false">
      <c r="A79" s="57" t="str">
        <f aca="false">IF(Settings!$C$21="","",Settings!$C$21)</f>
        <v/>
      </c>
      <c r="B79" s="39" t="s">
        <v>216</v>
      </c>
      <c r="C79" s="30" t="n">
        <f aca="false">IF(Settings!$C$21="",0,SUMIFS(Adjustments!$J$6:$J$105,Adjustments!$A$6:$A$105,Settings!$C$21,Adjustments!$L$6:$L$105,1))</f>
        <v>0</v>
      </c>
      <c r="D79" s="30" t="n">
        <f aca="false">IF(Settings!$C$21="",0,SUMIFS(Adjustments!$J$6:$J$105,Adjustments!$A$6:$A$105,Settings!$C$21,Adjustments!$L$6:$L$105,2))</f>
        <v>0</v>
      </c>
      <c r="E79" s="30" t="n">
        <f aca="false">IF(Settings!$C$21="",0,SUMIFS(Adjustments!$J$6:$J$105,Adjustments!$A$6:$A$105,Settings!$C$21,Adjustments!$L$6:$L$105,3))</f>
        <v>0</v>
      </c>
      <c r="F79" s="30" t="n">
        <f aca="false">IF(Settings!$C$21="",0,SUMIFS(Adjustments!$J$6:$J$105,Adjustments!$A$6:$A$105,Settings!$C$21,Adjustments!$L$6:$L$105,4))</f>
        <v>0</v>
      </c>
      <c r="G79" s="30" t="n">
        <f aca="false">IF(Settings!$C$21="",0,SUMIFS(Adjustments!$J$6:$J$105,Adjustments!$A$6:$A$105,Settings!$C$21,Adjustments!$L$6:$L$105,5))</f>
        <v>0</v>
      </c>
      <c r="H79" s="30" t="n">
        <f aca="false">IF(Settings!$C$21="",0,SUMIFS(Adjustments!$J$6:$J$105,Adjustments!$A$6:$A$105,Settings!$C$21,Adjustments!$L$6:$L$105,6))</f>
        <v>0</v>
      </c>
      <c r="I79" s="30" t="n">
        <f aca="false">IF(Settings!$C$21="",0,SUMIFS(Adjustments!$J$6:$J$105,Adjustments!$A$6:$A$105,Settings!$C$21,Adjustments!$L$6:$L$105,7))</f>
        <v>0</v>
      </c>
      <c r="J79" s="30" t="n">
        <f aca="false">IF(Settings!$C$21="",0,SUMIFS(Adjustments!$J$6:$J$105,Adjustments!$A$6:$A$105,Settings!$C$21,Adjustments!$L$6:$L$105,8))</f>
        <v>0</v>
      </c>
      <c r="K79" s="30" t="n">
        <f aca="false">IF(Settings!$C$21="",0,SUMIFS(Adjustments!$J$6:$J$105,Adjustments!$A$6:$A$105,Settings!$C$21,Adjustments!$L$6:$L$105,9))</f>
        <v>0</v>
      </c>
      <c r="L79" s="30" t="n">
        <f aca="false">IF(Settings!$C$21="",0,SUMIFS(Adjustments!$J$6:$J$105,Adjustments!$A$6:$A$105,Settings!$C$21,Adjustments!$L$6:$L$105,10))</f>
        <v>0</v>
      </c>
      <c r="M79" s="30" t="n">
        <f aca="false">IF(Settings!$C$21="",0,SUMIFS(Adjustments!$J$6:$J$105,Adjustments!$A$6:$A$105,Settings!$C$21,Adjustments!$L$6:$L$105,11))</f>
        <v>0</v>
      </c>
      <c r="N79" s="30" t="n">
        <f aca="false">IF(Settings!$C$21="",0,SUMIFS(Adjustments!$J$6:$J$105,Adjustments!$A$6:$A$105,Settings!$C$21,Adjustments!$L$6:$L$105,12))</f>
        <v>0</v>
      </c>
      <c r="O79" s="44" t="n">
        <f aca="false">SUM(C79:N79)</f>
        <v>0</v>
      </c>
    </row>
    <row r="80" customFormat="false" ht="15" hidden="false" customHeight="false" outlineLevel="0" collapsed="false">
      <c r="A80" s="57" t="str">
        <f aca="false">IF(Settings!$C$21="","",Settings!$C$21)</f>
        <v/>
      </c>
      <c r="B80" s="46" t="s">
        <v>217</v>
      </c>
      <c r="C80" s="30" t="n">
        <f aca="false">C78+C79</f>
        <v>0</v>
      </c>
      <c r="D80" s="30" t="n">
        <f aca="false">D78+D79</f>
        <v>0</v>
      </c>
      <c r="E80" s="30" t="n">
        <f aca="false">E78+E79</f>
        <v>0</v>
      </c>
      <c r="F80" s="30" t="n">
        <f aca="false">F78+F79</f>
        <v>0</v>
      </c>
      <c r="G80" s="30" t="n">
        <f aca="false">G78+G79</f>
        <v>0</v>
      </c>
      <c r="H80" s="30" t="n">
        <f aca="false">H78+H79</f>
        <v>0</v>
      </c>
      <c r="I80" s="30" t="n">
        <f aca="false">I78+I79</f>
        <v>0</v>
      </c>
      <c r="J80" s="30" t="n">
        <f aca="false">J78+J79</f>
        <v>0</v>
      </c>
      <c r="K80" s="30" t="n">
        <f aca="false">K78+K79</f>
        <v>0</v>
      </c>
      <c r="L80" s="30" t="n">
        <f aca="false">L78+L79</f>
        <v>0</v>
      </c>
      <c r="M80" s="30" t="n">
        <f aca="false">M78+M79</f>
        <v>0</v>
      </c>
      <c r="N80" s="30" t="n">
        <f aca="false">N78+N79</f>
        <v>0</v>
      </c>
      <c r="O80" s="44" t="n">
        <f aca="false">SUM(C80:N80)</f>
        <v>0</v>
      </c>
    </row>
    <row r="81" customFormat="false" ht="15" hidden="false" customHeight="false" outlineLevel="0" collapsed="false">
      <c r="A81" s="57" t="str">
        <f aca="false">IF(Settings!$C$21="","",Settings!$C$21)</f>
        <v/>
      </c>
      <c r="B81" s="39" t="s">
        <v>218</v>
      </c>
      <c r="C81" s="30" t="n">
        <f aca="false">IF(OR(Settings!$C$21="",N(Settings!$G$21)=0),0,IF(AND(1&gt;=IFERROR(MATCH(Settings!$H$21,Settings!$N$13:$N$24,0),1),1&lt;=IFERROR(MATCH(Settings!$I$21,Settings!$N$13:$N$24,0),12)),Settings!$G$21,0))</f>
        <v>0</v>
      </c>
      <c r="D81" s="30" t="n">
        <f aca="false">IF(OR(Settings!$C$21="",N(Settings!$G$21)=0),0,IF(AND(2&gt;=IFERROR(MATCH(Settings!$H$21,Settings!$N$13:$N$24,0),1),2&lt;=IFERROR(MATCH(Settings!$I$21,Settings!$N$13:$N$24,0),12)),Settings!$G$21,0))</f>
        <v>0</v>
      </c>
      <c r="E81" s="30" t="n">
        <f aca="false">IF(OR(Settings!$C$21="",N(Settings!$G$21)=0),0,IF(AND(3&gt;=IFERROR(MATCH(Settings!$H$21,Settings!$N$13:$N$24,0),1),3&lt;=IFERROR(MATCH(Settings!$I$21,Settings!$N$13:$N$24,0),12)),Settings!$G$21,0))</f>
        <v>0</v>
      </c>
      <c r="F81" s="30" t="n">
        <f aca="false">IF(OR(Settings!$C$21="",N(Settings!$G$21)=0),0,IF(AND(4&gt;=IFERROR(MATCH(Settings!$H$21,Settings!$N$13:$N$24,0),1),4&lt;=IFERROR(MATCH(Settings!$I$21,Settings!$N$13:$N$24,0),12)),Settings!$G$21,0))</f>
        <v>0</v>
      </c>
      <c r="G81" s="30" t="n">
        <f aca="false">IF(OR(Settings!$C$21="",N(Settings!$G$21)=0),0,IF(AND(5&gt;=IFERROR(MATCH(Settings!$H$21,Settings!$N$13:$N$24,0),1),5&lt;=IFERROR(MATCH(Settings!$I$21,Settings!$N$13:$N$24,0),12)),Settings!$G$21,0))</f>
        <v>0</v>
      </c>
      <c r="H81" s="30" t="n">
        <f aca="false">IF(OR(Settings!$C$21="",N(Settings!$G$21)=0),0,IF(AND(6&gt;=IFERROR(MATCH(Settings!$H$21,Settings!$N$13:$N$24,0),1),6&lt;=IFERROR(MATCH(Settings!$I$21,Settings!$N$13:$N$24,0),12)),Settings!$G$21,0))</f>
        <v>0</v>
      </c>
      <c r="I81" s="30" t="n">
        <f aca="false">IF(OR(Settings!$C$21="",N(Settings!$G$21)=0),0,IF(AND(7&gt;=IFERROR(MATCH(Settings!$H$21,Settings!$N$13:$N$24,0),1),7&lt;=IFERROR(MATCH(Settings!$I$21,Settings!$N$13:$N$24,0),12)),Settings!$G$21,0))</f>
        <v>0</v>
      </c>
      <c r="J81" s="30" t="n">
        <f aca="false">IF(OR(Settings!$C$21="",N(Settings!$G$21)=0),0,IF(AND(8&gt;=IFERROR(MATCH(Settings!$H$21,Settings!$N$13:$N$24,0),1),8&lt;=IFERROR(MATCH(Settings!$I$21,Settings!$N$13:$N$24,0),12)),Settings!$G$21,0))</f>
        <v>0</v>
      </c>
      <c r="K81" s="30" t="n">
        <f aca="false">IF(OR(Settings!$C$21="",N(Settings!$G$21)=0),0,IF(AND(9&gt;=IFERROR(MATCH(Settings!$H$21,Settings!$N$13:$N$24,0),1),9&lt;=IFERROR(MATCH(Settings!$I$21,Settings!$N$13:$N$24,0),12)),Settings!$G$21,0))</f>
        <v>0</v>
      </c>
      <c r="L81" s="30" t="n">
        <f aca="false">IF(OR(Settings!$C$21="",N(Settings!$G$21)=0),0,IF(AND(10&gt;=IFERROR(MATCH(Settings!$H$21,Settings!$N$13:$N$24,0),1),10&lt;=IFERROR(MATCH(Settings!$I$21,Settings!$N$13:$N$24,0),12)),Settings!$G$21,0))</f>
        <v>0</v>
      </c>
      <c r="M81" s="30" t="n">
        <f aca="false">IF(OR(Settings!$C$21="",N(Settings!$G$21)=0),0,IF(AND(11&gt;=IFERROR(MATCH(Settings!$H$21,Settings!$N$13:$N$24,0),1),11&lt;=IFERROR(MATCH(Settings!$I$21,Settings!$N$13:$N$24,0),12)),Settings!$G$21,0))</f>
        <v>0</v>
      </c>
      <c r="N81" s="30" t="n">
        <f aca="false">IF(OR(Settings!$C$21="",N(Settings!$G$21)=0),0,IF(AND(12&gt;=IFERROR(MATCH(Settings!$H$21,Settings!$N$13:$N$24,0),1),12&lt;=IFERROR(MATCH(Settings!$I$21,Settings!$N$13:$N$24,0),12)),Settings!$G$21,0))</f>
        <v>0</v>
      </c>
      <c r="O81" s="44" t="n">
        <f aca="false">SUM(C81:N81)</f>
        <v>0</v>
      </c>
    </row>
    <row r="82" customFormat="false" ht="15" hidden="false" customHeight="false" outlineLevel="0" collapsed="false">
      <c r="A82" s="57" t="str">
        <f aca="false">IF(Settings!$C$21="","",Settings!$C$21)</f>
        <v/>
      </c>
      <c r="B82" s="39" t="s">
        <v>219</v>
      </c>
      <c r="C82" s="30" t="n">
        <f aca="false">IF(ISNUMBER(Settings!$K$21),MIN(0,Settings!$K$21),0)</f>
        <v>0</v>
      </c>
      <c r="D82" s="30" t="n">
        <f aca="false">C85</f>
        <v>0</v>
      </c>
      <c r="E82" s="30" t="n">
        <f aca="false">D85</f>
        <v>0</v>
      </c>
      <c r="F82" s="30" t="n">
        <f aca="false">E85</f>
        <v>0</v>
      </c>
      <c r="G82" s="30" t="n">
        <f aca="false">F85</f>
        <v>0</v>
      </c>
      <c r="H82" s="30" t="n">
        <f aca="false">G85</f>
        <v>0</v>
      </c>
      <c r="I82" s="30" t="n">
        <f aca="false">H85</f>
        <v>0</v>
      </c>
      <c r="J82" s="30" t="n">
        <f aca="false">I85</f>
        <v>0</v>
      </c>
      <c r="K82" s="30" t="n">
        <f aca="false">J85</f>
        <v>0</v>
      </c>
      <c r="L82" s="30" t="n">
        <f aca="false">K85</f>
        <v>0</v>
      </c>
      <c r="M82" s="30" t="n">
        <f aca="false">L85</f>
        <v>0</v>
      </c>
      <c r="N82" s="30" t="n">
        <f aca="false">M85</f>
        <v>0</v>
      </c>
    </row>
    <row r="83" customFormat="false" ht="15" hidden="false" customHeight="false" outlineLevel="0" collapsed="false">
      <c r="A83" s="57" t="str">
        <f aca="false">IF(Settings!$C$21="","",Settings!$C$21)</f>
        <v/>
      </c>
      <c r="B83" s="39" t="s">
        <v>220</v>
      </c>
      <c r="C83" s="30" t="n">
        <f aca="false">C80-C81+C82</f>
        <v>0</v>
      </c>
      <c r="D83" s="30" t="n">
        <f aca="false">D80-D81+D82</f>
        <v>0</v>
      </c>
      <c r="E83" s="30" t="n">
        <f aca="false">E80-E81+E82</f>
        <v>0</v>
      </c>
      <c r="F83" s="30" t="n">
        <f aca="false">F80-F81+F82</f>
        <v>0</v>
      </c>
      <c r="G83" s="30" t="n">
        <f aca="false">G80-G81+G82</f>
        <v>0</v>
      </c>
      <c r="H83" s="30" t="n">
        <f aca="false">H80-H81+H82</f>
        <v>0</v>
      </c>
      <c r="I83" s="30" t="n">
        <f aca="false">I80-I81+I82</f>
        <v>0</v>
      </c>
      <c r="J83" s="30" t="n">
        <f aca="false">J80-J81+J82</f>
        <v>0</v>
      </c>
      <c r="K83" s="30" t="n">
        <f aca="false">K80-K81+K82</f>
        <v>0</v>
      </c>
      <c r="L83" s="30" t="n">
        <f aca="false">L80-L81+L82</f>
        <v>0</v>
      </c>
      <c r="M83" s="30" t="n">
        <f aca="false">M80-M81+M82</f>
        <v>0</v>
      </c>
      <c r="N83" s="30" t="n">
        <f aca="false">N80-N81+N82</f>
        <v>0</v>
      </c>
    </row>
    <row r="84" customFormat="false" ht="15" hidden="false" customHeight="false" outlineLevel="0" collapsed="false">
      <c r="A84" s="57" t="str">
        <f aca="false">IF(Settings!$C$21="","",Settings!$C$21)</f>
        <v/>
      </c>
      <c r="B84" s="46" t="s">
        <v>172</v>
      </c>
      <c r="C84" s="44" t="n">
        <f aca="false">MAX(0,C83)</f>
        <v>0</v>
      </c>
      <c r="D84" s="44" t="n">
        <f aca="false">MAX(0,D83)</f>
        <v>0</v>
      </c>
      <c r="E84" s="44" t="n">
        <f aca="false">MAX(0,E83)</f>
        <v>0</v>
      </c>
      <c r="F84" s="44" t="n">
        <f aca="false">MAX(0,F83)</f>
        <v>0</v>
      </c>
      <c r="G84" s="44" t="n">
        <f aca="false">MAX(0,G83)</f>
        <v>0</v>
      </c>
      <c r="H84" s="44" t="n">
        <f aca="false">MAX(0,H83)</f>
        <v>0</v>
      </c>
      <c r="I84" s="44" t="n">
        <f aca="false">MAX(0,I83)</f>
        <v>0</v>
      </c>
      <c r="J84" s="44" t="n">
        <f aca="false">MAX(0,J83)</f>
        <v>0</v>
      </c>
      <c r="K84" s="44" t="n">
        <f aca="false">MAX(0,K83)</f>
        <v>0</v>
      </c>
      <c r="L84" s="44" t="n">
        <f aca="false">MAX(0,L83)</f>
        <v>0</v>
      </c>
      <c r="M84" s="44" t="n">
        <f aca="false">MAX(0,M83)</f>
        <v>0</v>
      </c>
      <c r="N84" s="44" t="n">
        <f aca="false">MAX(0,N83)</f>
        <v>0</v>
      </c>
      <c r="O84" s="44" t="n">
        <f aca="false">SUM(C84:N84)</f>
        <v>0</v>
      </c>
    </row>
    <row r="85" customFormat="false" ht="15" hidden="false" customHeight="false" outlineLevel="0" collapsed="false">
      <c r="A85" s="57" t="str">
        <f aca="false">IF(Settings!$C$21="","",Settings!$C$21)</f>
        <v/>
      </c>
      <c r="B85" s="39" t="s">
        <v>221</v>
      </c>
      <c r="C85" s="30" t="n">
        <f aca="false">IF(Settings!$J$21="No",MIN(0,C80+C82),MIN(0,C83))</f>
        <v>0</v>
      </c>
      <c r="D85" s="30" t="n">
        <f aca="false">IF(Settings!$J$21="No",MIN(0,D80+D82),MIN(0,D83))</f>
        <v>0</v>
      </c>
      <c r="E85" s="30" t="n">
        <f aca="false">IF(Settings!$J$21="No",MIN(0,E80+E82),MIN(0,E83))</f>
        <v>0</v>
      </c>
      <c r="F85" s="30" t="n">
        <f aca="false">IF(Settings!$J$21="No",MIN(0,F80+F82),MIN(0,F83))</f>
        <v>0</v>
      </c>
      <c r="G85" s="30" t="n">
        <f aca="false">IF(Settings!$J$21="No",MIN(0,G80+G82),MIN(0,G83))</f>
        <v>0</v>
      </c>
      <c r="H85" s="30" t="n">
        <f aca="false">IF(Settings!$J$21="No",MIN(0,H80+H82),MIN(0,H83))</f>
        <v>0</v>
      </c>
      <c r="I85" s="30" t="n">
        <f aca="false">IF(Settings!$J$21="No",MIN(0,I80+I82),MIN(0,I83))</f>
        <v>0</v>
      </c>
      <c r="J85" s="30" t="n">
        <f aca="false">IF(Settings!$J$21="No",MIN(0,J80+J82),MIN(0,J83))</f>
        <v>0</v>
      </c>
      <c r="K85" s="30" t="n">
        <f aca="false">IF(Settings!$J$21="No",MIN(0,K80+K82),MIN(0,K83))</f>
        <v>0</v>
      </c>
      <c r="L85" s="30" t="n">
        <f aca="false">IF(Settings!$J$21="No",MIN(0,L80+L82),MIN(0,L83))</f>
        <v>0</v>
      </c>
      <c r="M85" s="30" t="n">
        <f aca="false">IF(Settings!$J$21="No",MIN(0,M80+M82),MIN(0,M83))</f>
        <v>0</v>
      </c>
      <c r="N85" s="30" t="n">
        <f aca="false">IF(Settings!$J$21="No",MIN(0,N80+N82),MIN(0,N83))</f>
        <v>0</v>
      </c>
    </row>
    <row r="86" customFormat="false" ht="7.5" hidden="false" customHeight="true" outlineLevel="0" collapsed="false"/>
    <row r="87" customFormat="false" ht="15" hidden="false" customHeight="false" outlineLevel="0" collapsed="false">
      <c r="A87" s="46" t="str">
        <f aca="false">IF(Settings!$C$22="","",Settings!$C$22)</f>
        <v/>
      </c>
      <c r="B87" s="39" t="s">
        <v>215</v>
      </c>
      <c r="C87" s="30" t="n">
        <f aca="false">IF(Settings!$C$22="",0,SUMIFS(Deals!$I$6:$I$305,Deals!$A$6:$A$305,Settings!$C$22,Deals!$J$6:$J$305,1))</f>
        <v>0</v>
      </c>
      <c r="D87" s="30" t="n">
        <f aca="false">IF(Settings!$C$22="",0,SUMIFS(Deals!$I$6:$I$305,Deals!$A$6:$A$305,Settings!$C$22,Deals!$J$6:$J$305,2))</f>
        <v>0</v>
      </c>
      <c r="E87" s="30" t="n">
        <f aca="false">IF(Settings!$C$22="",0,SUMIFS(Deals!$I$6:$I$305,Deals!$A$6:$A$305,Settings!$C$22,Deals!$J$6:$J$305,3))</f>
        <v>0</v>
      </c>
      <c r="F87" s="30" t="n">
        <f aca="false">IF(Settings!$C$22="",0,SUMIFS(Deals!$I$6:$I$305,Deals!$A$6:$A$305,Settings!$C$22,Deals!$J$6:$J$305,4))</f>
        <v>0</v>
      </c>
      <c r="G87" s="30" t="n">
        <f aca="false">IF(Settings!$C$22="",0,SUMIFS(Deals!$I$6:$I$305,Deals!$A$6:$A$305,Settings!$C$22,Deals!$J$6:$J$305,5))</f>
        <v>0</v>
      </c>
      <c r="H87" s="30" t="n">
        <f aca="false">IF(Settings!$C$22="",0,SUMIFS(Deals!$I$6:$I$305,Deals!$A$6:$A$305,Settings!$C$22,Deals!$J$6:$J$305,6))</f>
        <v>0</v>
      </c>
      <c r="I87" s="30" t="n">
        <f aca="false">IF(Settings!$C$22="",0,SUMIFS(Deals!$I$6:$I$305,Deals!$A$6:$A$305,Settings!$C$22,Deals!$J$6:$J$305,7))</f>
        <v>0</v>
      </c>
      <c r="J87" s="30" t="n">
        <f aca="false">IF(Settings!$C$22="",0,SUMIFS(Deals!$I$6:$I$305,Deals!$A$6:$A$305,Settings!$C$22,Deals!$J$6:$J$305,8))</f>
        <v>0</v>
      </c>
      <c r="K87" s="30" t="n">
        <f aca="false">IF(Settings!$C$22="",0,SUMIFS(Deals!$I$6:$I$305,Deals!$A$6:$A$305,Settings!$C$22,Deals!$J$6:$J$305,9))</f>
        <v>0</v>
      </c>
      <c r="L87" s="30" t="n">
        <f aca="false">IF(Settings!$C$22="",0,SUMIFS(Deals!$I$6:$I$305,Deals!$A$6:$A$305,Settings!$C$22,Deals!$J$6:$J$305,10))</f>
        <v>0</v>
      </c>
      <c r="M87" s="30" t="n">
        <f aca="false">IF(Settings!$C$22="",0,SUMIFS(Deals!$I$6:$I$305,Deals!$A$6:$A$305,Settings!$C$22,Deals!$J$6:$J$305,11))</f>
        <v>0</v>
      </c>
      <c r="N87" s="30" t="n">
        <f aca="false">IF(Settings!$C$22="",0,SUMIFS(Deals!$I$6:$I$305,Deals!$A$6:$A$305,Settings!$C$22,Deals!$J$6:$J$305,12))</f>
        <v>0</v>
      </c>
      <c r="O87" s="44" t="n">
        <f aca="false">SUM(C87:N87)</f>
        <v>0</v>
      </c>
    </row>
    <row r="88" customFormat="false" ht="15" hidden="false" customHeight="false" outlineLevel="0" collapsed="false">
      <c r="A88" s="57" t="str">
        <f aca="false">IF(Settings!$C$22="","",Settings!$C$22)</f>
        <v/>
      </c>
      <c r="B88" s="39" t="s">
        <v>216</v>
      </c>
      <c r="C88" s="30" t="n">
        <f aca="false">IF(Settings!$C$22="",0,SUMIFS(Adjustments!$J$6:$J$105,Adjustments!$A$6:$A$105,Settings!$C$22,Adjustments!$L$6:$L$105,1))</f>
        <v>0</v>
      </c>
      <c r="D88" s="30" t="n">
        <f aca="false">IF(Settings!$C$22="",0,SUMIFS(Adjustments!$J$6:$J$105,Adjustments!$A$6:$A$105,Settings!$C$22,Adjustments!$L$6:$L$105,2))</f>
        <v>0</v>
      </c>
      <c r="E88" s="30" t="n">
        <f aca="false">IF(Settings!$C$22="",0,SUMIFS(Adjustments!$J$6:$J$105,Adjustments!$A$6:$A$105,Settings!$C$22,Adjustments!$L$6:$L$105,3))</f>
        <v>0</v>
      </c>
      <c r="F88" s="30" t="n">
        <f aca="false">IF(Settings!$C$22="",0,SUMIFS(Adjustments!$J$6:$J$105,Adjustments!$A$6:$A$105,Settings!$C$22,Adjustments!$L$6:$L$105,4))</f>
        <v>0</v>
      </c>
      <c r="G88" s="30" t="n">
        <f aca="false">IF(Settings!$C$22="",0,SUMIFS(Adjustments!$J$6:$J$105,Adjustments!$A$6:$A$105,Settings!$C$22,Adjustments!$L$6:$L$105,5))</f>
        <v>0</v>
      </c>
      <c r="H88" s="30" t="n">
        <f aca="false">IF(Settings!$C$22="",0,SUMIFS(Adjustments!$J$6:$J$105,Adjustments!$A$6:$A$105,Settings!$C$22,Adjustments!$L$6:$L$105,6))</f>
        <v>0</v>
      </c>
      <c r="I88" s="30" t="n">
        <f aca="false">IF(Settings!$C$22="",0,SUMIFS(Adjustments!$J$6:$J$105,Adjustments!$A$6:$A$105,Settings!$C$22,Adjustments!$L$6:$L$105,7))</f>
        <v>0</v>
      </c>
      <c r="J88" s="30" t="n">
        <f aca="false">IF(Settings!$C$22="",0,SUMIFS(Adjustments!$J$6:$J$105,Adjustments!$A$6:$A$105,Settings!$C$22,Adjustments!$L$6:$L$105,8))</f>
        <v>0</v>
      </c>
      <c r="K88" s="30" t="n">
        <f aca="false">IF(Settings!$C$22="",0,SUMIFS(Adjustments!$J$6:$J$105,Adjustments!$A$6:$A$105,Settings!$C$22,Adjustments!$L$6:$L$105,9))</f>
        <v>0</v>
      </c>
      <c r="L88" s="30" t="n">
        <f aca="false">IF(Settings!$C$22="",0,SUMIFS(Adjustments!$J$6:$J$105,Adjustments!$A$6:$A$105,Settings!$C$22,Adjustments!$L$6:$L$105,10))</f>
        <v>0</v>
      </c>
      <c r="M88" s="30" t="n">
        <f aca="false">IF(Settings!$C$22="",0,SUMIFS(Adjustments!$J$6:$J$105,Adjustments!$A$6:$A$105,Settings!$C$22,Adjustments!$L$6:$L$105,11))</f>
        <v>0</v>
      </c>
      <c r="N88" s="30" t="n">
        <f aca="false">IF(Settings!$C$22="",0,SUMIFS(Adjustments!$J$6:$J$105,Adjustments!$A$6:$A$105,Settings!$C$22,Adjustments!$L$6:$L$105,12))</f>
        <v>0</v>
      </c>
      <c r="O88" s="44" t="n">
        <f aca="false">SUM(C88:N88)</f>
        <v>0</v>
      </c>
    </row>
    <row r="89" customFormat="false" ht="15" hidden="false" customHeight="false" outlineLevel="0" collapsed="false">
      <c r="A89" s="57" t="str">
        <f aca="false">IF(Settings!$C$22="","",Settings!$C$22)</f>
        <v/>
      </c>
      <c r="B89" s="46" t="s">
        <v>217</v>
      </c>
      <c r="C89" s="30" t="n">
        <f aca="false">C87+C88</f>
        <v>0</v>
      </c>
      <c r="D89" s="30" t="n">
        <f aca="false">D87+D88</f>
        <v>0</v>
      </c>
      <c r="E89" s="30" t="n">
        <f aca="false">E87+E88</f>
        <v>0</v>
      </c>
      <c r="F89" s="30" t="n">
        <f aca="false">F87+F88</f>
        <v>0</v>
      </c>
      <c r="G89" s="30" t="n">
        <f aca="false">G87+G88</f>
        <v>0</v>
      </c>
      <c r="H89" s="30" t="n">
        <f aca="false">H87+H88</f>
        <v>0</v>
      </c>
      <c r="I89" s="30" t="n">
        <f aca="false">I87+I88</f>
        <v>0</v>
      </c>
      <c r="J89" s="30" t="n">
        <f aca="false">J87+J88</f>
        <v>0</v>
      </c>
      <c r="K89" s="30" t="n">
        <f aca="false">K87+K88</f>
        <v>0</v>
      </c>
      <c r="L89" s="30" t="n">
        <f aca="false">L87+L88</f>
        <v>0</v>
      </c>
      <c r="M89" s="30" t="n">
        <f aca="false">M87+M88</f>
        <v>0</v>
      </c>
      <c r="N89" s="30" t="n">
        <f aca="false">N87+N88</f>
        <v>0</v>
      </c>
      <c r="O89" s="44" t="n">
        <f aca="false">SUM(C89:N89)</f>
        <v>0</v>
      </c>
    </row>
    <row r="90" customFormat="false" ht="15" hidden="false" customHeight="false" outlineLevel="0" collapsed="false">
      <c r="A90" s="57" t="str">
        <f aca="false">IF(Settings!$C$22="","",Settings!$C$22)</f>
        <v/>
      </c>
      <c r="B90" s="39" t="s">
        <v>218</v>
      </c>
      <c r="C90" s="30" t="n">
        <f aca="false">IF(OR(Settings!$C$22="",N(Settings!$G$22)=0),0,IF(AND(1&gt;=IFERROR(MATCH(Settings!$H$22,Settings!$N$13:$N$24,0),1),1&lt;=IFERROR(MATCH(Settings!$I$22,Settings!$N$13:$N$24,0),12)),Settings!$G$22,0))</f>
        <v>0</v>
      </c>
      <c r="D90" s="30" t="n">
        <f aca="false">IF(OR(Settings!$C$22="",N(Settings!$G$22)=0),0,IF(AND(2&gt;=IFERROR(MATCH(Settings!$H$22,Settings!$N$13:$N$24,0),1),2&lt;=IFERROR(MATCH(Settings!$I$22,Settings!$N$13:$N$24,0),12)),Settings!$G$22,0))</f>
        <v>0</v>
      </c>
      <c r="E90" s="30" t="n">
        <f aca="false">IF(OR(Settings!$C$22="",N(Settings!$G$22)=0),0,IF(AND(3&gt;=IFERROR(MATCH(Settings!$H$22,Settings!$N$13:$N$24,0),1),3&lt;=IFERROR(MATCH(Settings!$I$22,Settings!$N$13:$N$24,0),12)),Settings!$G$22,0))</f>
        <v>0</v>
      </c>
      <c r="F90" s="30" t="n">
        <f aca="false">IF(OR(Settings!$C$22="",N(Settings!$G$22)=0),0,IF(AND(4&gt;=IFERROR(MATCH(Settings!$H$22,Settings!$N$13:$N$24,0),1),4&lt;=IFERROR(MATCH(Settings!$I$22,Settings!$N$13:$N$24,0),12)),Settings!$G$22,0))</f>
        <v>0</v>
      </c>
      <c r="G90" s="30" t="n">
        <f aca="false">IF(OR(Settings!$C$22="",N(Settings!$G$22)=0),0,IF(AND(5&gt;=IFERROR(MATCH(Settings!$H$22,Settings!$N$13:$N$24,0),1),5&lt;=IFERROR(MATCH(Settings!$I$22,Settings!$N$13:$N$24,0),12)),Settings!$G$22,0))</f>
        <v>0</v>
      </c>
      <c r="H90" s="30" t="n">
        <f aca="false">IF(OR(Settings!$C$22="",N(Settings!$G$22)=0),0,IF(AND(6&gt;=IFERROR(MATCH(Settings!$H$22,Settings!$N$13:$N$24,0),1),6&lt;=IFERROR(MATCH(Settings!$I$22,Settings!$N$13:$N$24,0),12)),Settings!$G$22,0))</f>
        <v>0</v>
      </c>
      <c r="I90" s="30" t="n">
        <f aca="false">IF(OR(Settings!$C$22="",N(Settings!$G$22)=0),0,IF(AND(7&gt;=IFERROR(MATCH(Settings!$H$22,Settings!$N$13:$N$24,0),1),7&lt;=IFERROR(MATCH(Settings!$I$22,Settings!$N$13:$N$24,0),12)),Settings!$G$22,0))</f>
        <v>0</v>
      </c>
      <c r="J90" s="30" t="n">
        <f aca="false">IF(OR(Settings!$C$22="",N(Settings!$G$22)=0),0,IF(AND(8&gt;=IFERROR(MATCH(Settings!$H$22,Settings!$N$13:$N$24,0),1),8&lt;=IFERROR(MATCH(Settings!$I$22,Settings!$N$13:$N$24,0),12)),Settings!$G$22,0))</f>
        <v>0</v>
      </c>
      <c r="K90" s="30" t="n">
        <f aca="false">IF(OR(Settings!$C$22="",N(Settings!$G$22)=0),0,IF(AND(9&gt;=IFERROR(MATCH(Settings!$H$22,Settings!$N$13:$N$24,0),1),9&lt;=IFERROR(MATCH(Settings!$I$22,Settings!$N$13:$N$24,0),12)),Settings!$G$22,0))</f>
        <v>0</v>
      </c>
      <c r="L90" s="30" t="n">
        <f aca="false">IF(OR(Settings!$C$22="",N(Settings!$G$22)=0),0,IF(AND(10&gt;=IFERROR(MATCH(Settings!$H$22,Settings!$N$13:$N$24,0),1),10&lt;=IFERROR(MATCH(Settings!$I$22,Settings!$N$13:$N$24,0),12)),Settings!$G$22,0))</f>
        <v>0</v>
      </c>
      <c r="M90" s="30" t="n">
        <f aca="false">IF(OR(Settings!$C$22="",N(Settings!$G$22)=0),0,IF(AND(11&gt;=IFERROR(MATCH(Settings!$H$22,Settings!$N$13:$N$24,0),1),11&lt;=IFERROR(MATCH(Settings!$I$22,Settings!$N$13:$N$24,0),12)),Settings!$G$22,0))</f>
        <v>0</v>
      </c>
      <c r="N90" s="30" t="n">
        <f aca="false">IF(OR(Settings!$C$22="",N(Settings!$G$22)=0),0,IF(AND(12&gt;=IFERROR(MATCH(Settings!$H$22,Settings!$N$13:$N$24,0),1),12&lt;=IFERROR(MATCH(Settings!$I$22,Settings!$N$13:$N$24,0),12)),Settings!$G$22,0))</f>
        <v>0</v>
      </c>
      <c r="O90" s="44" t="n">
        <f aca="false">SUM(C90:N90)</f>
        <v>0</v>
      </c>
    </row>
    <row r="91" customFormat="false" ht="15" hidden="false" customHeight="false" outlineLevel="0" collapsed="false">
      <c r="A91" s="57" t="str">
        <f aca="false">IF(Settings!$C$22="","",Settings!$C$22)</f>
        <v/>
      </c>
      <c r="B91" s="39" t="s">
        <v>219</v>
      </c>
      <c r="C91" s="30" t="n">
        <f aca="false">IF(ISNUMBER(Settings!$K$22),MIN(0,Settings!$K$22),0)</f>
        <v>0</v>
      </c>
      <c r="D91" s="30" t="n">
        <f aca="false">C94</f>
        <v>0</v>
      </c>
      <c r="E91" s="30" t="n">
        <f aca="false">D94</f>
        <v>0</v>
      </c>
      <c r="F91" s="30" t="n">
        <f aca="false">E94</f>
        <v>0</v>
      </c>
      <c r="G91" s="30" t="n">
        <f aca="false">F94</f>
        <v>0</v>
      </c>
      <c r="H91" s="30" t="n">
        <f aca="false">G94</f>
        <v>0</v>
      </c>
      <c r="I91" s="30" t="n">
        <f aca="false">H94</f>
        <v>0</v>
      </c>
      <c r="J91" s="30" t="n">
        <f aca="false">I94</f>
        <v>0</v>
      </c>
      <c r="K91" s="30" t="n">
        <f aca="false">J94</f>
        <v>0</v>
      </c>
      <c r="L91" s="30" t="n">
        <f aca="false">K94</f>
        <v>0</v>
      </c>
      <c r="M91" s="30" t="n">
        <f aca="false">L94</f>
        <v>0</v>
      </c>
      <c r="N91" s="30" t="n">
        <f aca="false">M94</f>
        <v>0</v>
      </c>
    </row>
    <row r="92" customFormat="false" ht="15" hidden="false" customHeight="false" outlineLevel="0" collapsed="false">
      <c r="A92" s="57" t="str">
        <f aca="false">IF(Settings!$C$22="","",Settings!$C$22)</f>
        <v/>
      </c>
      <c r="B92" s="39" t="s">
        <v>220</v>
      </c>
      <c r="C92" s="30" t="n">
        <f aca="false">C89-C90+C91</f>
        <v>0</v>
      </c>
      <c r="D92" s="30" t="n">
        <f aca="false">D89-D90+D91</f>
        <v>0</v>
      </c>
      <c r="E92" s="30" t="n">
        <f aca="false">E89-E90+E91</f>
        <v>0</v>
      </c>
      <c r="F92" s="30" t="n">
        <f aca="false">F89-F90+F91</f>
        <v>0</v>
      </c>
      <c r="G92" s="30" t="n">
        <f aca="false">G89-G90+G91</f>
        <v>0</v>
      </c>
      <c r="H92" s="30" t="n">
        <f aca="false">H89-H90+H91</f>
        <v>0</v>
      </c>
      <c r="I92" s="30" t="n">
        <f aca="false">I89-I90+I91</f>
        <v>0</v>
      </c>
      <c r="J92" s="30" t="n">
        <f aca="false">J89-J90+J91</f>
        <v>0</v>
      </c>
      <c r="K92" s="30" t="n">
        <f aca="false">K89-K90+K91</f>
        <v>0</v>
      </c>
      <c r="L92" s="30" t="n">
        <f aca="false">L89-L90+L91</f>
        <v>0</v>
      </c>
      <c r="M92" s="30" t="n">
        <f aca="false">M89-M90+M91</f>
        <v>0</v>
      </c>
      <c r="N92" s="30" t="n">
        <f aca="false">N89-N90+N91</f>
        <v>0</v>
      </c>
    </row>
    <row r="93" customFormat="false" ht="15" hidden="false" customHeight="false" outlineLevel="0" collapsed="false">
      <c r="A93" s="57" t="str">
        <f aca="false">IF(Settings!$C$22="","",Settings!$C$22)</f>
        <v/>
      </c>
      <c r="B93" s="46" t="s">
        <v>172</v>
      </c>
      <c r="C93" s="44" t="n">
        <f aca="false">MAX(0,C92)</f>
        <v>0</v>
      </c>
      <c r="D93" s="44" t="n">
        <f aca="false">MAX(0,D92)</f>
        <v>0</v>
      </c>
      <c r="E93" s="44" t="n">
        <f aca="false">MAX(0,E92)</f>
        <v>0</v>
      </c>
      <c r="F93" s="44" t="n">
        <f aca="false">MAX(0,F92)</f>
        <v>0</v>
      </c>
      <c r="G93" s="44" t="n">
        <f aca="false">MAX(0,G92)</f>
        <v>0</v>
      </c>
      <c r="H93" s="44" t="n">
        <f aca="false">MAX(0,H92)</f>
        <v>0</v>
      </c>
      <c r="I93" s="44" t="n">
        <f aca="false">MAX(0,I92)</f>
        <v>0</v>
      </c>
      <c r="J93" s="44" t="n">
        <f aca="false">MAX(0,J92)</f>
        <v>0</v>
      </c>
      <c r="K93" s="44" t="n">
        <f aca="false">MAX(0,K92)</f>
        <v>0</v>
      </c>
      <c r="L93" s="44" t="n">
        <f aca="false">MAX(0,L92)</f>
        <v>0</v>
      </c>
      <c r="M93" s="44" t="n">
        <f aca="false">MAX(0,M92)</f>
        <v>0</v>
      </c>
      <c r="N93" s="44" t="n">
        <f aca="false">MAX(0,N92)</f>
        <v>0</v>
      </c>
      <c r="O93" s="44" t="n">
        <f aca="false">SUM(C93:N93)</f>
        <v>0</v>
      </c>
    </row>
    <row r="94" customFormat="false" ht="15" hidden="false" customHeight="false" outlineLevel="0" collapsed="false">
      <c r="A94" s="57" t="str">
        <f aca="false">IF(Settings!$C$22="","",Settings!$C$22)</f>
        <v/>
      </c>
      <c r="B94" s="39" t="s">
        <v>221</v>
      </c>
      <c r="C94" s="30" t="n">
        <f aca="false">IF(Settings!$J$22="No",MIN(0,C89+C91),MIN(0,C92))</f>
        <v>0</v>
      </c>
      <c r="D94" s="30" t="n">
        <f aca="false">IF(Settings!$J$22="No",MIN(0,D89+D91),MIN(0,D92))</f>
        <v>0</v>
      </c>
      <c r="E94" s="30" t="n">
        <f aca="false">IF(Settings!$J$22="No",MIN(0,E89+E91),MIN(0,E92))</f>
        <v>0</v>
      </c>
      <c r="F94" s="30" t="n">
        <f aca="false">IF(Settings!$J$22="No",MIN(0,F89+F91),MIN(0,F92))</f>
        <v>0</v>
      </c>
      <c r="G94" s="30" t="n">
        <f aca="false">IF(Settings!$J$22="No",MIN(0,G89+G91),MIN(0,G92))</f>
        <v>0</v>
      </c>
      <c r="H94" s="30" t="n">
        <f aca="false">IF(Settings!$J$22="No",MIN(0,H89+H91),MIN(0,H92))</f>
        <v>0</v>
      </c>
      <c r="I94" s="30" t="n">
        <f aca="false">IF(Settings!$J$22="No",MIN(0,I89+I91),MIN(0,I92))</f>
        <v>0</v>
      </c>
      <c r="J94" s="30" t="n">
        <f aca="false">IF(Settings!$J$22="No",MIN(0,J89+J91),MIN(0,J92))</f>
        <v>0</v>
      </c>
      <c r="K94" s="30" t="n">
        <f aca="false">IF(Settings!$J$22="No",MIN(0,K89+K91),MIN(0,K92))</f>
        <v>0</v>
      </c>
      <c r="L94" s="30" t="n">
        <f aca="false">IF(Settings!$J$22="No",MIN(0,L89+L91),MIN(0,L92))</f>
        <v>0</v>
      </c>
      <c r="M94" s="30" t="n">
        <f aca="false">IF(Settings!$J$22="No",MIN(0,M89+M91),MIN(0,M92))</f>
        <v>0</v>
      </c>
      <c r="N94" s="30" t="n">
        <f aca="false">IF(Settings!$J$22="No",MIN(0,N89+N91),MIN(0,N92))</f>
        <v>0</v>
      </c>
    </row>
    <row r="95" customFormat="false" ht="7.5" hidden="false" customHeight="true" outlineLevel="0" collapsed="false"/>
    <row r="96" customFormat="false" ht="15" hidden="false" customHeight="false" outlineLevel="0" collapsed="false">
      <c r="A96" s="46" t="str">
        <f aca="false">IF(Settings!$C$23="","",Settings!$C$23)</f>
        <v/>
      </c>
      <c r="B96" s="39" t="s">
        <v>215</v>
      </c>
      <c r="C96" s="30" t="n">
        <f aca="false">IF(Settings!$C$23="",0,SUMIFS(Deals!$I$6:$I$305,Deals!$A$6:$A$305,Settings!$C$23,Deals!$J$6:$J$305,1))</f>
        <v>0</v>
      </c>
      <c r="D96" s="30" t="n">
        <f aca="false">IF(Settings!$C$23="",0,SUMIFS(Deals!$I$6:$I$305,Deals!$A$6:$A$305,Settings!$C$23,Deals!$J$6:$J$305,2))</f>
        <v>0</v>
      </c>
      <c r="E96" s="30" t="n">
        <f aca="false">IF(Settings!$C$23="",0,SUMIFS(Deals!$I$6:$I$305,Deals!$A$6:$A$305,Settings!$C$23,Deals!$J$6:$J$305,3))</f>
        <v>0</v>
      </c>
      <c r="F96" s="30" t="n">
        <f aca="false">IF(Settings!$C$23="",0,SUMIFS(Deals!$I$6:$I$305,Deals!$A$6:$A$305,Settings!$C$23,Deals!$J$6:$J$305,4))</f>
        <v>0</v>
      </c>
      <c r="G96" s="30" t="n">
        <f aca="false">IF(Settings!$C$23="",0,SUMIFS(Deals!$I$6:$I$305,Deals!$A$6:$A$305,Settings!$C$23,Deals!$J$6:$J$305,5))</f>
        <v>0</v>
      </c>
      <c r="H96" s="30" t="n">
        <f aca="false">IF(Settings!$C$23="",0,SUMIFS(Deals!$I$6:$I$305,Deals!$A$6:$A$305,Settings!$C$23,Deals!$J$6:$J$305,6))</f>
        <v>0</v>
      </c>
      <c r="I96" s="30" t="n">
        <f aca="false">IF(Settings!$C$23="",0,SUMIFS(Deals!$I$6:$I$305,Deals!$A$6:$A$305,Settings!$C$23,Deals!$J$6:$J$305,7))</f>
        <v>0</v>
      </c>
      <c r="J96" s="30" t="n">
        <f aca="false">IF(Settings!$C$23="",0,SUMIFS(Deals!$I$6:$I$305,Deals!$A$6:$A$305,Settings!$C$23,Deals!$J$6:$J$305,8))</f>
        <v>0</v>
      </c>
      <c r="K96" s="30" t="n">
        <f aca="false">IF(Settings!$C$23="",0,SUMIFS(Deals!$I$6:$I$305,Deals!$A$6:$A$305,Settings!$C$23,Deals!$J$6:$J$305,9))</f>
        <v>0</v>
      </c>
      <c r="L96" s="30" t="n">
        <f aca="false">IF(Settings!$C$23="",0,SUMIFS(Deals!$I$6:$I$305,Deals!$A$6:$A$305,Settings!$C$23,Deals!$J$6:$J$305,10))</f>
        <v>0</v>
      </c>
      <c r="M96" s="30" t="n">
        <f aca="false">IF(Settings!$C$23="",0,SUMIFS(Deals!$I$6:$I$305,Deals!$A$6:$A$305,Settings!$C$23,Deals!$J$6:$J$305,11))</f>
        <v>0</v>
      </c>
      <c r="N96" s="30" t="n">
        <f aca="false">IF(Settings!$C$23="",0,SUMIFS(Deals!$I$6:$I$305,Deals!$A$6:$A$305,Settings!$C$23,Deals!$J$6:$J$305,12))</f>
        <v>0</v>
      </c>
      <c r="O96" s="44" t="n">
        <f aca="false">SUM(C96:N96)</f>
        <v>0</v>
      </c>
    </row>
    <row r="97" customFormat="false" ht="15" hidden="false" customHeight="false" outlineLevel="0" collapsed="false">
      <c r="A97" s="57" t="str">
        <f aca="false">IF(Settings!$C$23="","",Settings!$C$23)</f>
        <v/>
      </c>
      <c r="B97" s="39" t="s">
        <v>216</v>
      </c>
      <c r="C97" s="30" t="n">
        <f aca="false">IF(Settings!$C$23="",0,SUMIFS(Adjustments!$J$6:$J$105,Adjustments!$A$6:$A$105,Settings!$C$23,Adjustments!$L$6:$L$105,1))</f>
        <v>0</v>
      </c>
      <c r="D97" s="30" t="n">
        <f aca="false">IF(Settings!$C$23="",0,SUMIFS(Adjustments!$J$6:$J$105,Adjustments!$A$6:$A$105,Settings!$C$23,Adjustments!$L$6:$L$105,2))</f>
        <v>0</v>
      </c>
      <c r="E97" s="30" t="n">
        <f aca="false">IF(Settings!$C$23="",0,SUMIFS(Adjustments!$J$6:$J$105,Adjustments!$A$6:$A$105,Settings!$C$23,Adjustments!$L$6:$L$105,3))</f>
        <v>0</v>
      </c>
      <c r="F97" s="30" t="n">
        <f aca="false">IF(Settings!$C$23="",0,SUMIFS(Adjustments!$J$6:$J$105,Adjustments!$A$6:$A$105,Settings!$C$23,Adjustments!$L$6:$L$105,4))</f>
        <v>0</v>
      </c>
      <c r="G97" s="30" t="n">
        <f aca="false">IF(Settings!$C$23="",0,SUMIFS(Adjustments!$J$6:$J$105,Adjustments!$A$6:$A$105,Settings!$C$23,Adjustments!$L$6:$L$105,5))</f>
        <v>0</v>
      </c>
      <c r="H97" s="30" t="n">
        <f aca="false">IF(Settings!$C$23="",0,SUMIFS(Adjustments!$J$6:$J$105,Adjustments!$A$6:$A$105,Settings!$C$23,Adjustments!$L$6:$L$105,6))</f>
        <v>0</v>
      </c>
      <c r="I97" s="30" t="n">
        <f aca="false">IF(Settings!$C$23="",0,SUMIFS(Adjustments!$J$6:$J$105,Adjustments!$A$6:$A$105,Settings!$C$23,Adjustments!$L$6:$L$105,7))</f>
        <v>0</v>
      </c>
      <c r="J97" s="30" t="n">
        <f aca="false">IF(Settings!$C$23="",0,SUMIFS(Adjustments!$J$6:$J$105,Adjustments!$A$6:$A$105,Settings!$C$23,Adjustments!$L$6:$L$105,8))</f>
        <v>0</v>
      </c>
      <c r="K97" s="30" t="n">
        <f aca="false">IF(Settings!$C$23="",0,SUMIFS(Adjustments!$J$6:$J$105,Adjustments!$A$6:$A$105,Settings!$C$23,Adjustments!$L$6:$L$105,9))</f>
        <v>0</v>
      </c>
      <c r="L97" s="30" t="n">
        <f aca="false">IF(Settings!$C$23="",0,SUMIFS(Adjustments!$J$6:$J$105,Adjustments!$A$6:$A$105,Settings!$C$23,Adjustments!$L$6:$L$105,10))</f>
        <v>0</v>
      </c>
      <c r="M97" s="30" t="n">
        <f aca="false">IF(Settings!$C$23="",0,SUMIFS(Adjustments!$J$6:$J$105,Adjustments!$A$6:$A$105,Settings!$C$23,Adjustments!$L$6:$L$105,11))</f>
        <v>0</v>
      </c>
      <c r="N97" s="30" t="n">
        <f aca="false">IF(Settings!$C$23="",0,SUMIFS(Adjustments!$J$6:$J$105,Adjustments!$A$6:$A$105,Settings!$C$23,Adjustments!$L$6:$L$105,12))</f>
        <v>0</v>
      </c>
      <c r="O97" s="44" t="n">
        <f aca="false">SUM(C97:N97)</f>
        <v>0</v>
      </c>
    </row>
    <row r="98" customFormat="false" ht="15" hidden="false" customHeight="false" outlineLevel="0" collapsed="false">
      <c r="A98" s="57" t="str">
        <f aca="false">IF(Settings!$C$23="","",Settings!$C$23)</f>
        <v/>
      </c>
      <c r="B98" s="46" t="s">
        <v>217</v>
      </c>
      <c r="C98" s="30" t="n">
        <f aca="false">C96+C97</f>
        <v>0</v>
      </c>
      <c r="D98" s="30" t="n">
        <f aca="false">D96+D97</f>
        <v>0</v>
      </c>
      <c r="E98" s="30" t="n">
        <f aca="false">E96+E97</f>
        <v>0</v>
      </c>
      <c r="F98" s="30" t="n">
        <f aca="false">F96+F97</f>
        <v>0</v>
      </c>
      <c r="G98" s="30" t="n">
        <f aca="false">G96+G97</f>
        <v>0</v>
      </c>
      <c r="H98" s="30" t="n">
        <f aca="false">H96+H97</f>
        <v>0</v>
      </c>
      <c r="I98" s="30" t="n">
        <f aca="false">I96+I97</f>
        <v>0</v>
      </c>
      <c r="J98" s="30" t="n">
        <f aca="false">J96+J97</f>
        <v>0</v>
      </c>
      <c r="K98" s="30" t="n">
        <f aca="false">K96+K97</f>
        <v>0</v>
      </c>
      <c r="L98" s="30" t="n">
        <f aca="false">L96+L97</f>
        <v>0</v>
      </c>
      <c r="M98" s="30" t="n">
        <f aca="false">M96+M97</f>
        <v>0</v>
      </c>
      <c r="N98" s="30" t="n">
        <f aca="false">N96+N97</f>
        <v>0</v>
      </c>
      <c r="O98" s="44" t="n">
        <f aca="false">SUM(C98:N98)</f>
        <v>0</v>
      </c>
    </row>
    <row r="99" customFormat="false" ht="15" hidden="false" customHeight="false" outlineLevel="0" collapsed="false">
      <c r="A99" s="57" t="str">
        <f aca="false">IF(Settings!$C$23="","",Settings!$C$23)</f>
        <v/>
      </c>
      <c r="B99" s="39" t="s">
        <v>218</v>
      </c>
      <c r="C99" s="30" t="n">
        <f aca="false">IF(OR(Settings!$C$23="",N(Settings!$G$23)=0),0,IF(AND(1&gt;=IFERROR(MATCH(Settings!$H$23,Settings!$N$13:$N$24,0),1),1&lt;=IFERROR(MATCH(Settings!$I$23,Settings!$N$13:$N$24,0),12)),Settings!$G$23,0))</f>
        <v>0</v>
      </c>
      <c r="D99" s="30" t="n">
        <f aca="false">IF(OR(Settings!$C$23="",N(Settings!$G$23)=0),0,IF(AND(2&gt;=IFERROR(MATCH(Settings!$H$23,Settings!$N$13:$N$24,0),1),2&lt;=IFERROR(MATCH(Settings!$I$23,Settings!$N$13:$N$24,0),12)),Settings!$G$23,0))</f>
        <v>0</v>
      </c>
      <c r="E99" s="30" t="n">
        <f aca="false">IF(OR(Settings!$C$23="",N(Settings!$G$23)=0),0,IF(AND(3&gt;=IFERROR(MATCH(Settings!$H$23,Settings!$N$13:$N$24,0),1),3&lt;=IFERROR(MATCH(Settings!$I$23,Settings!$N$13:$N$24,0),12)),Settings!$G$23,0))</f>
        <v>0</v>
      </c>
      <c r="F99" s="30" t="n">
        <f aca="false">IF(OR(Settings!$C$23="",N(Settings!$G$23)=0),0,IF(AND(4&gt;=IFERROR(MATCH(Settings!$H$23,Settings!$N$13:$N$24,0),1),4&lt;=IFERROR(MATCH(Settings!$I$23,Settings!$N$13:$N$24,0),12)),Settings!$G$23,0))</f>
        <v>0</v>
      </c>
      <c r="G99" s="30" t="n">
        <f aca="false">IF(OR(Settings!$C$23="",N(Settings!$G$23)=0),0,IF(AND(5&gt;=IFERROR(MATCH(Settings!$H$23,Settings!$N$13:$N$24,0),1),5&lt;=IFERROR(MATCH(Settings!$I$23,Settings!$N$13:$N$24,0),12)),Settings!$G$23,0))</f>
        <v>0</v>
      </c>
      <c r="H99" s="30" t="n">
        <f aca="false">IF(OR(Settings!$C$23="",N(Settings!$G$23)=0),0,IF(AND(6&gt;=IFERROR(MATCH(Settings!$H$23,Settings!$N$13:$N$24,0),1),6&lt;=IFERROR(MATCH(Settings!$I$23,Settings!$N$13:$N$24,0),12)),Settings!$G$23,0))</f>
        <v>0</v>
      </c>
      <c r="I99" s="30" t="n">
        <f aca="false">IF(OR(Settings!$C$23="",N(Settings!$G$23)=0),0,IF(AND(7&gt;=IFERROR(MATCH(Settings!$H$23,Settings!$N$13:$N$24,0),1),7&lt;=IFERROR(MATCH(Settings!$I$23,Settings!$N$13:$N$24,0),12)),Settings!$G$23,0))</f>
        <v>0</v>
      </c>
      <c r="J99" s="30" t="n">
        <f aca="false">IF(OR(Settings!$C$23="",N(Settings!$G$23)=0),0,IF(AND(8&gt;=IFERROR(MATCH(Settings!$H$23,Settings!$N$13:$N$24,0),1),8&lt;=IFERROR(MATCH(Settings!$I$23,Settings!$N$13:$N$24,0),12)),Settings!$G$23,0))</f>
        <v>0</v>
      </c>
      <c r="K99" s="30" t="n">
        <f aca="false">IF(OR(Settings!$C$23="",N(Settings!$G$23)=0),0,IF(AND(9&gt;=IFERROR(MATCH(Settings!$H$23,Settings!$N$13:$N$24,0),1),9&lt;=IFERROR(MATCH(Settings!$I$23,Settings!$N$13:$N$24,0),12)),Settings!$G$23,0))</f>
        <v>0</v>
      </c>
      <c r="L99" s="30" t="n">
        <f aca="false">IF(OR(Settings!$C$23="",N(Settings!$G$23)=0),0,IF(AND(10&gt;=IFERROR(MATCH(Settings!$H$23,Settings!$N$13:$N$24,0),1),10&lt;=IFERROR(MATCH(Settings!$I$23,Settings!$N$13:$N$24,0),12)),Settings!$G$23,0))</f>
        <v>0</v>
      </c>
      <c r="M99" s="30" t="n">
        <f aca="false">IF(OR(Settings!$C$23="",N(Settings!$G$23)=0),0,IF(AND(11&gt;=IFERROR(MATCH(Settings!$H$23,Settings!$N$13:$N$24,0),1),11&lt;=IFERROR(MATCH(Settings!$I$23,Settings!$N$13:$N$24,0),12)),Settings!$G$23,0))</f>
        <v>0</v>
      </c>
      <c r="N99" s="30" t="n">
        <f aca="false">IF(OR(Settings!$C$23="",N(Settings!$G$23)=0),0,IF(AND(12&gt;=IFERROR(MATCH(Settings!$H$23,Settings!$N$13:$N$24,0),1),12&lt;=IFERROR(MATCH(Settings!$I$23,Settings!$N$13:$N$24,0),12)),Settings!$G$23,0))</f>
        <v>0</v>
      </c>
      <c r="O99" s="44" t="n">
        <f aca="false">SUM(C99:N99)</f>
        <v>0</v>
      </c>
    </row>
    <row r="100" customFormat="false" ht="15" hidden="false" customHeight="false" outlineLevel="0" collapsed="false">
      <c r="A100" s="57" t="str">
        <f aca="false">IF(Settings!$C$23="","",Settings!$C$23)</f>
        <v/>
      </c>
      <c r="B100" s="39" t="s">
        <v>219</v>
      </c>
      <c r="C100" s="30" t="n">
        <f aca="false">IF(ISNUMBER(Settings!$K$23),MIN(0,Settings!$K$23),0)</f>
        <v>0</v>
      </c>
      <c r="D100" s="30" t="n">
        <f aca="false">C103</f>
        <v>0</v>
      </c>
      <c r="E100" s="30" t="n">
        <f aca="false">D103</f>
        <v>0</v>
      </c>
      <c r="F100" s="30" t="n">
        <f aca="false">E103</f>
        <v>0</v>
      </c>
      <c r="G100" s="30" t="n">
        <f aca="false">F103</f>
        <v>0</v>
      </c>
      <c r="H100" s="30" t="n">
        <f aca="false">G103</f>
        <v>0</v>
      </c>
      <c r="I100" s="30" t="n">
        <f aca="false">H103</f>
        <v>0</v>
      </c>
      <c r="J100" s="30" t="n">
        <f aca="false">I103</f>
        <v>0</v>
      </c>
      <c r="K100" s="30" t="n">
        <f aca="false">J103</f>
        <v>0</v>
      </c>
      <c r="L100" s="30" t="n">
        <f aca="false">K103</f>
        <v>0</v>
      </c>
      <c r="M100" s="30" t="n">
        <f aca="false">L103</f>
        <v>0</v>
      </c>
      <c r="N100" s="30" t="n">
        <f aca="false">M103</f>
        <v>0</v>
      </c>
    </row>
    <row r="101" customFormat="false" ht="15" hidden="false" customHeight="false" outlineLevel="0" collapsed="false">
      <c r="A101" s="57" t="str">
        <f aca="false">IF(Settings!$C$23="","",Settings!$C$23)</f>
        <v/>
      </c>
      <c r="B101" s="39" t="s">
        <v>220</v>
      </c>
      <c r="C101" s="30" t="n">
        <f aca="false">C98-C99+C100</f>
        <v>0</v>
      </c>
      <c r="D101" s="30" t="n">
        <f aca="false">D98-D99+D100</f>
        <v>0</v>
      </c>
      <c r="E101" s="30" t="n">
        <f aca="false">E98-E99+E100</f>
        <v>0</v>
      </c>
      <c r="F101" s="30" t="n">
        <f aca="false">F98-F99+F100</f>
        <v>0</v>
      </c>
      <c r="G101" s="30" t="n">
        <f aca="false">G98-G99+G100</f>
        <v>0</v>
      </c>
      <c r="H101" s="30" t="n">
        <f aca="false">H98-H99+H100</f>
        <v>0</v>
      </c>
      <c r="I101" s="30" t="n">
        <f aca="false">I98-I99+I100</f>
        <v>0</v>
      </c>
      <c r="J101" s="30" t="n">
        <f aca="false">J98-J99+J100</f>
        <v>0</v>
      </c>
      <c r="K101" s="30" t="n">
        <f aca="false">K98-K99+K100</f>
        <v>0</v>
      </c>
      <c r="L101" s="30" t="n">
        <f aca="false">L98-L99+L100</f>
        <v>0</v>
      </c>
      <c r="M101" s="30" t="n">
        <f aca="false">M98-M99+M100</f>
        <v>0</v>
      </c>
      <c r="N101" s="30" t="n">
        <f aca="false">N98-N99+N100</f>
        <v>0</v>
      </c>
    </row>
    <row r="102" customFormat="false" ht="15" hidden="false" customHeight="false" outlineLevel="0" collapsed="false">
      <c r="A102" s="57" t="str">
        <f aca="false">IF(Settings!$C$23="","",Settings!$C$23)</f>
        <v/>
      </c>
      <c r="B102" s="46" t="s">
        <v>172</v>
      </c>
      <c r="C102" s="44" t="n">
        <f aca="false">MAX(0,C101)</f>
        <v>0</v>
      </c>
      <c r="D102" s="44" t="n">
        <f aca="false">MAX(0,D101)</f>
        <v>0</v>
      </c>
      <c r="E102" s="44" t="n">
        <f aca="false">MAX(0,E101)</f>
        <v>0</v>
      </c>
      <c r="F102" s="44" t="n">
        <f aca="false">MAX(0,F101)</f>
        <v>0</v>
      </c>
      <c r="G102" s="44" t="n">
        <f aca="false">MAX(0,G101)</f>
        <v>0</v>
      </c>
      <c r="H102" s="44" t="n">
        <f aca="false">MAX(0,H101)</f>
        <v>0</v>
      </c>
      <c r="I102" s="44" t="n">
        <f aca="false">MAX(0,I101)</f>
        <v>0</v>
      </c>
      <c r="J102" s="44" t="n">
        <f aca="false">MAX(0,J101)</f>
        <v>0</v>
      </c>
      <c r="K102" s="44" t="n">
        <f aca="false">MAX(0,K101)</f>
        <v>0</v>
      </c>
      <c r="L102" s="44" t="n">
        <f aca="false">MAX(0,L101)</f>
        <v>0</v>
      </c>
      <c r="M102" s="44" t="n">
        <f aca="false">MAX(0,M101)</f>
        <v>0</v>
      </c>
      <c r="N102" s="44" t="n">
        <f aca="false">MAX(0,N101)</f>
        <v>0</v>
      </c>
      <c r="O102" s="44" t="n">
        <f aca="false">SUM(C102:N102)</f>
        <v>0</v>
      </c>
    </row>
    <row r="103" customFormat="false" ht="15" hidden="false" customHeight="false" outlineLevel="0" collapsed="false">
      <c r="A103" s="57" t="str">
        <f aca="false">IF(Settings!$C$23="","",Settings!$C$23)</f>
        <v/>
      </c>
      <c r="B103" s="39" t="s">
        <v>221</v>
      </c>
      <c r="C103" s="30" t="n">
        <f aca="false">IF(Settings!$J$23="No",MIN(0,C98+C100),MIN(0,C101))</f>
        <v>0</v>
      </c>
      <c r="D103" s="30" t="n">
        <f aca="false">IF(Settings!$J$23="No",MIN(0,D98+D100),MIN(0,D101))</f>
        <v>0</v>
      </c>
      <c r="E103" s="30" t="n">
        <f aca="false">IF(Settings!$J$23="No",MIN(0,E98+E100),MIN(0,E101))</f>
        <v>0</v>
      </c>
      <c r="F103" s="30" t="n">
        <f aca="false">IF(Settings!$J$23="No",MIN(0,F98+F100),MIN(0,F101))</f>
        <v>0</v>
      </c>
      <c r="G103" s="30" t="n">
        <f aca="false">IF(Settings!$J$23="No",MIN(0,G98+G100),MIN(0,G101))</f>
        <v>0</v>
      </c>
      <c r="H103" s="30" t="n">
        <f aca="false">IF(Settings!$J$23="No",MIN(0,H98+H100),MIN(0,H101))</f>
        <v>0</v>
      </c>
      <c r="I103" s="30" t="n">
        <f aca="false">IF(Settings!$J$23="No",MIN(0,I98+I100),MIN(0,I101))</f>
        <v>0</v>
      </c>
      <c r="J103" s="30" t="n">
        <f aca="false">IF(Settings!$J$23="No",MIN(0,J98+J100),MIN(0,J101))</f>
        <v>0</v>
      </c>
      <c r="K103" s="30" t="n">
        <f aca="false">IF(Settings!$J$23="No",MIN(0,K98+K100),MIN(0,K101))</f>
        <v>0</v>
      </c>
      <c r="L103" s="30" t="n">
        <f aca="false">IF(Settings!$J$23="No",MIN(0,L98+L100),MIN(0,L101))</f>
        <v>0</v>
      </c>
      <c r="M103" s="30" t="n">
        <f aca="false">IF(Settings!$J$23="No",MIN(0,M98+M100),MIN(0,M101))</f>
        <v>0</v>
      </c>
      <c r="N103" s="30" t="n">
        <f aca="false">IF(Settings!$J$23="No",MIN(0,N98+N100),MIN(0,N101))</f>
        <v>0</v>
      </c>
    </row>
    <row r="104" customFormat="false" ht="7.5" hidden="false" customHeight="true" outlineLevel="0" collapsed="false"/>
    <row r="105" customFormat="false" ht="15" hidden="false" customHeight="false" outlineLevel="0" collapsed="false">
      <c r="A105" s="46" t="str">
        <f aca="false">IF(Settings!$C$24="","",Settings!$C$24)</f>
        <v/>
      </c>
      <c r="B105" s="39" t="s">
        <v>215</v>
      </c>
      <c r="C105" s="30" t="n">
        <f aca="false">IF(Settings!$C$24="",0,SUMIFS(Deals!$I$6:$I$305,Deals!$A$6:$A$305,Settings!$C$24,Deals!$J$6:$J$305,1))</f>
        <v>0</v>
      </c>
      <c r="D105" s="30" t="n">
        <f aca="false">IF(Settings!$C$24="",0,SUMIFS(Deals!$I$6:$I$305,Deals!$A$6:$A$305,Settings!$C$24,Deals!$J$6:$J$305,2))</f>
        <v>0</v>
      </c>
      <c r="E105" s="30" t="n">
        <f aca="false">IF(Settings!$C$24="",0,SUMIFS(Deals!$I$6:$I$305,Deals!$A$6:$A$305,Settings!$C$24,Deals!$J$6:$J$305,3))</f>
        <v>0</v>
      </c>
      <c r="F105" s="30" t="n">
        <f aca="false">IF(Settings!$C$24="",0,SUMIFS(Deals!$I$6:$I$305,Deals!$A$6:$A$305,Settings!$C$24,Deals!$J$6:$J$305,4))</f>
        <v>0</v>
      </c>
      <c r="G105" s="30" t="n">
        <f aca="false">IF(Settings!$C$24="",0,SUMIFS(Deals!$I$6:$I$305,Deals!$A$6:$A$305,Settings!$C$24,Deals!$J$6:$J$305,5))</f>
        <v>0</v>
      </c>
      <c r="H105" s="30" t="n">
        <f aca="false">IF(Settings!$C$24="",0,SUMIFS(Deals!$I$6:$I$305,Deals!$A$6:$A$305,Settings!$C$24,Deals!$J$6:$J$305,6))</f>
        <v>0</v>
      </c>
      <c r="I105" s="30" t="n">
        <f aca="false">IF(Settings!$C$24="",0,SUMIFS(Deals!$I$6:$I$305,Deals!$A$6:$A$305,Settings!$C$24,Deals!$J$6:$J$305,7))</f>
        <v>0</v>
      </c>
      <c r="J105" s="30" t="n">
        <f aca="false">IF(Settings!$C$24="",0,SUMIFS(Deals!$I$6:$I$305,Deals!$A$6:$A$305,Settings!$C$24,Deals!$J$6:$J$305,8))</f>
        <v>0</v>
      </c>
      <c r="K105" s="30" t="n">
        <f aca="false">IF(Settings!$C$24="",0,SUMIFS(Deals!$I$6:$I$305,Deals!$A$6:$A$305,Settings!$C$24,Deals!$J$6:$J$305,9))</f>
        <v>0</v>
      </c>
      <c r="L105" s="30" t="n">
        <f aca="false">IF(Settings!$C$24="",0,SUMIFS(Deals!$I$6:$I$305,Deals!$A$6:$A$305,Settings!$C$24,Deals!$J$6:$J$305,10))</f>
        <v>0</v>
      </c>
      <c r="M105" s="30" t="n">
        <f aca="false">IF(Settings!$C$24="",0,SUMIFS(Deals!$I$6:$I$305,Deals!$A$6:$A$305,Settings!$C$24,Deals!$J$6:$J$305,11))</f>
        <v>0</v>
      </c>
      <c r="N105" s="30" t="n">
        <f aca="false">IF(Settings!$C$24="",0,SUMIFS(Deals!$I$6:$I$305,Deals!$A$6:$A$305,Settings!$C$24,Deals!$J$6:$J$305,12))</f>
        <v>0</v>
      </c>
      <c r="O105" s="44" t="n">
        <f aca="false">SUM(C105:N105)</f>
        <v>0</v>
      </c>
    </row>
    <row r="106" customFormat="false" ht="15" hidden="false" customHeight="false" outlineLevel="0" collapsed="false">
      <c r="A106" s="57" t="str">
        <f aca="false">IF(Settings!$C$24="","",Settings!$C$24)</f>
        <v/>
      </c>
      <c r="B106" s="39" t="s">
        <v>216</v>
      </c>
      <c r="C106" s="30" t="n">
        <f aca="false">IF(Settings!$C$24="",0,SUMIFS(Adjustments!$J$6:$J$105,Adjustments!$A$6:$A$105,Settings!$C$24,Adjustments!$L$6:$L$105,1))</f>
        <v>0</v>
      </c>
      <c r="D106" s="30" t="n">
        <f aca="false">IF(Settings!$C$24="",0,SUMIFS(Adjustments!$J$6:$J$105,Adjustments!$A$6:$A$105,Settings!$C$24,Adjustments!$L$6:$L$105,2))</f>
        <v>0</v>
      </c>
      <c r="E106" s="30" t="n">
        <f aca="false">IF(Settings!$C$24="",0,SUMIFS(Adjustments!$J$6:$J$105,Adjustments!$A$6:$A$105,Settings!$C$24,Adjustments!$L$6:$L$105,3))</f>
        <v>0</v>
      </c>
      <c r="F106" s="30" t="n">
        <f aca="false">IF(Settings!$C$24="",0,SUMIFS(Adjustments!$J$6:$J$105,Adjustments!$A$6:$A$105,Settings!$C$24,Adjustments!$L$6:$L$105,4))</f>
        <v>0</v>
      </c>
      <c r="G106" s="30" t="n">
        <f aca="false">IF(Settings!$C$24="",0,SUMIFS(Adjustments!$J$6:$J$105,Adjustments!$A$6:$A$105,Settings!$C$24,Adjustments!$L$6:$L$105,5))</f>
        <v>0</v>
      </c>
      <c r="H106" s="30" t="n">
        <f aca="false">IF(Settings!$C$24="",0,SUMIFS(Adjustments!$J$6:$J$105,Adjustments!$A$6:$A$105,Settings!$C$24,Adjustments!$L$6:$L$105,6))</f>
        <v>0</v>
      </c>
      <c r="I106" s="30" t="n">
        <f aca="false">IF(Settings!$C$24="",0,SUMIFS(Adjustments!$J$6:$J$105,Adjustments!$A$6:$A$105,Settings!$C$24,Adjustments!$L$6:$L$105,7))</f>
        <v>0</v>
      </c>
      <c r="J106" s="30" t="n">
        <f aca="false">IF(Settings!$C$24="",0,SUMIFS(Adjustments!$J$6:$J$105,Adjustments!$A$6:$A$105,Settings!$C$24,Adjustments!$L$6:$L$105,8))</f>
        <v>0</v>
      </c>
      <c r="K106" s="30" t="n">
        <f aca="false">IF(Settings!$C$24="",0,SUMIFS(Adjustments!$J$6:$J$105,Adjustments!$A$6:$A$105,Settings!$C$24,Adjustments!$L$6:$L$105,9))</f>
        <v>0</v>
      </c>
      <c r="L106" s="30" t="n">
        <f aca="false">IF(Settings!$C$24="",0,SUMIFS(Adjustments!$J$6:$J$105,Adjustments!$A$6:$A$105,Settings!$C$24,Adjustments!$L$6:$L$105,10))</f>
        <v>0</v>
      </c>
      <c r="M106" s="30" t="n">
        <f aca="false">IF(Settings!$C$24="",0,SUMIFS(Adjustments!$J$6:$J$105,Adjustments!$A$6:$A$105,Settings!$C$24,Adjustments!$L$6:$L$105,11))</f>
        <v>0</v>
      </c>
      <c r="N106" s="30" t="n">
        <f aca="false">IF(Settings!$C$24="",0,SUMIFS(Adjustments!$J$6:$J$105,Adjustments!$A$6:$A$105,Settings!$C$24,Adjustments!$L$6:$L$105,12))</f>
        <v>0</v>
      </c>
      <c r="O106" s="44" t="n">
        <f aca="false">SUM(C106:N106)</f>
        <v>0</v>
      </c>
    </row>
    <row r="107" customFormat="false" ht="15" hidden="false" customHeight="false" outlineLevel="0" collapsed="false">
      <c r="A107" s="57" t="str">
        <f aca="false">IF(Settings!$C$24="","",Settings!$C$24)</f>
        <v/>
      </c>
      <c r="B107" s="46" t="s">
        <v>217</v>
      </c>
      <c r="C107" s="30" t="n">
        <f aca="false">C105+C106</f>
        <v>0</v>
      </c>
      <c r="D107" s="30" t="n">
        <f aca="false">D105+D106</f>
        <v>0</v>
      </c>
      <c r="E107" s="30" t="n">
        <f aca="false">E105+E106</f>
        <v>0</v>
      </c>
      <c r="F107" s="30" t="n">
        <f aca="false">F105+F106</f>
        <v>0</v>
      </c>
      <c r="G107" s="30" t="n">
        <f aca="false">G105+G106</f>
        <v>0</v>
      </c>
      <c r="H107" s="30" t="n">
        <f aca="false">H105+H106</f>
        <v>0</v>
      </c>
      <c r="I107" s="30" t="n">
        <f aca="false">I105+I106</f>
        <v>0</v>
      </c>
      <c r="J107" s="30" t="n">
        <f aca="false">J105+J106</f>
        <v>0</v>
      </c>
      <c r="K107" s="30" t="n">
        <f aca="false">K105+K106</f>
        <v>0</v>
      </c>
      <c r="L107" s="30" t="n">
        <f aca="false">L105+L106</f>
        <v>0</v>
      </c>
      <c r="M107" s="30" t="n">
        <f aca="false">M105+M106</f>
        <v>0</v>
      </c>
      <c r="N107" s="30" t="n">
        <f aca="false">N105+N106</f>
        <v>0</v>
      </c>
      <c r="O107" s="44" t="n">
        <f aca="false">SUM(C107:N107)</f>
        <v>0</v>
      </c>
    </row>
    <row r="108" customFormat="false" ht="15" hidden="false" customHeight="false" outlineLevel="0" collapsed="false">
      <c r="A108" s="57" t="str">
        <f aca="false">IF(Settings!$C$24="","",Settings!$C$24)</f>
        <v/>
      </c>
      <c r="B108" s="39" t="s">
        <v>218</v>
      </c>
      <c r="C108" s="30" t="n">
        <f aca="false">IF(OR(Settings!$C$24="",N(Settings!$G$24)=0),0,IF(AND(1&gt;=IFERROR(MATCH(Settings!$H$24,Settings!$N$13:$N$24,0),1),1&lt;=IFERROR(MATCH(Settings!$I$24,Settings!$N$13:$N$24,0),12)),Settings!$G$24,0))</f>
        <v>0</v>
      </c>
      <c r="D108" s="30" t="n">
        <f aca="false">IF(OR(Settings!$C$24="",N(Settings!$G$24)=0),0,IF(AND(2&gt;=IFERROR(MATCH(Settings!$H$24,Settings!$N$13:$N$24,0),1),2&lt;=IFERROR(MATCH(Settings!$I$24,Settings!$N$13:$N$24,0),12)),Settings!$G$24,0))</f>
        <v>0</v>
      </c>
      <c r="E108" s="30" t="n">
        <f aca="false">IF(OR(Settings!$C$24="",N(Settings!$G$24)=0),0,IF(AND(3&gt;=IFERROR(MATCH(Settings!$H$24,Settings!$N$13:$N$24,0),1),3&lt;=IFERROR(MATCH(Settings!$I$24,Settings!$N$13:$N$24,0),12)),Settings!$G$24,0))</f>
        <v>0</v>
      </c>
      <c r="F108" s="30" t="n">
        <f aca="false">IF(OR(Settings!$C$24="",N(Settings!$G$24)=0),0,IF(AND(4&gt;=IFERROR(MATCH(Settings!$H$24,Settings!$N$13:$N$24,0),1),4&lt;=IFERROR(MATCH(Settings!$I$24,Settings!$N$13:$N$24,0),12)),Settings!$G$24,0))</f>
        <v>0</v>
      </c>
      <c r="G108" s="30" t="n">
        <f aca="false">IF(OR(Settings!$C$24="",N(Settings!$G$24)=0),0,IF(AND(5&gt;=IFERROR(MATCH(Settings!$H$24,Settings!$N$13:$N$24,0),1),5&lt;=IFERROR(MATCH(Settings!$I$24,Settings!$N$13:$N$24,0),12)),Settings!$G$24,0))</f>
        <v>0</v>
      </c>
      <c r="H108" s="30" t="n">
        <f aca="false">IF(OR(Settings!$C$24="",N(Settings!$G$24)=0),0,IF(AND(6&gt;=IFERROR(MATCH(Settings!$H$24,Settings!$N$13:$N$24,0),1),6&lt;=IFERROR(MATCH(Settings!$I$24,Settings!$N$13:$N$24,0),12)),Settings!$G$24,0))</f>
        <v>0</v>
      </c>
      <c r="I108" s="30" t="n">
        <f aca="false">IF(OR(Settings!$C$24="",N(Settings!$G$24)=0),0,IF(AND(7&gt;=IFERROR(MATCH(Settings!$H$24,Settings!$N$13:$N$24,0),1),7&lt;=IFERROR(MATCH(Settings!$I$24,Settings!$N$13:$N$24,0),12)),Settings!$G$24,0))</f>
        <v>0</v>
      </c>
      <c r="J108" s="30" t="n">
        <f aca="false">IF(OR(Settings!$C$24="",N(Settings!$G$24)=0),0,IF(AND(8&gt;=IFERROR(MATCH(Settings!$H$24,Settings!$N$13:$N$24,0),1),8&lt;=IFERROR(MATCH(Settings!$I$24,Settings!$N$13:$N$24,0),12)),Settings!$G$24,0))</f>
        <v>0</v>
      </c>
      <c r="K108" s="30" t="n">
        <f aca="false">IF(OR(Settings!$C$24="",N(Settings!$G$24)=0),0,IF(AND(9&gt;=IFERROR(MATCH(Settings!$H$24,Settings!$N$13:$N$24,0),1),9&lt;=IFERROR(MATCH(Settings!$I$24,Settings!$N$13:$N$24,0),12)),Settings!$G$24,0))</f>
        <v>0</v>
      </c>
      <c r="L108" s="30" t="n">
        <f aca="false">IF(OR(Settings!$C$24="",N(Settings!$G$24)=0),0,IF(AND(10&gt;=IFERROR(MATCH(Settings!$H$24,Settings!$N$13:$N$24,0),1),10&lt;=IFERROR(MATCH(Settings!$I$24,Settings!$N$13:$N$24,0),12)),Settings!$G$24,0))</f>
        <v>0</v>
      </c>
      <c r="M108" s="30" t="n">
        <f aca="false">IF(OR(Settings!$C$24="",N(Settings!$G$24)=0),0,IF(AND(11&gt;=IFERROR(MATCH(Settings!$H$24,Settings!$N$13:$N$24,0),1),11&lt;=IFERROR(MATCH(Settings!$I$24,Settings!$N$13:$N$24,0),12)),Settings!$G$24,0))</f>
        <v>0</v>
      </c>
      <c r="N108" s="30" t="n">
        <f aca="false">IF(OR(Settings!$C$24="",N(Settings!$G$24)=0),0,IF(AND(12&gt;=IFERROR(MATCH(Settings!$H$24,Settings!$N$13:$N$24,0),1),12&lt;=IFERROR(MATCH(Settings!$I$24,Settings!$N$13:$N$24,0),12)),Settings!$G$24,0))</f>
        <v>0</v>
      </c>
      <c r="O108" s="44" t="n">
        <f aca="false">SUM(C108:N108)</f>
        <v>0</v>
      </c>
    </row>
    <row r="109" customFormat="false" ht="15" hidden="false" customHeight="false" outlineLevel="0" collapsed="false">
      <c r="A109" s="57" t="str">
        <f aca="false">IF(Settings!$C$24="","",Settings!$C$24)</f>
        <v/>
      </c>
      <c r="B109" s="39" t="s">
        <v>219</v>
      </c>
      <c r="C109" s="30" t="n">
        <f aca="false">IF(ISNUMBER(Settings!$K$24),MIN(0,Settings!$K$24),0)</f>
        <v>0</v>
      </c>
      <c r="D109" s="30" t="n">
        <f aca="false">C112</f>
        <v>0</v>
      </c>
      <c r="E109" s="30" t="n">
        <f aca="false">D112</f>
        <v>0</v>
      </c>
      <c r="F109" s="30" t="n">
        <f aca="false">E112</f>
        <v>0</v>
      </c>
      <c r="G109" s="30" t="n">
        <f aca="false">F112</f>
        <v>0</v>
      </c>
      <c r="H109" s="30" t="n">
        <f aca="false">G112</f>
        <v>0</v>
      </c>
      <c r="I109" s="30" t="n">
        <f aca="false">H112</f>
        <v>0</v>
      </c>
      <c r="J109" s="30" t="n">
        <f aca="false">I112</f>
        <v>0</v>
      </c>
      <c r="K109" s="30" t="n">
        <f aca="false">J112</f>
        <v>0</v>
      </c>
      <c r="L109" s="30" t="n">
        <f aca="false">K112</f>
        <v>0</v>
      </c>
      <c r="M109" s="30" t="n">
        <f aca="false">L112</f>
        <v>0</v>
      </c>
      <c r="N109" s="30" t="n">
        <f aca="false">M112</f>
        <v>0</v>
      </c>
    </row>
    <row r="110" customFormat="false" ht="15" hidden="false" customHeight="false" outlineLevel="0" collapsed="false">
      <c r="A110" s="57" t="str">
        <f aca="false">IF(Settings!$C$24="","",Settings!$C$24)</f>
        <v/>
      </c>
      <c r="B110" s="39" t="s">
        <v>220</v>
      </c>
      <c r="C110" s="30" t="n">
        <f aca="false">C107-C108+C109</f>
        <v>0</v>
      </c>
      <c r="D110" s="30" t="n">
        <f aca="false">D107-D108+D109</f>
        <v>0</v>
      </c>
      <c r="E110" s="30" t="n">
        <f aca="false">E107-E108+E109</f>
        <v>0</v>
      </c>
      <c r="F110" s="30" t="n">
        <f aca="false">F107-F108+F109</f>
        <v>0</v>
      </c>
      <c r="G110" s="30" t="n">
        <f aca="false">G107-G108+G109</f>
        <v>0</v>
      </c>
      <c r="H110" s="30" t="n">
        <f aca="false">H107-H108+H109</f>
        <v>0</v>
      </c>
      <c r="I110" s="30" t="n">
        <f aca="false">I107-I108+I109</f>
        <v>0</v>
      </c>
      <c r="J110" s="30" t="n">
        <f aca="false">J107-J108+J109</f>
        <v>0</v>
      </c>
      <c r="K110" s="30" t="n">
        <f aca="false">K107-K108+K109</f>
        <v>0</v>
      </c>
      <c r="L110" s="30" t="n">
        <f aca="false">L107-L108+L109</f>
        <v>0</v>
      </c>
      <c r="M110" s="30" t="n">
        <f aca="false">M107-M108+M109</f>
        <v>0</v>
      </c>
      <c r="N110" s="30" t="n">
        <f aca="false">N107-N108+N109</f>
        <v>0</v>
      </c>
    </row>
    <row r="111" customFormat="false" ht="15" hidden="false" customHeight="false" outlineLevel="0" collapsed="false">
      <c r="A111" s="57" t="str">
        <f aca="false">IF(Settings!$C$24="","",Settings!$C$24)</f>
        <v/>
      </c>
      <c r="B111" s="46" t="s">
        <v>172</v>
      </c>
      <c r="C111" s="44" t="n">
        <f aca="false">MAX(0,C110)</f>
        <v>0</v>
      </c>
      <c r="D111" s="44" t="n">
        <f aca="false">MAX(0,D110)</f>
        <v>0</v>
      </c>
      <c r="E111" s="44" t="n">
        <f aca="false">MAX(0,E110)</f>
        <v>0</v>
      </c>
      <c r="F111" s="44" t="n">
        <f aca="false">MAX(0,F110)</f>
        <v>0</v>
      </c>
      <c r="G111" s="44" t="n">
        <f aca="false">MAX(0,G110)</f>
        <v>0</v>
      </c>
      <c r="H111" s="44" t="n">
        <f aca="false">MAX(0,H110)</f>
        <v>0</v>
      </c>
      <c r="I111" s="44" t="n">
        <f aca="false">MAX(0,I110)</f>
        <v>0</v>
      </c>
      <c r="J111" s="44" t="n">
        <f aca="false">MAX(0,J110)</f>
        <v>0</v>
      </c>
      <c r="K111" s="44" t="n">
        <f aca="false">MAX(0,K110)</f>
        <v>0</v>
      </c>
      <c r="L111" s="44" t="n">
        <f aca="false">MAX(0,L110)</f>
        <v>0</v>
      </c>
      <c r="M111" s="44" t="n">
        <f aca="false">MAX(0,M110)</f>
        <v>0</v>
      </c>
      <c r="N111" s="44" t="n">
        <f aca="false">MAX(0,N110)</f>
        <v>0</v>
      </c>
      <c r="O111" s="44" t="n">
        <f aca="false">SUM(C111:N111)</f>
        <v>0</v>
      </c>
    </row>
    <row r="112" customFormat="false" ht="15" hidden="false" customHeight="false" outlineLevel="0" collapsed="false">
      <c r="A112" s="57" t="str">
        <f aca="false">IF(Settings!$C$24="","",Settings!$C$24)</f>
        <v/>
      </c>
      <c r="B112" s="39" t="s">
        <v>221</v>
      </c>
      <c r="C112" s="30" t="n">
        <f aca="false">IF(Settings!$J$24="No",MIN(0,C107+C109),MIN(0,C110))</f>
        <v>0</v>
      </c>
      <c r="D112" s="30" t="n">
        <f aca="false">IF(Settings!$J$24="No",MIN(0,D107+D109),MIN(0,D110))</f>
        <v>0</v>
      </c>
      <c r="E112" s="30" t="n">
        <f aca="false">IF(Settings!$J$24="No",MIN(0,E107+E109),MIN(0,E110))</f>
        <v>0</v>
      </c>
      <c r="F112" s="30" t="n">
        <f aca="false">IF(Settings!$J$24="No",MIN(0,F107+F109),MIN(0,F110))</f>
        <v>0</v>
      </c>
      <c r="G112" s="30" t="n">
        <f aca="false">IF(Settings!$J$24="No",MIN(0,G107+G109),MIN(0,G110))</f>
        <v>0</v>
      </c>
      <c r="H112" s="30" t="n">
        <f aca="false">IF(Settings!$J$24="No",MIN(0,H107+H109),MIN(0,H110))</f>
        <v>0</v>
      </c>
      <c r="I112" s="30" t="n">
        <f aca="false">IF(Settings!$J$24="No",MIN(0,I107+I109),MIN(0,I110))</f>
        <v>0</v>
      </c>
      <c r="J112" s="30" t="n">
        <f aca="false">IF(Settings!$J$24="No",MIN(0,J107+J109),MIN(0,J110))</f>
        <v>0</v>
      </c>
      <c r="K112" s="30" t="n">
        <f aca="false">IF(Settings!$J$24="No",MIN(0,K107+K109),MIN(0,K110))</f>
        <v>0</v>
      </c>
      <c r="L112" s="30" t="n">
        <f aca="false">IF(Settings!$J$24="No",MIN(0,L107+L109),MIN(0,L110))</f>
        <v>0</v>
      </c>
      <c r="M112" s="30" t="n">
        <f aca="false">IF(Settings!$J$24="No",MIN(0,M107+M109),MIN(0,M110))</f>
        <v>0</v>
      </c>
      <c r="N112" s="30" t="n">
        <f aca="false">IF(Settings!$J$24="No",MIN(0,N107+N109),MIN(0,N110))</f>
        <v>0</v>
      </c>
    </row>
    <row r="113" customFormat="false" ht="7.5" hidden="false" customHeight="true" outlineLevel="0" collapsed="false"/>
    <row r="114" customFormat="false" ht="15" hidden="false" customHeight="false" outlineLevel="0" collapsed="false">
      <c r="A114" s="46" t="str">
        <f aca="false">IF(Settings!$C$25="","",Settings!$C$25)</f>
        <v/>
      </c>
      <c r="B114" s="39" t="s">
        <v>215</v>
      </c>
      <c r="C114" s="30" t="n">
        <f aca="false">IF(Settings!$C$25="",0,SUMIFS(Deals!$I$6:$I$305,Deals!$A$6:$A$305,Settings!$C$25,Deals!$J$6:$J$305,1))</f>
        <v>0</v>
      </c>
      <c r="D114" s="30" t="n">
        <f aca="false">IF(Settings!$C$25="",0,SUMIFS(Deals!$I$6:$I$305,Deals!$A$6:$A$305,Settings!$C$25,Deals!$J$6:$J$305,2))</f>
        <v>0</v>
      </c>
      <c r="E114" s="30" t="n">
        <f aca="false">IF(Settings!$C$25="",0,SUMIFS(Deals!$I$6:$I$305,Deals!$A$6:$A$305,Settings!$C$25,Deals!$J$6:$J$305,3))</f>
        <v>0</v>
      </c>
      <c r="F114" s="30" t="n">
        <f aca="false">IF(Settings!$C$25="",0,SUMIFS(Deals!$I$6:$I$305,Deals!$A$6:$A$305,Settings!$C$25,Deals!$J$6:$J$305,4))</f>
        <v>0</v>
      </c>
      <c r="G114" s="30" t="n">
        <f aca="false">IF(Settings!$C$25="",0,SUMIFS(Deals!$I$6:$I$305,Deals!$A$6:$A$305,Settings!$C$25,Deals!$J$6:$J$305,5))</f>
        <v>0</v>
      </c>
      <c r="H114" s="30" t="n">
        <f aca="false">IF(Settings!$C$25="",0,SUMIFS(Deals!$I$6:$I$305,Deals!$A$6:$A$305,Settings!$C$25,Deals!$J$6:$J$305,6))</f>
        <v>0</v>
      </c>
      <c r="I114" s="30" t="n">
        <f aca="false">IF(Settings!$C$25="",0,SUMIFS(Deals!$I$6:$I$305,Deals!$A$6:$A$305,Settings!$C$25,Deals!$J$6:$J$305,7))</f>
        <v>0</v>
      </c>
      <c r="J114" s="30" t="n">
        <f aca="false">IF(Settings!$C$25="",0,SUMIFS(Deals!$I$6:$I$305,Deals!$A$6:$A$305,Settings!$C$25,Deals!$J$6:$J$305,8))</f>
        <v>0</v>
      </c>
      <c r="K114" s="30" t="n">
        <f aca="false">IF(Settings!$C$25="",0,SUMIFS(Deals!$I$6:$I$305,Deals!$A$6:$A$305,Settings!$C$25,Deals!$J$6:$J$305,9))</f>
        <v>0</v>
      </c>
      <c r="L114" s="30" t="n">
        <f aca="false">IF(Settings!$C$25="",0,SUMIFS(Deals!$I$6:$I$305,Deals!$A$6:$A$305,Settings!$C$25,Deals!$J$6:$J$305,10))</f>
        <v>0</v>
      </c>
      <c r="M114" s="30" t="n">
        <f aca="false">IF(Settings!$C$25="",0,SUMIFS(Deals!$I$6:$I$305,Deals!$A$6:$A$305,Settings!$C$25,Deals!$J$6:$J$305,11))</f>
        <v>0</v>
      </c>
      <c r="N114" s="30" t="n">
        <f aca="false">IF(Settings!$C$25="",0,SUMIFS(Deals!$I$6:$I$305,Deals!$A$6:$A$305,Settings!$C$25,Deals!$J$6:$J$305,12))</f>
        <v>0</v>
      </c>
      <c r="O114" s="44" t="n">
        <f aca="false">SUM(C114:N114)</f>
        <v>0</v>
      </c>
    </row>
    <row r="115" customFormat="false" ht="15" hidden="false" customHeight="false" outlineLevel="0" collapsed="false">
      <c r="A115" s="57" t="str">
        <f aca="false">IF(Settings!$C$25="","",Settings!$C$25)</f>
        <v/>
      </c>
      <c r="B115" s="39" t="s">
        <v>216</v>
      </c>
      <c r="C115" s="30" t="n">
        <f aca="false">IF(Settings!$C$25="",0,SUMIFS(Adjustments!$J$6:$J$105,Adjustments!$A$6:$A$105,Settings!$C$25,Adjustments!$L$6:$L$105,1))</f>
        <v>0</v>
      </c>
      <c r="D115" s="30" t="n">
        <f aca="false">IF(Settings!$C$25="",0,SUMIFS(Adjustments!$J$6:$J$105,Adjustments!$A$6:$A$105,Settings!$C$25,Adjustments!$L$6:$L$105,2))</f>
        <v>0</v>
      </c>
      <c r="E115" s="30" t="n">
        <f aca="false">IF(Settings!$C$25="",0,SUMIFS(Adjustments!$J$6:$J$105,Adjustments!$A$6:$A$105,Settings!$C$25,Adjustments!$L$6:$L$105,3))</f>
        <v>0</v>
      </c>
      <c r="F115" s="30" t="n">
        <f aca="false">IF(Settings!$C$25="",0,SUMIFS(Adjustments!$J$6:$J$105,Adjustments!$A$6:$A$105,Settings!$C$25,Adjustments!$L$6:$L$105,4))</f>
        <v>0</v>
      </c>
      <c r="G115" s="30" t="n">
        <f aca="false">IF(Settings!$C$25="",0,SUMIFS(Adjustments!$J$6:$J$105,Adjustments!$A$6:$A$105,Settings!$C$25,Adjustments!$L$6:$L$105,5))</f>
        <v>0</v>
      </c>
      <c r="H115" s="30" t="n">
        <f aca="false">IF(Settings!$C$25="",0,SUMIFS(Adjustments!$J$6:$J$105,Adjustments!$A$6:$A$105,Settings!$C$25,Adjustments!$L$6:$L$105,6))</f>
        <v>0</v>
      </c>
      <c r="I115" s="30" t="n">
        <f aca="false">IF(Settings!$C$25="",0,SUMIFS(Adjustments!$J$6:$J$105,Adjustments!$A$6:$A$105,Settings!$C$25,Adjustments!$L$6:$L$105,7))</f>
        <v>0</v>
      </c>
      <c r="J115" s="30" t="n">
        <f aca="false">IF(Settings!$C$25="",0,SUMIFS(Adjustments!$J$6:$J$105,Adjustments!$A$6:$A$105,Settings!$C$25,Adjustments!$L$6:$L$105,8))</f>
        <v>0</v>
      </c>
      <c r="K115" s="30" t="n">
        <f aca="false">IF(Settings!$C$25="",0,SUMIFS(Adjustments!$J$6:$J$105,Adjustments!$A$6:$A$105,Settings!$C$25,Adjustments!$L$6:$L$105,9))</f>
        <v>0</v>
      </c>
      <c r="L115" s="30" t="n">
        <f aca="false">IF(Settings!$C$25="",0,SUMIFS(Adjustments!$J$6:$J$105,Adjustments!$A$6:$A$105,Settings!$C$25,Adjustments!$L$6:$L$105,10))</f>
        <v>0</v>
      </c>
      <c r="M115" s="30" t="n">
        <f aca="false">IF(Settings!$C$25="",0,SUMIFS(Adjustments!$J$6:$J$105,Adjustments!$A$6:$A$105,Settings!$C$25,Adjustments!$L$6:$L$105,11))</f>
        <v>0</v>
      </c>
      <c r="N115" s="30" t="n">
        <f aca="false">IF(Settings!$C$25="",0,SUMIFS(Adjustments!$J$6:$J$105,Adjustments!$A$6:$A$105,Settings!$C$25,Adjustments!$L$6:$L$105,12))</f>
        <v>0</v>
      </c>
      <c r="O115" s="44" t="n">
        <f aca="false">SUM(C115:N115)</f>
        <v>0</v>
      </c>
    </row>
    <row r="116" customFormat="false" ht="15" hidden="false" customHeight="false" outlineLevel="0" collapsed="false">
      <c r="A116" s="57" t="str">
        <f aca="false">IF(Settings!$C$25="","",Settings!$C$25)</f>
        <v/>
      </c>
      <c r="B116" s="46" t="s">
        <v>217</v>
      </c>
      <c r="C116" s="30" t="n">
        <f aca="false">C114+C115</f>
        <v>0</v>
      </c>
      <c r="D116" s="30" t="n">
        <f aca="false">D114+D115</f>
        <v>0</v>
      </c>
      <c r="E116" s="30" t="n">
        <f aca="false">E114+E115</f>
        <v>0</v>
      </c>
      <c r="F116" s="30" t="n">
        <f aca="false">F114+F115</f>
        <v>0</v>
      </c>
      <c r="G116" s="30" t="n">
        <f aca="false">G114+G115</f>
        <v>0</v>
      </c>
      <c r="H116" s="30" t="n">
        <f aca="false">H114+H115</f>
        <v>0</v>
      </c>
      <c r="I116" s="30" t="n">
        <f aca="false">I114+I115</f>
        <v>0</v>
      </c>
      <c r="J116" s="30" t="n">
        <f aca="false">J114+J115</f>
        <v>0</v>
      </c>
      <c r="K116" s="30" t="n">
        <f aca="false">K114+K115</f>
        <v>0</v>
      </c>
      <c r="L116" s="30" t="n">
        <f aca="false">L114+L115</f>
        <v>0</v>
      </c>
      <c r="M116" s="30" t="n">
        <f aca="false">M114+M115</f>
        <v>0</v>
      </c>
      <c r="N116" s="30" t="n">
        <f aca="false">N114+N115</f>
        <v>0</v>
      </c>
      <c r="O116" s="44" t="n">
        <f aca="false">SUM(C116:N116)</f>
        <v>0</v>
      </c>
    </row>
    <row r="117" customFormat="false" ht="15" hidden="false" customHeight="false" outlineLevel="0" collapsed="false">
      <c r="A117" s="57" t="str">
        <f aca="false">IF(Settings!$C$25="","",Settings!$C$25)</f>
        <v/>
      </c>
      <c r="B117" s="39" t="s">
        <v>218</v>
      </c>
      <c r="C117" s="30" t="n">
        <f aca="false">IF(OR(Settings!$C$25="",N(Settings!$G$25)=0),0,IF(AND(1&gt;=IFERROR(MATCH(Settings!$H$25,Settings!$N$13:$N$24,0),1),1&lt;=IFERROR(MATCH(Settings!$I$25,Settings!$N$13:$N$24,0),12)),Settings!$G$25,0))</f>
        <v>0</v>
      </c>
      <c r="D117" s="30" t="n">
        <f aca="false">IF(OR(Settings!$C$25="",N(Settings!$G$25)=0),0,IF(AND(2&gt;=IFERROR(MATCH(Settings!$H$25,Settings!$N$13:$N$24,0),1),2&lt;=IFERROR(MATCH(Settings!$I$25,Settings!$N$13:$N$24,0),12)),Settings!$G$25,0))</f>
        <v>0</v>
      </c>
      <c r="E117" s="30" t="n">
        <f aca="false">IF(OR(Settings!$C$25="",N(Settings!$G$25)=0),0,IF(AND(3&gt;=IFERROR(MATCH(Settings!$H$25,Settings!$N$13:$N$24,0),1),3&lt;=IFERROR(MATCH(Settings!$I$25,Settings!$N$13:$N$24,0),12)),Settings!$G$25,0))</f>
        <v>0</v>
      </c>
      <c r="F117" s="30" t="n">
        <f aca="false">IF(OR(Settings!$C$25="",N(Settings!$G$25)=0),0,IF(AND(4&gt;=IFERROR(MATCH(Settings!$H$25,Settings!$N$13:$N$24,0),1),4&lt;=IFERROR(MATCH(Settings!$I$25,Settings!$N$13:$N$24,0),12)),Settings!$G$25,0))</f>
        <v>0</v>
      </c>
      <c r="G117" s="30" t="n">
        <f aca="false">IF(OR(Settings!$C$25="",N(Settings!$G$25)=0),0,IF(AND(5&gt;=IFERROR(MATCH(Settings!$H$25,Settings!$N$13:$N$24,0),1),5&lt;=IFERROR(MATCH(Settings!$I$25,Settings!$N$13:$N$24,0),12)),Settings!$G$25,0))</f>
        <v>0</v>
      </c>
      <c r="H117" s="30" t="n">
        <f aca="false">IF(OR(Settings!$C$25="",N(Settings!$G$25)=0),0,IF(AND(6&gt;=IFERROR(MATCH(Settings!$H$25,Settings!$N$13:$N$24,0),1),6&lt;=IFERROR(MATCH(Settings!$I$25,Settings!$N$13:$N$24,0),12)),Settings!$G$25,0))</f>
        <v>0</v>
      </c>
      <c r="I117" s="30" t="n">
        <f aca="false">IF(OR(Settings!$C$25="",N(Settings!$G$25)=0),0,IF(AND(7&gt;=IFERROR(MATCH(Settings!$H$25,Settings!$N$13:$N$24,0),1),7&lt;=IFERROR(MATCH(Settings!$I$25,Settings!$N$13:$N$24,0),12)),Settings!$G$25,0))</f>
        <v>0</v>
      </c>
      <c r="J117" s="30" t="n">
        <f aca="false">IF(OR(Settings!$C$25="",N(Settings!$G$25)=0),0,IF(AND(8&gt;=IFERROR(MATCH(Settings!$H$25,Settings!$N$13:$N$24,0),1),8&lt;=IFERROR(MATCH(Settings!$I$25,Settings!$N$13:$N$24,0),12)),Settings!$G$25,0))</f>
        <v>0</v>
      </c>
      <c r="K117" s="30" t="n">
        <f aca="false">IF(OR(Settings!$C$25="",N(Settings!$G$25)=0),0,IF(AND(9&gt;=IFERROR(MATCH(Settings!$H$25,Settings!$N$13:$N$24,0),1),9&lt;=IFERROR(MATCH(Settings!$I$25,Settings!$N$13:$N$24,0),12)),Settings!$G$25,0))</f>
        <v>0</v>
      </c>
      <c r="L117" s="30" t="n">
        <f aca="false">IF(OR(Settings!$C$25="",N(Settings!$G$25)=0),0,IF(AND(10&gt;=IFERROR(MATCH(Settings!$H$25,Settings!$N$13:$N$24,0),1),10&lt;=IFERROR(MATCH(Settings!$I$25,Settings!$N$13:$N$24,0),12)),Settings!$G$25,0))</f>
        <v>0</v>
      </c>
      <c r="M117" s="30" t="n">
        <f aca="false">IF(OR(Settings!$C$25="",N(Settings!$G$25)=0),0,IF(AND(11&gt;=IFERROR(MATCH(Settings!$H$25,Settings!$N$13:$N$24,0),1),11&lt;=IFERROR(MATCH(Settings!$I$25,Settings!$N$13:$N$24,0),12)),Settings!$G$25,0))</f>
        <v>0</v>
      </c>
      <c r="N117" s="30" t="n">
        <f aca="false">IF(OR(Settings!$C$25="",N(Settings!$G$25)=0),0,IF(AND(12&gt;=IFERROR(MATCH(Settings!$H$25,Settings!$N$13:$N$24,0),1),12&lt;=IFERROR(MATCH(Settings!$I$25,Settings!$N$13:$N$24,0),12)),Settings!$G$25,0))</f>
        <v>0</v>
      </c>
      <c r="O117" s="44" t="n">
        <f aca="false">SUM(C117:N117)</f>
        <v>0</v>
      </c>
    </row>
    <row r="118" customFormat="false" ht="15" hidden="false" customHeight="false" outlineLevel="0" collapsed="false">
      <c r="A118" s="57" t="str">
        <f aca="false">IF(Settings!$C$25="","",Settings!$C$25)</f>
        <v/>
      </c>
      <c r="B118" s="39" t="s">
        <v>219</v>
      </c>
      <c r="C118" s="30" t="n">
        <f aca="false">IF(ISNUMBER(Settings!$K$25),MIN(0,Settings!$K$25),0)</f>
        <v>0</v>
      </c>
      <c r="D118" s="30" t="n">
        <f aca="false">C121</f>
        <v>0</v>
      </c>
      <c r="E118" s="30" t="n">
        <f aca="false">D121</f>
        <v>0</v>
      </c>
      <c r="F118" s="30" t="n">
        <f aca="false">E121</f>
        <v>0</v>
      </c>
      <c r="G118" s="30" t="n">
        <f aca="false">F121</f>
        <v>0</v>
      </c>
      <c r="H118" s="30" t="n">
        <f aca="false">G121</f>
        <v>0</v>
      </c>
      <c r="I118" s="30" t="n">
        <f aca="false">H121</f>
        <v>0</v>
      </c>
      <c r="J118" s="30" t="n">
        <f aca="false">I121</f>
        <v>0</v>
      </c>
      <c r="K118" s="30" t="n">
        <f aca="false">J121</f>
        <v>0</v>
      </c>
      <c r="L118" s="30" t="n">
        <f aca="false">K121</f>
        <v>0</v>
      </c>
      <c r="M118" s="30" t="n">
        <f aca="false">L121</f>
        <v>0</v>
      </c>
      <c r="N118" s="30" t="n">
        <f aca="false">M121</f>
        <v>0</v>
      </c>
    </row>
    <row r="119" customFormat="false" ht="15" hidden="false" customHeight="false" outlineLevel="0" collapsed="false">
      <c r="A119" s="57" t="str">
        <f aca="false">IF(Settings!$C$25="","",Settings!$C$25)</f>
        <v/>
      </c>
      <c r="B119" s="39" t="s">
        <v>220</v>
      </c>
      <c r="C119" s="30" t="n">
        <f aca="false">C116-C117+C118</f>
        <v>0</v>
      </c>
      <c r="D119" s="30" t="n">
        <f aca="false">D116-D117+D118</f>
        <v>0</v>
      </c>
      <c r="E119" s="30" t="n">
        <f aca="false">E116-E117+E118</f>
        <v>0</v>
      </c>
      <c r="F119" s="30" t="n">
        <f aca="false">F116-F117+F118</f>
        <v>0</v>
      </c>
      <c r="G119" s="30" t="n">
        <f aca="false">G116-G117+G118</f>
        <v>0</v>
      </c>
      <c r="H119" s="30" t="n">
        <f aca="false">H116-H117+H118</f>
        <v>0</v>
      </c>
      <c r="I119" s="30" t="n">
        <f aca="false">I116-I117+I118</f>
        <v>0</v>
      </c>
      <c r="J119" s="30" t="n">
        <f aca="false">J116-J117+J118</f>
        <v>0</v>
      </c>
      <c r="K119" s="30" t="n">
        <f aca="false">K116-K117+K118</f>
        <v>0</v>
      </c>
      <c r="L119" s="30" t="n">
        <f aca="false">L116-L117+L118</f>
        <v>0</v>
      </c>
      <c r="M119" s="30" t="n">
        <f aca="false">M116-M117+M118</f>
        <v>0</v>
      </c>
      <c r="N119" s="30" t="n">
        <f aca="false">N116-N117+N118</f>
        <v>0</v>
      </c>
    </row>
    <row r="120" customFormat="false" ht="15" hidden="false" customHeight="false" outlineLevel="0" collapsed="false">
      <c r="A120" s="57" t="str">
        <f aca="false">IF(Settings!$C$25="","",Settings!$C$25)</f>
        <v/>
      </c>
      <c r="B120" s="46" t="s">
        <v>172</v>
      </c>
      <c r="C120" s="44" t="n">
        <f aca="false">MAX(0,C119)</f>
        <v>0</v>
      </c>
      <c r="D120" s="44" t="n">
        <f aca="false">MAX(0,D119)</f>
        <v>0</v>
      </c>
      <c r="E120" s="44" t="n">
        <f aca="false">MAX(0,E119)</f>
        <v>0</v>
      </c>
      <c r="F120" s="44" t="n">
        <f aca="false">MAX(0,F119)</f>
        <v>0</v>
      </c>
      <c r="G120" s="44" t="n">
        <f aca="false">MAX(0,G119)</f>
        <v>0</v>
      </c>
      <c r="H120" s="44" t="n">
        <f aca="false">MAX(0,H119)</f>
        <v>0</v>
      </c>
      <c r="I120" s="44" t="n">
        <f aca="false">MAX(0,I119)</f>
        <v>0</v>
      </c>
      <c r="J120" s="44" t="n">
        <f aca="false">MAX(0,J119)</f>
        <v>0</v>
      </c>
      <c r="K120" s="44" t="n">
        <f aca="false">MAX(0,K119)</f>
        <v>0</v>
      </c>
      <c r="L120" s="44" t="n">
        <f aca="false">MAX(0,L119)</f>
        <v>0</v>
      </c>
      <c r="M120" s="44" t="n">
        <f aca="false">MAX(0,M119)</f>
        <v>0</v>
      </c>
      <c r="N120" s="44" t="n">
        <f aca="false">MAX(0,N119)</f>
        <v>0</v>
      </c>
      <c r="O120" s="44" t="n">
        <f aca="false">SUM(C120:N120)</f>
        <v>0</v>
      </c>
    </row>
    <row r="121" customFormat="false" ht="15" hidden="false" customHeight="false" outlineLevel="0" collapsed="false">
      <c r="A121" s="57" t="str">
        <f aca="false">IF(Settings!$C$25="","",Settings!$C$25)</f>
        <v/>
      </c>
      <c r="B121" s="39" t="s">
        <v>221</v>
      </c>
      <c r="C121" s="30" t="n">
        <f aca="false">IF(Settings!$J$25="No",MIN(0,C116+C118),MIN(0,C119))</f>
        <v>0</v>
      </c>
      <c r="D121" s="30" t="n">
        <f aca="false">IF(Settings!$J$25="No",MIN(0,D116+D118),MIN(0,D119))</f>
        <v>0</v>
      </c>
      <c r="E121" s="30" t="n">
        <f aca="false">IF(Settings!$J$25="No",MIN(0,E116+E118),MIN(0,E119))</f>
        <v>0</v>
      </c>
      <c r="F121" s="30" t="n">
        <f aca="false">IF(Settings!$J$25="No",MIN(0,F116+F118),MIN(0,F119))</f>
        <v>0</v>
      </c>
      <c r="G121" s="30" t="n">
        <f aca="false">IF(Settings!$J$25="No",MIN(0,G116+G118),MIN(0,G119))</f>
        <v>0</v>
      </c>
      <c r="H121" s="30" t="n">
        <f aca="false">IF(Settings!$J$25="No",MIN(0,H116+H118),MIN(0,H119))</f>
        <v>0</v>
      </c>
      <c r="I121" s="30" t="n">
        <f aca="false">IF(Settings!$J$25="No",MIN(0,I116+I118),MIN(0,I119))</f>
        <v>0</v>
      </c>
      <c r="J121" s="30" t="n">
        <f aca="false">IF(Settings!$J$25="No",MIN(0,J116+J118),MIN(0,J119))</f>
        <v>0</v>
      </c>
      <c r="K121" s="30" t="n">
        <f aca="false">IF(Settings!$J$25="No",MIN(0,K116+K118),MIN(0,K119))</f>
        <v>0</v>
      </c>
      <c r="L121" s="30" t="n">
        <f aca="false">IF(Settings!$J$25="No",MIN(0,L116+L118),MIN(0,L119))</f>
        <v>0</v>
      </c>
      <c r="M121" s="30" t="n">
        <f aca="false">IF(Settings!$J$25="No",MIN(0,M116+M118),MIN(0,M119))</f>
        <v>0</v>
      </c>
      <c r="N121" s="30" t="n">
        <f aca="false">IF(Settings!$J$25="No",MIN(0,N116+N118),MIN(0,N119))</f>
        <v>0</v>
      </c>
    </row>
    <row r="122" customFormat="false" ht="7.5" hidden="false" customHeight="true" outlineLevel="0" collapsed="false"/>
    <row r="123" customFormat="false" ht="15" hidden="false" customHeight="false" outlineLevel="0" collapsed="false">
      <c r="A123" s="46" t="str">
        <f aca="false">IF(Settings!$C$26="","",Settings!$C$26)</f>
        <v/>
      </c>
      <c r="B123" s="39" t="s">
        <v>215</v>
      </c>
      <c r="C123" s="30" t="n">
        <f aca="false">IF(Settings!$C$26="",0,SUMIFS(Deals!$I$6:$I$305,Deals!$A$6:$A$305,Settings!$C$26,Deals!$J$6:$J$305,1))</f>
        <v>0</v>
      </c>
      <c r="D123" s="30" t="n">
        <f aca="false">IF(Settings!$C$26="",0,SUMIFS(Deals!$I$6:$I$305,Deals!$A$6:$A$305,Settings!$C$26,Deals!$J$6:$J$305,2))</f>
        <v>0</v>
      </c>
      <c r="E123" s="30" t="n">
        <f aca="false">IF(Settings!$C$26="",0,SUMIFS(Deals!$I$6:$I$305,Deals!$A$6:$A$305,Settings!$C$26,Deals!$J$6:$J$305,3))</f>
        <v>0</v>
      </c>
      <c r="F123" s="30" t="n">
        <f aca="false">IF(Settings!$C$26="",0,SUMIFS(Deals!$I$6:$I$305,Deals!$A$6:$A$305,Settings!$C$26,Deals!$J$6:$J$305,4))</f>
        <v>0</v>
      </c>
      <c r="G123" s="30" t="n">
        <f aca="false">IF(Settings!$C$26="",0,SUMIFS(Deals!$I$6:$I$305,Deals!$A$6:$A$305,Settings!$C$26,Deals!$J$6:$J$305,5))</f>
        <v>0</v>
      </c>
      <c r="H123" s="30" t="n">
        <f aca="false">IF(Settings!$C$26="",0,SUMIFS(Deals!$I$6:$I$305,Deals!$A$6:$A$305,Settings!$C$26,Deals!$J$6:$J$305,6))</f>
        <v>0</v>
      </c>
      <c r="I123" s="30" t="n">
        <f aca="false">IF(Settings!$C$26="",0,SUMIFS(Deals!$I$6:$I$305,Deals!$A$6:$A$305,Settings!$C$26,Deals!$J$6:$J$305,7))</f>
        <v>0</v>
      </c>
      <c r="J123" s="30" t="n">
        <f aca="false">IF(Settings!$C$26="",0,SUMIFS(Deals!$I$6:$I$305,Deals!$A$6:$A$305,Settings!$C$26,Deals!$J$6:$J$305,8))</f>
        <v>0</v>
      </c>
      <c r="K123" s="30" t="n">
        <f aca="false">IF(Settings!$C$26="",0,SUMIFS(Deals!$I$6:$I$305,Deals!$A$6:$A$305,Settings!$C$26,Deals!$J$6:$J$305,9))</f>
        <v>0</v>
      </c>
      <c r="L123" s="30" t="n">
        <f aca="false">IF(Settings!$C$26="",0,SUMIFS(Deals!$I$6:$I$305,Deals!$A$6:$A$305,Settings!$C$26,Deals!$J$6:$J$305,10))</f>
        <v>0</v>
      </c>
      <c r="M123" s="30" t="n">
        <f aca="false">IF(Settings!$C$26="",0,SUMIFS(Deals!$I$6:$I$305,Deals!$A$6:$A$305,Settings!$C$26,Deals!$J$6:$J$305,11))</f>
        <v>0</v>
      </c>
      <c r="N123" s="30" t="n">
        <f aca="false">IF(Settings!$C$26="",0,SUMIFS(Deals!$I$6:$I$305,Deals!$A$6:$A$305,Settings!$C$26,Deals!$J$6:$J$305,12))</f>
        <v>0</v>
      </c>
      <c r="O123" s="44" t="n">
        <f aca="false">SUM(C123:N123)</f>
        <v>0</v>
      </c>
    </row>
    <row r="124" customFormat="false" ht="15" hidden="false" customHeight="false" outlineLevel="0" collapsed="false">
      <c r="A124" s="57" t="str">
        <f aca="false">IF(Settings!$C$26="","",Settings!$C$26)</f>
        <v/>
      </c>
      <c r="B124" s="39" t="s">
        <v>216</v>
      </c>
      <c r="C124" s="30" t="n">
        <f aca="false">IF(Settings!$C$26="",0,SUMIFS(Adjustments!$J$6:$J$105,Adjustments!$A$6:$A$105,Settings!$C$26,Adjustments!$L$6:$L$105,1))</f>
        <v>0</v>
      </c>
      <c r="D124" s="30" t="n">
        <f aca="false">IF(Settings!$C$26="",0,SUMIFS(Adjustments!$J$6:$J$105,Adjustments!$A$6:$A$105,Settings!$C$26,Adjustments!$L$6:$L$105,2))</f>
        <v>0</v>
      </c>
      <c r="E124" s="30" t="n">
        <f aca="false">IF(Settings!$C$26="",0,SUMIFS(Adjustments!$J$6:$J$105,Adjustments!$A$6:$A$105,Settings!$C$26,Adjustments!$L$6:$L$105,3))</f>
        <v>0</v>
      </c>
      <c r="F124" s="30" t="n">
        <f aca="false">IF(Settings!$C$26="",0,SUMIFS(Adjustments!$J$6:$J$105,Adjustments!$A$6:$A$105,Settings!$C$26,Adjustments!$L$6:$L$105,4))</f>
        <v>0</v>
      </c>
      <c r="G124" s="30" t="n">
        <f aca="false">IF(Settings!$C$26="",0,SUMIFS(Adjustments!$J$6:$J$105,Adjustments!$A$6:$A$105,Settings!$C$26,Adjustments!$L$6:$L$105,5))</f>
        <v>0</v>
      </c>
      <c r="H124" s="30" t="n">
        <f aca="false">IF(Settings!$C$26="",0,SUMIFS(Adjustments!$J$6:$J$105,Adjustments!$A$6:$A$105,Settings!$C$26,Adjustments!$L$6:$L$105,6))</f>
        <v>0</v>
      </c>
      <c r="I124" s="30" t="n">
        <f aca="false">IF(Settings!$C$26="",0,SUMIFS(Adjustments!$J$6:$J$105,Adjustments!$A$6:$A$105,Settings!$C$26,Adjustments!$L$6:$L$105,7))</f>
        <v>0</v>
      </c>
      <c r="J124" s="30" t="n">
        <f aca="false">IF(Settings!$C$26="",0,SUMIFS(Adjustments!$J$6:$J$105,Adjustments!$A$6:$A$105,Settings!$C$26,Adjustments!$L$6:$L$105,8))</f>
        <v>0</v>
      </c>
      <c r="K124" s="30" t="n">
        <f aca="false">IF(Settings!$C$26="",0,SUMIFS(Adjustments!$J$6:$J$105,Adjustments!$A$6:$A$105,Settings!$C$26,Adjustments!$L$6:$L$105,9))</f>
        <v>0</v>
      </c>
      <c r="L124" s="30" t="n">
        <f aca="false">IF(Settings!$C$26="",0,SUMIFS(Adjustments!$J$6:$J$105,Adjustments!$A$6:$A$105,Settings!$C$26,Adjustments!$L$6:$L$105,10))</f>
        <v>0</v>
      </c>
      <c r="M124" s="30" t="n">
        <f aca="false">IF(Settings!$C$26="",0,SUMIFS(Adjustments!$J$6:$J$105,Adjustments!$A$6:$A$105,Settings!$C$26,Adjustments!$L$6:$L$105,11))</f>
        <v>0</v>
      </c>
      <c r="N124" s="30" t="n">
        <f aca="false">IF(Settings!$C$26="",0,SUMIFS(Adjustments!$J$6:$J$105,Adjustments!$A$6:$A$105,Settings!$C$26,Adjustments!$L$6:$L$105,12))</f>
        <v>0</v>
      </c>
      <c r="O124" s="44" t="n">
        <f aca="false">SUM(C124:N124)</f>
        <v>0</v>
      </c>
    </row>
    <row r="125" customFormat="false" ht="15" hidden="false" customHeight="false" outlineLevel="0" collapsed="false">
      <c r="A125" s="57" t="str">
        <f aca="false">IF(Settings!$C$26="","",Settings!$C$26)</f>
        <v/>
      </c>
      <c r="B125" s="46" t="s">
        <v>217</v>
      </c>
      <c r="C125" s="30" t="n">
        <f aca="false">C123+C124</f>
        <v>0</v>
      </c>
      <c r="D125" s="30" t="n">
        <f aca="false">D123+D124</f>
        <v>0</v>
      </c>
      <c r="E125" s="30" t="n">
        <f aca="false">E123+E124</f>
        <v>0</v>
      </c>
      <c r="F125" s="30" t="n">
        <f aca="false">F123+F124</f>
        <v>0</v>
      </c>
      <c r="G125" s="30" t="n">
        <f aca="false">G123+G124</f>
        <v>0</v>
      </c>
      <c r="H125" s="30" t="n">
        <f aca="false">H123+H124</f>
        <v>0</v>
      </c>
      <c r="I125" s="30" t="n">
        <f aca="false">I123+I124</f>
        <v>0</v>
      </c>
      <c r="J125" s="30" t="n">
        <f aca="false">J123+J124</f>
        <v>0</v>
      </c>
      <c r="K125" s="30" t="n">
        <f aca="false">K123+K124</f>
        <v>0</v>
      </c>
      <c r="L125" s="30" t="n">
        <f aca="false">L123+L124</f>
        <v>0</v>
      </c>
      <c r="M125" s="30" t="n">
        <f aca="false">M123+M124</f>
        <v>0</v>
      </c>
      <c r="N125" s="30" t="n">
        <f aca="false">N123+N124</f>
        <v>0</v>
      </c>
      <c r="O125" s="44" t="n">
        <f aca="false">SUM(C125:N125)</f>
        <v>0</v>
      </c>
    </row>
    <row r="126" customFormat="false" ht="15" hidden="false" customHeight="false" outlineLevel="0" collapsed="false">
      <c r="A126" s="57" t="str">
        <f aca="false">IF(Settings!$C$26="","",Settings!$C$26)</f>
        <v/>
      </c>
      <c r="B126" s="39" t="s">
        <v>218</v>
      </c>
      <c r="C126" s="30" t="n">
        <f aca="false">IF(OR(Settings!$C$26="",N(Settings!$G$26)=0),0,IF(AND(1&gt;=IFERROR(MATCH(Settings!$H$26,Settings!$N$13:$N$24,0),1),1&lt;=IFERROR(MATCH(Settings!$I$26,Settings!$N$13:$N$24,0),12)),Settings!$G$26,0))</f>
        <v>0</v>
      </c>
      <c r="D126" s="30" t="n">
        <f aca="false">IF(OR(Settings!$C$26="",N(Settings!$G$26)=0),0,IF(AND(2&gt;=IFERROR(MATCH(Settings!$H$26,Settings!$N$13:$N$24,0),1),2&lt;=IFERROR(MATCH(Settings!$I$26,Settings!$N$13:$N$24,0),12)),Settings!$G$26,0))</f>
        <v>0</v>
      </c>
      <c r="E126" s="30" t="n">
        <f aca="false">IF(OR(Settings!$C$26="",N(Settings!$G$26)=0),0,IF(AND(3&gt;=IFERROR(MATCH(Settings!$H$26,Settings!$N$13:$N$24,0),1),3&lt;=IFERROR(MATCH(Settings!$I$26,Settings!$N$13:$N$24,0),12)),Settings!$G$26,0))</f>
        <v>0</v>
      </c>
      <c r="F126" s="30" t="n">
        <f aca="false">IF(OR(Settings!$C$26="",N(Settings!$G$26)=0),0,IF(AND(4&gt;=IFERROR(MATCH(Settings!$H$26,Settings!$N$13:$N$24,0),1),4&lt;=IFERROR(MATCH(Settings!$I$26,Settings!$N$13:$N$24,0),12)),Settings!$G$26,0))</f>
        <v>0</v>
      </c>
      <c r="G126" s="30" t="n">
        <f aca="false">IF(OR(Settings!$C$26="",N(Settings!$G$26)=0),0,IF(AND(5&gt;=IFERROR(MATCH(Settings!$H$26,Settings!$N$13:$N$24,0),1),5&lt;=IFERROR(MATCH(Settings!$I$26,Settings!$N$13:$N$24,0),12)),Settings!$G$26,0))</f>
        <v>0</v>
      </c>
      <c r="H126" s="30" t="n">
        <f aca="false">IF(OR(Settings!$C$26="",N(Settings!$G$26)=0),0,IF(AND(6&gt;=IFERROR(MATCH(Settings!$H$26,Settings!$N$13:$N$24,0),1),6&lt;=IFERROR(MATCH(Settings!$I$26,Settings!$N$13:$N$24,0),12)),Settings!$G$26,0))</f>
        <v>0</v>
      </c>
      <c r="I126" s="30" t="n">
        <f aca="false">IF(OR(Settings!$C$26="",N(Settings!$G$26)=0),0,IF(AND(7&gt;=IFERROR(MATCH(Settings!$H$26,Settings!$N$13:$N$24,0),1),7&lt;=IFERROR(MATCH(Settings!$I$26,Settings!$N$13:$N$24,0),12)),Settings!$G$26,0))</f>
        <v>0</v>
      </c>
      <c r="J126" s="30" t="n">
        <f aca="false">IF(OR(Settings!$C$26="",N(Settings!$G$26)=0),0,IF(AND(8&gt;=IFERROR(MATCH(Settings!$H$26,Settings!$N$13:$N$24,0),1),8&lt;=IFERROR(MATCH(Settings!$I$26,Settings!$N$13:$N$24,0),12)),Settings!$G$26,0))</f>
        <v>0</v>
      </c>
      <c r="K126" s="30" t="n">
        <f aca="false">IF(OR(Settings!$C$26="",N(Settings!$G$26)=0),0,IF(AND(9&gt;=IFERROR(MATCH(Settings!$H$26,Settings!$N$13:$N$24,0),1),9&lt;=IFERROR(MATCH(Settings!$I$26,Settings!$N$13:$N$24,0),12)),Settings!$G$26,0))</f>
        <v>0</v>
      </c>
      <c r="L126" s="30" t="n">
        <f aca="false">IF(OR(Settings!$C$26="",N(Settings!$G$26)=0),0,IF(AND(10&gt;=IFERROR(MATCH(Settings!$H$26,Settings!$N$13:$N$24,0),1),10&lt;=IFERROR(MATCH(Settings!$I$26,Settings!$N$13:$N$24,0),12)),Settings!$G$26,0))</f>
        <v>0</v>
      </c>
      <c r="M126" s="30" t="n">
        <f aca="false">IF(OR(Settings!$C$26="",N(Settings!$G$26)=0),0,IF(AND(11&gt;=IFERROR(MATCH(Settings!$H$26,Settings!$N$13:$N$24,0),1),11&lt;=IFERROR(MATCH(Settings!$I$26,Settings!$N$13:$N$24,0),12)),Settings!$G$26,0))</f>
        <v>0</v>
      </c>
      <c r="N126" s="30" t="n">
        <f aca="false">IF(OR(Settings!$C$26="",N(Settings!$G$26)=0),0,IF(AND(12&gt;=IFERROR(MATCH(Settings!$H$26,Settings!$N$13:$N$24,0),1),12&lt;=IFERROR(MATCH(Settings!$I$26,Settings!$N$13:$N$24,0),12)),Settings!$G$26,0))</f>
        <v>0</v>
      </c>
      <c r="O126" s="44" t="n">
        <f aca="false">SUM(C126:N126)</f>
        <v>0</v>
      </c>
    </row>
    <row r="127" customFormat="false" ht="15" hidden="false" customHeight="false" outlineLevel="0" collapsed="false">
      <c r="A127" s="57" t="str">
        <f aca="false">IF(Settings!$C$26="","",Settings!$C$26)</f>
        <v/>
      </c>
      <c r="B127" s="39" t="s">
        <v>219</v>
      </c>
      <c r="C127" s="30" t="n">
        <f aca="false">IF(ISNUMBER(Settings!$K$26),MIN(0,Settings!$K$26),0)</f>
        <v>0</v>
      </c>
      <c r="D127" s="30" t="n">
        <f aca="false">C130</f>
        <v>0</v>
      </c>
      <c r="E127" s="30" t="n">
        <f aca="false">D130</f>
        <v>0</v>
      </c>
      <c r="F127" s="30" t="n">
        <f aca="false">E130</f>
        <v>0</v>
      </c>
      <c r="G127" s="30" t="n">
        <f aca="false">F130</f>
        <v>0</v>
      </c>
      <c r="H127" s="30" t="n">
        <f aca="false">G130</f>
        <v>0</v>
      </c>
      <c r="I127" s="30" t="n">
        <f aca="false">H130</f>
        <v>0</v>
      </c>
      <c r="J127" s="30" t="n">
        <f aca="false">I130</f>
        <v>0</v>
      </c>
      <c r="K127" s="30" t="n">
        <f aca="false">J130</f>
        <v>0</v>
      </c>
      <c r="L127" s="30" t="n">
        <f aca="false">K130</f>
        <v>0</v>
      </c>
      <c r="M127" s="30" t="n">
        <f aca="false">L130</f>
        <v>0</v>
      </c>
      <c r="N127" s="30" t="n">
        <f aca="false">M130</f>
        <v>0</v>
      </c>
    </row>
    <row r="128" customFormat="false" ht="15" hidden="false" customHeight="false" outlineLevel="0" collapsed="false">
      <c r="A128" s="57" t="str">
        <f aca="false">IF(Settings!$C$26="","",Settings!$C$26)</f>
        <v/>
      </c>
      <c r="B128" s="39" t="s">
        <v>220</v>
      </c>
      <c r="C128" s="30" t="n">
        <f aca="false">C125-C126+C127</f>
        <v>0</v>
      </c>
      <c r="D128" s="30" t="n">
        <f aca="false">D125-D126+D127</f>
        <v>0</v>
      </c>
      <c r="E128" s="30" t="n">
        <f aca="false">E125-E126+E127</f>
        <v>0</v>
      </c>
      <c r="F128" s="30" t="n">
        <f aca="false">F125-F126+F127</f>
        <v>0</v>
      </c>
      <c r="G128" s="30" t="n">
        <f aca="false">G125-G126+G127</f>
        <v>0</v>
      </c>
      <c r="H128" s="30" t="n">
        <f aca="false">H125-H126+H127</f>
        <v>0</v>
      </c>
      <c r="I128" s="30" t="n">
        <f aca="false">I125-I126+I127</f>
        <v>0</v>
      </c>
      <c r="J128" s="30" t="n">
        <f aca="false">J125-J126+J127</f>
        <v>0</v>
      </c>
      <c r="K128" s="30" t="n">
        <f aca="false">K125-K126+K127</f>
        <v>0</v>
      </c>
      <c r="L128" s="30" t="n">
        <f aca="false">L125-L126+L127</f>
        <v>0</v>
      </c>
      <c r="M128" s="30" t="n">
        <f aca="false">M125-M126+M127</f>
        <v>0</v>
      </c>
      <c r="N128" s="30" t="n">
        <f aca="false">N125-N126+N127</f>
        <v>0</v>
      </c>
    </row>
    <row r="129" customFormat="false" ht="15" hidden="false" customHeight="false" outlineLevel="0" collapsed="false">
      <c r="A129" s="57" t="str">
        <f aca="false">IF(Settings!$C$26="","",Settings!$C$26)</f>
        <v/>
      </c>
      <c r="B129" s="46" t="s">
        <v>172</v>
      </c>
      <c r="C129" s="44" t="n">
        <f aca="false">MAX(0,C128)</f>
        <v>0</v>
      </c>
      <c r="D129" s="44" t="n">
        <f aca="false">MAX(0,D128)</f>
        <v>0</v>
      </c>
      <c r="E129" s="44" t="n">
        <f aca="false">MAX(0,E128)</f>
        <v>0</v>
      </c>
      <c r="F129" s="44" t="n">
        <f aca="false">MAX(0,F128)</f>
        <v>0</v>
      </c>
      <c r="G129" s="44" t="n">
        <f aca="false">MAX(0,G128)</f>
        <v>0</v>
      </c>
      <c r="H129" s="44" t="n">
        <f aca="false">MAX(0,H128)</f>
        <v>0</v>
      </c>
      <c r="I129" s="44" t="n">
        <f aca="false">MAX(0,I128)</f>
        <v>0</v>
      </c>
      <c r="J129" s="44" t="n">
        <f aca="false">MAX(0,J128)</f>
        <v>0</v>
      </c>
      <c r="K129" s="44" t="n">
        <f aca="false">MAX(0,K128)</f>
        <v>0</v>
      </c>
      <c r="L129" s="44" t="n">
        <f aca="false">MAX(0,L128)</f>
        <v>0</v>
      </c>
      <c r="M129" s="44" t="n">
        <f aca="false">MAX(0,M128)</f>
        <v>0</v>
      </c>
      <c r="N129" s="44" t="n">
        <f aca="false">MAX(0,N128)</f>
        <v>0</v>
      </c>
      <c r="O129" s="44" t="n">
        <f aca="false">SUM(C129:N129)</f>
        <v>0</v>
      </c>
    </row>
    <row r="130" customFormat="false" ht="15" hidden="false" customHeight="false" outlineLevel="0" collapsed="false">
      <c r="A130" s="57" t="str">
        <f aca="false">IF(Settings!$C$26="","",Settings!$C$26)</f>
        <v/>
      </c>
      <c r="B130" s="39" t="s">
        <v>221</v>
      </c>
      <c r="C130" s="30" t="n">
        <f aca="false">IF(Settings!$J$26="No",MIN(0,C125+C127),MIN(0,C128))</f>
        <v>0</v>
      </c>
      <c r="D130" s="30" t="n">
        <f aca="false">IF(Settings!$J$26="No",MIN(0,D125+D127),MIN(0,D128))</f>
        <v>0</v>
      </c>
      <c r="E130" s="30" t="n">
        <f aca="false">IF(Settings!$J$26="No",MIN(0,E125+E127),MIN(0,E128))</f>
        <v>0</v>
      </c>
      <c r="F130" s="30" t="n">
        <f aca="false">IF(Settings!$J$26="No",MIN(0,F125+F127),MIN(0,F128))</f>
        <v>0</v>
      </c>
      <c r="G130" s="30" t="n">
        <f aca="false">IF(Settings!$J$26="No",MIN(0,G125+G127),MIN(0,G128))</f>
        <v>0</v>
      </c>
      <c r="H130" s="30" t="n">
        <f aca="false">IF(Settings!$J$26="No",MIN(0,H125+H127),MIN(0,H128))</f>
        <v>0</v>
      </c>
      <c r="I130" s="30" t="n">
        <f aca="false">IF(Settings!$J$26="No",MIN(0,I125+I127),MIN(0,I128))</f>
        <v>0</v>
      </c>
      <c r="J130" s="30" t="n">
        <f aca="false">IF(Settings!$J$26="No",MIN(0,J125+J127),MIN(0,J128))</f>
        <v>0</v>
      </c>
      <c r="K130" s="30" t="n">
        <f aca="false">IF(Settings!$J$26="No",MIN(0,K125+K127),MIN(0,K128))</f>
        <v>0</v>
      </c>
      <c r="L130" s="30" t="n">
        <f aca="false">IF(Settings!$J$26="No",MIN(0,L125+L127),MIN(0,L128))</f>
        <v>0</v>
      </c>
      <c r="M130" s="30" t="n">
        <f aca="false">IF(Settings!$J$26="No",MIN(0,M125+M127),MIN(0,M128))</f>
        <v>0</v>
      </c>
      <c r="N130" s="30" t="n">
        <f aca="false">IF(Settings!$J$26="No",MIN(0,N125+N127),MIN(0,N128))</f>
        <v>0</v>
      </c>
    </row>
    <row r="131" customFormat="false" ht="7.5" hidden="false" customHeight="true" outlineLevel="0" collapsed="false"/>
    <row r="132" customFormat="false" ht="15" hidden="false" customHeight="false" outlineLevel="0" collapsed="false">
      <c r="A132" s="46" t="str">
        <f aca="false">IF(Settings!$C$27="","",Settings!$C$27)</f>
        <v/>
      </c>
      <c r="B132" s="39" t="s">
        <v>215</v>
      </c>
      <c r="C132" s="30" t="n">
        <f aca="false">IF(Settings!$C$27="",0,SUMIFS(Deals!$I$6:$I$305,Deals!$A$6:$A$305,Settings!$C$27,Deals!$J$6:$J$305,1))</f>
        <v>0</v>
      </c>
      <c r="D132" s="30" t="n">
        <f aca="false">IF(Settings!$C$27="",0,SUMIFS(Deals!$I$6:$I$305,Deals!$A$6:$A$305,Settings!$C$27,Deals!$J$6:$J$305,2))</f>
        <v>0</v>
      </c>
      <c r="E132" s="30" t="n">
        <f aca="false">IF(Settings!$C$27="",0,SUMIFS(Deals!$I$6:$I$305,Deals!$A$6:$A$305,Settings!$C$27,Deals!$J$6:$J$305,3))</f>
        <v>0</v>
      </c>
      <c r="F132" s="30" t="n">
        <f aca="false">IF(Settings!$C$27="",0,SUMIFS(Deals!$I$6:$I$305,Deals!$A$6:$A$305,Settings!$C$27,Deals!$J$6:$J$305,4))</f>
        <v>0</v>
      </c>
      <c r="G132" s="30" t="n">
        <f aca="false">IF(Settings!$C$27="",0,SUMIFS(Deals!$I$6:$I$305,Deals!$A$6:$A$305,Settings!$C$27,Deals!$J$6:$J$305,5))</f>
        <v>0</v>
      </c>
      <c r="H132" s="30" t="n">
        <f aca="false">IF(Settings!$C$27="",0,SUMIFS(Deals!$I$6:$I$305,Deals!$A$6:$A$305,Settings!$C$27,Deals!$J$6:$J$305,6))</f>
        <v>0</v>
      </c>
      <c r="I132" s="30" t="n">
        <f aca="false">IF(Settings!$C$27="",0,SUMIFS(Deals!$I$6:$I$305,Deals!$A$6:$A$305,Settings!$C$27,Deals!$J$6:$J$305,7))</f>
        <v>0</v>
      </c>
      <c r="J132" s="30" t="n">
        <f aca="false">IF(Settings!$C$27="",0,SUMIFS(Deals!$I$6:$I$305,Deals!$A$6:$A$305,Settings!$C$27,Deals!$J$6:$J$305,8))</f>
        <v>0</v>
      </c>
      <c r="K132" s="30" t="n">
        <f aca="false">IF(Settings!$C$27="",0,SUMIFS(Deals!$I$6:$I$305,Deals!$A$6:$A$305,Settings!$C$27,Deals!$J$6:$J$305,9))</f>
        <v>0</v>
      </c>
      <c r="L132" s="30" t="n">
        <f aca="false">IF(Settings!$C$27="",0,SUMIFS(Deals!$I$6:$I$305,Deals!$A$6:$A$305,Settings!$C$27,Deals!$J$6:$J$305,10))</f>
        <v>0</v>
      </c>
      <c r="M132" s="30" t="n">
        <f aca="false">IF(Settings!$C$27="",0,SUMIFS(Deals!$I$6:$I$305,Deals!$A$6:$A$305,Settings!$C$27,Deals!$J$6:$J$305,11))</f>
        <v>0</v>
      </c>
      <c r="N132" s="30" t="n">
        <f aca="false">IF(Settings!$C$27="",0,SUMIFS(Deals!$I$6:$I$305,Deals!$A$6:$A$305,Settings!$C$27,Deals!$J$6:$J$305,12))</f>
        <v>0</v>
      </c>
      <c r="O132" s="44" t="n">
        <f aca="false">SUM(C132:N132)</f>
        <v>0</v>
      </c>
    </row>
    <row r="133" customFormat="false" ht="15" hidden="false" customHeight="false" outlineLevel="0" collapsed="false">
      <c r="A133" s="57" t="str">
        <f aca="false">IF(Settings!$C$27="","",Settings!$C$27)</f>
        <v/>
      </c>
      <c r="B133" s="39" t="s">
        <v>216</v>
      </c>
      <c r="C133" s="30" t="n">
        <f aca="false">IF(Settings!$C$27="",0,SUMIFS(Adjustments!$J$6:$J$105,Adjustments!$A$6:$A$105,Settings!$C$27,Adjustments!$L$6:$L$105,1))</f>
        <v>0</v>
      </c>
      <c r="D133" s="30" t="n">
        <f aca="false">IF(Settings!$C$27="",0,SUMIFS(Adjustments!$J$6:$J$105,Adjustments!$A$6:$A$105,Settings!$C$27,Adjustments!$L$6:$L$105,2))</f>
        <v>0</v>
      </c>
      <c r="E133" s="30" t="n">
        <f aca="false">IF(Settings!$C$27="",0,SUMIFS(Adjustments!$J$6:$J$105,Adjustments!$A$6:$A$105,Settings!$C$27,Adjustments!$L$6:$L$105,3))</f>
        <v>0</v>
      </c>
      <c r="F133" s="30" t="n">
        <f aca="false">IF(Settings!$C$27="",0,SUMIFS(Adjustments!$J$6:$J$105,Adjustments!$A$6:$A$105,Settings!$C$27,Adjustments!$L$6:$L$105,4))</f>
        <v>0</v>
      </c>
      <c r="G133" s="30" t="n">
        <f aca="false">IF(Settings!$C$27="",0,SUMIFS(Adjustments!$J$6:$J$105,Adjustments!$A$6:$A$105,Settings!$C$27,Adjustments!$L$6:$L$105,5))</f>
        <v>0</v>
      </c>
      <c r="H133" s="30" t="n">
        <f aca="false">IF(Settings!$C$27="",0,SUMIFS(Adjustments!$J$6:$J$105,Adjustments!$A$6:$A$105,Settings!$C$27,Adjustments!$L$6:$L$105,6))</f>
        <v>0</v>
      </c>
      <c r="I133" s="30" t="n">
        <f aca="false">IF(Settings!$C$27="",0,SUMIFS(Adjustments!$J$6:$J$105,Adjustments!$A$6:$A$105,Settings!$C$27,Adjustments!$L$6:$L$105,7))</f>
        <v>0</v>
      </c>
      <c r="J133" s="30" t="n">
        <f aca="false">IF(Settings!$C$27="",0,SUMIFS(Adjustments!$J$6:$J$105,Adjustments!$A$6:$A$105,Settings!$C$27,Adjustments!$L$6:$L$105,8))</f>
        <v>0</v>
      </c>
      <c r="K133" s="30" t="n">
        <f aca="false">IF(Settings!$C$27="",0,SUMIFS(Adjustments!$J$6:$J$105,Adjustments!$A$6:$A$105,Settings!$C$27,Adjustments!$L$6:$L$105,9))</f>
        <v>0</v>
      </c>
      <c r="L133" s="30" t="n">
        <f aca="false">IF(Settings!$C$27="",0,SUMIFS(Adjustments!$J$6:$J$105,Adjustments!$A$6:$A$105,Settings!$C$27,Adjustments!$L$6:$L$105,10))</f>
        <v>0</v>
      </c>
      <c r="M133" s="30" t="n">
        <f aca="false">IF(Settings!$C$27="",0,SUMIFS(Adjustments!$J$6:$J$105,Adjustments!$A$6:$A$105,Settings!$C$27,Adjustments!$L$6:$L$105,11))</f>
        <v>0</v>
      </c>
      <c r="N133" s="30" t="n">
        <f aca="false">IF(Settings!$C$27="",0,SUMIFS(Adjustments!$J$6:$J$105,Adjustments!$A$6:$A$105,Settings!$C$27,Adjustments!$L$6:$L$105,12))</f>
        <v>0</v>
      </c>
      <c r="O133" s="44" t="n">
        <f aca="false">SUM(C133:N133)</f>
        <v>0</v>
      </c>
    </row>
    <row r="134" customFormat="false" ht="15" hidden="false" customHeight="false" outlineLevel="0" collapsed="false">
      <c r="A134" s="57" t="str">
        <f aca="false">IF(Settings!$C$27="","",Settings!$C$27)</f>
        <v/>
      </c>
      <c r="B134" s="46" t="s">
        <v>217</v>
      </c>
      <c r="C134" s="30" t="n">
        <f aca="false">C132+C133</f>
        <v>0</v>
      </c>
      <c r="D134" s="30" t="n">
        <f aca="false">D132+D133</f>
        <v>0</v>
      </c>
      <c r="E134" s="30" t="n">
        <f aca="false">E132+E133</f>
        <v>0</v>
      </c>
      <c r="F134" s="30" t="n">
        <f aca="false">F132+F133</f>
        <v>0</v>
      </c>
      <c r="G134" s="30" t="n">
        <f aca="false">G132+G133</f>
        <v>0</v>
      </c>
      <c r="H134" s="30" t="n">
        <f aca="false">H132+H133</f>
        <v>0</v>
      </c>
      <c r="I134" s="30" t="n">
        <f aca="false">I132+I133</f>
        <v>0</v>
      </c>
      <c r="J134" s="30" t="n">
        <f aca="false">J132+J133</f>
        <v>0</v>
      </c>
      <c r="K134" s="30" t="n">
        <f aca="false">K132+K133</f>
        <v>0</v>
      </c>
      <c r="L134" s="30" t="n">
        <f aca="false">L132+L133</f>
        <v>0</v>
      </c>
      <c r="M134" s="30" t="n">
        <f aca="false">M132+M133</f>
        <v>0</v>
      </c>
      <c r="N134" s="30" t="n">
        <f aca="false">N132+N133</f>
        <v>0</v>
      </c>
      <c r="O134" s="44" t="n">
        <f aca="false">SUM(C134:N134)</f>
        <v>0</v>
      </c>
    </row>
    <row r="135" customFormat="false" ht="15" hidden="false" customHeight="false" outlineLevel="0" collapsed="false">
      <c r="A135" s="57" t="str">
        <f aca="false">IF(Settings!$C$27="","",Settings!$C$27)</f>
        <v/>
      </c>
      <c r="B135" s="39" t="s">
        <v>218</v>
      </c>
      <c r="C135" s="30" t="n">
        <f aca="false">IF(OR(Settings!$C$27="",N(Settings!$G$27)=0),0,IF(AND(1&gt;=IFERROR(MATCH(Settings!$H$27,Settings!$N$13:$N$24,0),1),1&lt;=IFERROR(MATCH(Settings!$I$27,Settings!$N$13:$N$24,0),12)),Settings!$G$27,0))</f>
        <v>0</v>
      </c>
      <c r="D135" s="30" t="n">
        <f aca="false">IF(OR(Settings!$C$27="",N(Settings!$G$27)=0),0,IF(AND(2&gt;=IFERROR(MATCH(Settings!$H$27,Settings!$N$13:$N$24,0),1),2&lt;=IFERROR(MATCH(Settings!$I$27,Settings!$N$13:$N$24,0),12)),Settings!$G$27,0))</f>
        <v>0</v>
      </c>
      <c r="E135" s="30" t="n">
        <f aca="false">IF(OR(Settings!$C$27="",N(Settings!$G$27)=0),0,IF(AND(3&gt;=IFERROR(MATCH(Settings!$H$27,Settings!$N$13:$N$24,0),1),3&lt;=IFERROR(MATCH(Settings!$I$27,Settings!$N$13:$N$24,0),12)),Settings!$G$27,0))</f>
        <v>0</v>
      </c>
      <c r="F135" s="30" t="n">
        <f aca="false">IF(OR(Settings!$C$27="",N(Settings!$G$27)=0),0,IF(AND(4&gt;=IFERROR(MATCH(Settings!$H$27,Settings!$N$13:$N$24,0),1),4&lt;=IFERROR(MATCH(Settings!$I$27,Settings!$N$13:$N$24,0),12)),Settings!$G$27,0))</f>
        <v>0</v>
      </c>
      <c r="G135" s="30" t="n">
        <f aca="false">IF(OR(Settings!$C$27="",N(Settings!$G$27)=0),0,IF(AND(5&gt;=IFERROR(MATCH(Settings!$H$27,Settings!$N$13:$N$24,0),1),5&lt;=IFERROR(MATCH(Settings!$I$27,Settings!$N$13:$N$24,0),12)),Settings!$G$27,0))</f>
        <v>0</v>
      </c>
      <c r="H135" s="30" t="n">
        <f aca="false">IF(OR(Settings!$C$27="",N(Settings!$G$27)=0),0,IF(AND(6&gt;=IFERROR(MATCH(Settings!$H$27,Settings!$N$13:$N$24,0),1),6&lt;=IFERROR(MATCH(Settings!$I$27,Settings!$N$13:$N$24,0),12)),Settings!$G$27,0))</f>
        <v>0</v>
      </c>
      <c r="I135" s="30" t="n">
        <f aca="false">IF(OR(Settings!$C$27="",N(Settings!$G$27)=0),0,IF(AND(7&gt;=IFERROR(MATCH(Settings!$H$27,Settings!$N$13:$N$24,0),1),7&lt;=IFERROR(MATCH(Settings!$I$27,Settings!$N$13:$N$24,0),12)),Settings!$G$27,0))</f>
        <v>0</v>
      </c>
      <c r="J135" s="30" t="n">
        <f aca="false">IF(OR(Settings!$C$27="",N(Settings!$G$27)=0),0,IF(AND(8&gt;=IFERROR(MATCH(Settings!$H$27,Settings!$N$13:$N$24,0),1),8&lt;=IFERROR(MATCH(Settings!$I$27,Settings!$N$13:$N$24,0),12)),Settings!$G$27,0))</f>
        <v>0</v>
      </c>
      <c r="K135" s="30" t="n">
        <f aca="false">IF(OR(Settings!$C$27="",N(Settings!$G$27)=0),0,IF(AND(9&gt;=IFERROR(MATCH(Settings!$H$27,Settings!$N$13:$N$24,0),1),9&lt;=IFERROR(MATCH(Settings!$I$27,Settings!$N$13:$N$24,0),12)),Settings!$G$27,0))</f>
        <v>0</v>
      </c>
      <c r="L135" s="30" t="n">
        <f aca="false">IF(OR(Settings!$C$27="",N(Settings!$G$27)=0),0,IF(AND(10&gt;=IFERROR(MATCH(Settings!$H$27,Settings!$N$13:$N$24,0),1),10&lt;=IFERROR(MATCH(Settings!$I$27,Settings!$N$13:$N$24,0),12)),Settings!$G$27,0))</f>
        <v>0</v>
      </c>
      <c r="M135" s="30" t="n">
        <f aca="false">IF(OR(Settings!$C$27="",N(Settings!$G$27)=0),0,IF(AND(11&gt;=IFERROR(MATCH(Settings!$H$27,Settings!$N$13:$N$24,0),1),11&lt;=IFERROR(MATCH(Settings!$I$27,Settings!$N$13:$N$24,0),12)),Settings!$G$27,0))</f>
        <v>0</v>
      </c>
      <c r="N135" s="30" t="n">
        <f aca="false">IF(OR(Settings!$C$27="",N(Settings!$G$27)=0),0,IF(AND(12&gt;=IFERROR(MATCH(Settings!$H$27,Settings!$N$13:$N$24,0),1),12&lt;=IFERROR(MATCH(Settings!$I$27,Settings!$N$13:$N$24,0),12)),Settings!$G$27,0))</f>
        <v>0</v>
      </c>
      <c r="O135" s="44" t="n">
        <f aca="false">SUM(C135:N135)</f>
        <v>0</v>
      </c>
    </row>
    <row r="136" customFormat="false" ht="15" hidden="false" customHeight="false" outlineLevel="0" collapsed="false">
      <c r="A136" s="57" t="str">
        <f aca="false">IF(Settings!$C$27="","",Settings!$C$27)</f>
        <v/>
      </c>
      <c r="B136" s="39" t="s">
        <v>219</v>
      </c>
      <c r="C136" s="30" t="n">
        <f aca="false">IF(ISNUMBER(Settings!$K$27),MIN(0,Settings!$K$27),0)</f>
        <v>0</v>
      </c>
      <c r="D136" s="30" t="n">
        <f aca="false">C139</f>
        <v>0</v>
      </c>
      <c r="E136" s="30" t="n">
        <f aca="false">D139</f>
        <v>0</v>
      </c>
      <c r="F136" s="30" t="n">
        <f aca="false">E139</f>
        <v>0</v>
      </c>
      <c r="G136" s="30" t="n">
        <f aca="false">F139</f>
        <v>0</v>
      </c>
      <c r="H136" s="30" t="n">
        <f aca="false">G139</f>
        <v>0</v>
      </c>
      <c r="I136" s="30" t="n">
        <f aca="false">H139</f>
        <v>0</v>
      </c>
      <c r="J136" s="30" t="n">
        <f aca="false">I139</f>
        <v>0</v>
      </c>
      <c r="K136" s="30" t="n">
        <f aca="false">J139</f>
        <v>0</v>
      </c>
      <c r="L136" s="30" t="n">
        <f aca="false">K139</f>
        <v>0</v>
      </c>
      <c r="M136" s="30" t="n">
        <f aca="false">L139</f>
        <v>0</v>
      </c>
      <c r="N136" s="30" t="n">
        <f aca="false">M139</f>
        <v>0</v>
      </c>
    </row>
    <row r="137" customFormat="false" ht="15" hidden="false" customHeight="false" outlineLevel="0" collapsed="false">
      <c r="A137" s="57" t="str">
        <f aca="false">IF(Settings!$C$27="","",Settings!$C$27)</f>
        <v/>
      </c>
      <c r="B137" s="39" t="s">
        <v>220</v>
      </c>
      <c r="C137" s="30" t="n">
        <f aca="false">C134-C135+C136</f>
        <v>0</v>
      </c>
      <c r="D137" s="30" t="n">
        <f aca="false">D134-D135+D136</f>
        <v>0</v>
      </c>
      <c r="E137" s="30" t="n">
        <f aca="false">E134-E135+E136</f>
        <v>0</v>
      </c>
      <c r="F137" s="30" t="n">
        <f aca="false">F134-F135+F136</f>
        <v>0</v>
      </c>
      <c r="G137" s="30" t="n">
        <f aca="false">G134-G135+G136</f>
        <v>0</v>
      </c>
      <c r="H137" s="30" t="n">
        <f aca="false">H134-H135+H136</f>
        <v>0</v>
      </c>
      <c r="I137" s="30" t="n">
        <f aca="false">I134-I135+I136</f>
        <v>0</v>
      </c>
      <c r="J137" s="30" t="n">
        <f aca="false">J134-J135+J136</f>
        <v>0</v>
      </c>
      <c r="K137" s="30" t="n">
        <f aca="false">K134-K135+K136</f>
        <v>0</v>
      </c>
      <c r="L137" s="30" t="n">
        <f aca="false">L134-L135+L136</f>
        <v>0</v>
      </c>
      <c r="M137" s="30" t="n">
        <f aca="false">M134-M135+M136</f>
        <v>0</v>
      </c>
      <c r="N137" s="30" t="n">
        <f aca="false">N134-N135+N136</f>
        <v>0</v>
      </c>
    </row>
    <row r="138" customFormat="false" ht="15" hidden="false" customHeight="false" outlineLevel="0" collapsed="false">
      <c r="A138" s="57" t="str">
        <f aca="false">IF(Settings!$C$27="","",Settings!$C$27)</f>
        <v/>
      </c>
      <c r="B138" s="46" t="s">
        <v>172</v>
      </c>
      <c r="C138" s="44" t="n">
        <f aca="false">MAX(0,C137)</f>
        <v>0</v>
      </c>
      <c r="D138" s="44" t="n">
        <f aca="false">MAX(0,D137)</f>
        <v>0</v>
      </c>
      <c r="E138" s="44" t="n">
        <f aca="false">MAX(0,E137)</f>
        <v>0</v>
      </c>
      <c r="F138" s="44" t="n">
        <f aca="false">MAX(0,F137)</f>
        <v>0</v>
      </c>
      <c r="G138" s="44" t="n">
        <f aca="false">MAX(0,G137)</f>
        <v>0</v>
      </c>
      <c r="H138" s="44" t="n">
        <f aca="false">MAX(0,H137)</f>
        <v>0</v>
      </c>
      <c r="I138" s="44" t="n">
        <f aca="false">MAX(0,I137)</f>
        <v>0</v>
      </c>
      <c r="J138" s="44" t="n">
        <f aca="false">MAX(0,J137)</f>
        <v>0</v>
      </c>
      <c r="K138" s="44" t="n">
        <f aca="false">MAX(0,K137)</f>
        <v>0</v>
      </c>
      <c r="L138" s="44" t="n">
        <f aca="false">MAX(0,L137)</f>
        <v>0</v>
      </c>
      <c r="M138" s="44" t="n">
        <f aca="false">MAX(0,M137)</f>
        <v>0</v>
      </c>
      <c r="N138" s="44" t="n">
        <f aca="false">MAX(0,N137)</f>
        <v>0</v>
      </c>
      <c r="O138" s="44" t="n">
        <f aca="false">SUM(C138:N138)</f>
        <v>0</v>
      </c>
    </row>
    <row r="139" customFormat="false" ht="15" hidden="false" customHeight="false" outlineLevel="0" collapsed="false">
      <c r="A139" s="57" t="str">
        <f aca="false">IF(Settings!$C$27="","",Settings!$C$27)</f>
        <v/>
      </c>
      <c r="B139" s="39" t="s">
        <v>221</v>
      </c>
      <c r="C139" s="30" t="n">
        <f aca="false">IF(Settings!$J$27="No",MIN(0,C134+C136),MIN(0,C137))</f>
        <v>0</v>
      </c>
      <c r="D139" s="30" t="n">
        <f aca="false">IF(Settings!$J$27="No",MIN(0,D134+D136),MIN(0,D137))</f>
        <v>0</v>
      </c>
      <c r="E139" s="30" t="n">
        <f aca="false">IF(Settings!$J$27="No",MIN(0,E134+E136),MIN(0,E137))</f>
        <v>0</v>
      </c>
      <c r="F139" s="30" t="n">
        <f aca="false">IF(Settings!$J$27="No",MIN(0,F134+F136),MIN(0,F137))</f>
        <v>0</v>
      </c>
      <c r="G139" s="30" t="n">
        <f aca="false">IF(Settings!$J$27="No",MIN(0,G134+G136),MIN(0,G137))</f>
        <v>0</v>
      </c>
      <c r="H139" s="30" t="n">
        <f aca="false">IF(Settings!$J$27="No",MIN(0,H134+H136),MIN(0,H137))</f>
        <v>0</v>
      </c>
      <c r="I139" s="30" t="n">
        <f aca="false">IF(Settings!$J$27="No",MIN(0,I134+I136),MIN(0,I137))</f>
        <v>0</v>
      </c>
      <c r="J139" s="30" t="n">
        <f aca="false">IF(Settings!$J$27="No",MIN(0,J134+J136),MIN(0,J137))</f>
        <v>0</v>
      </c>
      <c r="K139" s="30" t="n">
        <f aca="false">IF(Settings!$J$27="No",MIN(0,K134+K136),MIN(0,K137))</f>
        <v>0</v>
      </c>
      <c r="L139" s="30" t="n">
        <f aca="false">IF(Settings!$J$27="No",MIN(0,L134+L136),MIN(0,L137))</f>
        <v>0</v>
      </c>
      <c r="M139" s="30" t="n">
        <f aca="false">IF(Settings!$J$27="No",MIN(0,M134+M136),MIN(0,M137))</f>
        <v>0</v>
      </c>
      <c r="N139" s="30" t="n">
        <f aca="false">IF(Settings!$J$27="No",MIN(0,N134+N136),MIN(0,N137))</f>
        <v>0</v>
      </c>
    </row>
    <row r="140" customFormat="false" ht="7.5" hidden="false" customHeight="true" outlineLevel="0" collapsed="false"/>
  </sheetData>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2026-10-28T14:02:33Z</dcterms:created>
  <dc:creator>Prowi</dc:creator>
  <dc:description/>
  <dc:language>en-GB</dc:language>
  <cp:lastModifiedBy/>
  <dcterms:modified xsi:type="dcterms:W3CDTF">2026-10-28T14:02:33Z</dcterms:modified>
  <cp:revision>0</cp:revision>
  <dc:subject/>
  <dc:title>Commission statement (template)</dc:title>
</cp:coreProperties>
</file>

<file path=docProps/custom.xml><?xml version="1.0" encoding="utf-8"?>
<Properties xmlns="http://schemas.openxmlformats.org/officeDocument/2006/custom-properties" xmlns:vt="http://schemas.openxmlformats.org/officeDocument/2006/docPropsVTypes"/>
</file>