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Instructions" sheetId="1" state="visible" r:id="rId1"/>
    <sheet xmlns:r="http://schemas.openxmlformats.org/officeDocument/2006/relationships" name="EASI Score" sheetId="2" state="visible" r:id="rId2"/>
    <sheet xmlns:r="http://schemas.openxmlformats.org/officeDocument/2006/relationships" name="Metrics" sheetId="3" state="visible" r:id="rId3"/>
    <sheet xmlns:r="http://schemas.openxmlformats.org/officeDocument/2006/relationships" name="Results" sheetId="4" state="hidden" r:id="rId4"/>
    <sheet xmlns:r="http://schemas.openxmlformats.org/officeDocument/2006/relationships" name="Reference" sheetId="5" state="visible" r:id="rId5"/>
    <sheet xmlns:r="http://schemas.openxmlformats.org/officeDocument/2006/relationships" name="Metadata" sheetId="6" state="visible" r:id="rId6"/>
    <sheet xmlns:r="http://schemas.openxmlformats.org/officeDocument/2006/relationships" name="ChartData" sheetId="7" state="hidden" r:id="rId7"/>
  </sheets>
  <definedNames>
    <definedName name="anchor_good">'Reference'!$B$6</definedName>
    <definedName name="score_good">'Reference'!$C$6</definedName>
    <definedName name="anchor_fair">'Reference'!$B$7</definedName>
    <definedName name="score_fair">'Reference'!$C$7</definedName>
    <definedName name="anchor_poor">'Reference'!$B$8</definedName>
    <definedName name="score_poor">'Reference'!$C$8</definedName>
    <definedName name="curve_keys">'Reference'!$A$90:$A$123</definedName>
    <definedName name="curve_x1">'Reference'!$G$90:$G$123</definedName>
    <definedName name="curve_y1">'Reference'!$H$90:$H$123</definedName>
    <definedName name="curve_x2">'Reference'!$I$90:$I$123</definedName>
    <definedName name="curve_y2">'Reference'!$J$90:$J$123</definedName>
    <definedName name="curve_x3">'Reference'!$K$90:$K$123</definedName>
    <definedName name="curve_y3">'Reference'!$L$90:$L$123</definedName>
    <definedName name="curve_x4">'Reference'!$M$90:$M$123</definedName>
    <definedName name="curve_y4">'Reference'!$N$90:$N$123</definedName>
    <definedName name="curve_x5">'Reference'!$O$90:$O$123</definedName>
    <definedName name="curve_y5">'Reference'!$P$90:$P$123</definedName>
    <definedName name="curve_x39">'Reference'!$Q$90:$Q$123</definedName>
    <definedName name="curve_x69">'Reference'!$R$90:$R$123</definedName>
    <definedName name="nutrient_regions">'Reference'!$A$127:$A$135</definedName>
    <definedName name="nutrient_tn_gf">'Reference'!$B$127:$B$135</definedName>
    <definedName name="nutrient_tn_fp">'Reference'!$C$127:$C$135</definedName>
    <definedName name="nutrient_tp_gf">'Reference'!$D$127:$D$135</definedName>
    <definedName name="nutrient_tp_fp">'Reference'!$E$127:$E$135</definedName>
    <definedName name="attains_keys">'Reference'!$A$139:$A$145</definedName>
    <definedName name="attains_ratings">'Reference'!$B$139:$B$145</definedName>
    <definedName name="site_name">'EASI Score'!$B$2</definedName>
    <definedName name="site_assessor">'EASI Score'!$G$2</definedName>
    <definedName name="site_comid">'EASI Score'!$K$2</definedName>
    <definedName name="site_coords">'EASI Score'!$B$3</definedName>
    <definedName name="site_date">'EASI Score'!$G$3</definedName>
    <definedName name="ctx_region">'EASI Score'!$K$3</definedName>
    <definedName name="ctx_fcode">'EASI Score'!$B$4</definedName>
    <definedName name="ctx_slope_override">'EASI Score'!$G$4</definedName>
    <definedName name="calc_slope_class">'EASI Score'!$K$4</definedName>
    <definedName name="in_impervious">'EASI Score'!$J$8</definedName>
    <definedName name="in_agriculture">'EASI Score'!$J$9</definedName>
    <definedName name="ov_m01_rating">'EASI Score'!$J$10</definedName>
    <definedName name="in_woodyWetland">'EASI Score'!$J$11</definedName>
    <definedName name="in_herbaceousWetland">'EASI Score'!$J$12</definedName>
    <definedName name="ov_m02_rating">'EASI Score'!$J$14</definedName>
    <definedName name="in_roadDensity">'EASI Score'!$J$15</definedName>
    <definedName name="ov_m03_rating">'EASI Score'!$J$16</definedName>
    <definedName name="in_storage">'EASI Score'!$J$17</definedName>
    <definedName name="in_runoff">'EASI Score'!$J$18</definedName>
    <definedName name="ov_m04_rating">'EASI Score'!$J$20</definedName>
    <definedName name="in_flowCv">'EASI Score'!$J$21</definedName>
    <definedName name="ov_m05_rating">'EASI Score'!$J$22</definedName>
    <definedName name="in_bhr">'EASI Score'!$J$23</definedName>
    <definedName name="ov_m06_rating">'EASI Score'!$J$24</definedName>
    <definedName name="in_er">'EASI Score'!$J$25</definedName>
    <definedName name="in_slope">'EASI Score'!$J$26</definedName>
    <definedName name="ov_m07_rating">'EASI Score'!$J$27</definedName>
    <definedName name="in_sinuosity">'EASI Score'!$J$29</definedName>
    <definedName name="ov_m08_rating">'EASI Score'!$J$30</definedName>
    <definedName name="ov_stageClass">'EASI Score'!$J$33</definedName>
    <definedName name="ov_indicators">'EASI Score'!$J$34</definedName>
    <definedName name="ov_m09_rating">'EASI Score'!$J$35</definedName>
    <definedName name="ov_erodingBankPct">'EASI Score'!$J$37</definedName>
    <definedName name="ov_armoredBankPct">'EASI Score'!$J$38</definedName>
    <definedName name="ov_m10_rating">'EASI Score'!$J$39</definedName>
    <definedName name="in_kFactor">'EASI Score'!$J$41</definedName>
    <definedName name="ov_m11_rating">'EASI Score'!$J$43</definedName>
    <definedName name="ov_m12_rating">'EASI Score'!$J$45</definedName>
    <definedName name="in_woodyRiparian">'EASI Score'!$J$46</definedName>
    <definedName name="ov_m13_rating">'EASI Score'!$J$48</definedName>
    <definedName name="in_forest">'EASI Score'!$J$49</definedName>
    <definedName name="in_shrub">'EASI Score'!$J$50</definedName>
    <definedName name="in_grassland">'EASI Score'!$J$51</definedName>
    <definedName name="in_wetland">'EASI Score'!$J$52</definedName>
    <definedName name="ov_m14_rating">'EASI Score'!$J$54</definedName>
    <definedName name="in_tn">'EASI Score'!$J$55</definedName>
    <definedName name="in_tp">'EASI Score'!$J$56</definedName>
    <definedName name="in_chemCatchment">'EASI Score'!$J$57</definedName>
    <definedName name="in_chemWatershed">'EASI Score'!$J$58</definedName>
    <definedName name="ov_m15_rating">'EASI Score'!$J$59</definedName>
    <definedName name="in_category">'EASI Score'!$J$60</definedName>
    <definedName name="ov_m16_rating">'EASI Score'!$J$63</definedName>
    <definedName name="ov_m17_rating">'EASI Score'!$J$65</definedName>
    <definedName name="in_prGBmmi">'EASI Score'!$J$66</definedName>
    <definedName name="in_hydCat">'EASI Score'!$J$67</definedName>
    <definedName name="in_sedCat">'EASI Score'!$J$68</definedName>
    <definedName name="in_connCat">'EASI Score'!$J$69</definedName>
    <definedName name="in_tempCat">'EASI Score'!$J$70</definedName>
    <definedName name="in_habtCat">'EASI Score'!$J$71</definedName>
    <definedName name="in_hydWs">'EASI Score'!$J$73</definedName>
    <definedName name="in_sedWs">'EASI Score'!$J$74</definedName>
    <definedName name="in_connWs">'EASI Score'!$J$75</definedName>
    <definedName name="in_tempWs">'EASI Score'!$J$76</definedName>
    <definedName name="in_habtWs">'EASI Score'!$J$77</definedName>
    <definedName name="ov_m18_rating">'EASI Score'!$J$81</definedName>
    <definedName name="in_taxaCount">'EASI Score'!$J$82</definedName>
    <definedName name="ov_m19_rating">'EASI Score'!$J$83</definedName>
    <definedName name="in_damCount">'EASI Score'!$J$84</definedName>
    <definedName name="ov_m20_rating">'EASI Score'!$J$85</definedName>
    <definedName name="in_m01">'EASI Score'!$B$89</definedName>
    <definedName name="in_m02">'EASI Score'!$C$89</definedName>
    <definedName name="in_m03">'EASI Score'!$D$89</definedName>
    <definedName name="in_m04">'EASI Score'!$E$89</definedName>
    <definedName name="in_m05">'EASI Score'!$F$89</definedName>
    <definedName name="in_m06">'EASI Score'!$G$89</definedName>
    <definedName name="in_m07">'EASI Score'!$H$89</definedName>
    <definedName name="in_m08">'EASI Score'!$I$89</definedName>
    <definedName name="in_m09">'EASI Score'!$J$89</definedName>
    <definedName name="in_m10">'EASI Score'!$K$89</definedName>
    <definedName name="in_m11">'EASI Score'!$L$89</definedName>
    <definedName name="in_m12">'EASI Score'!$M$89</definedName>
    <definedName name="flow_cv_helper">'EASI Score'!$B$90</definedName>
    <definedName name="site_notes">'EASI Score'!$A$92</definedName>
    <definedName name="m01_governing">'Metrics'!$B$8</definedName>
    <definedName name="m01_combined">'Metrics'!$B$9</definedName>
    <definedName name="m01_route">'Metrics'!$B$10</definedName>
    <definedName name="m01_computed">'Metrics'!$C$11</definedName>
    <definedName name="m01_rating">'Metrics'!$C$13</definedName>
    <definedName name="m01_index">'Metrics'!$D$13</definedName>
    <definedName name="m01_score">'Metrics'!$B$14</definedName>
    <definedName name="m01_status">'Metrics'!$B$15</definedName>
    <definedName name="m02_combined">'Metrics'!$B$21</definedName>
    <definedName name="m02_route">'Metrics'!$B$22</definedName>
    <definedName name="m02_computed">'Metrics'!$C$23</definedName>
    <definedName name="m02_rating">'Metrics'!$C$25</definedName>
    <definedName name="m02_index">'Metrics'!$D$25</definedName>
    <definedName name="m02_score">'Metrics'!$B$26</definedName>
    <definedName name="m02_status">'Metrics'!$B$27</definedName>
    <definedName name="m03_route">'Metrics'!$B$32</definedName>
    <definedName name="m03_computed">'Metrics'!$C$33</definedName>
    <definedName name="m03_rating">'Metrics'!$C$35</definedName>
    <definedName name="m03_index">'Metrics'!$D$35</definedName>
    <definedName name="m03_score">'Metrics'!$B$36</definedName>
    <definedName name="m03_status">'Metrics'!$B$37</definedName>
    <definedName name="m04_combined">'Metrics'!$B$43</definedName>
    <definedName name="m04_route">'Metrics'!$B$44</definedName>
    <definedName name="m04_computed">'Metrics'!$C$45</definedName>
    <definedName name="m04_rating">'Metrics'!$C$47</definedName>
    <definedName name="m04_index">'Metrics'!$D$47</definedName>
    <definedName name="m04_score">'Metrics'!$B$48</definedName>
    <definedName name="m04_status">'Metrics'!$B$49</definedName>
    <definedName name="m05_route">'Metrics'!$B$57</definedName>
    <definedName name="m05_computed">'Metrics'!$C$58</definedName>
    <definedName name="m05_rating">'Metrics'!$C$60</definedName>
    <definedName name="m05_index">'Metrics'!$D$60</definedName>
    <definedName name="m05_score">'Metrics'!$B$61</definedName>
    <definedName name="m05_status">'Metrics'!$B$62</definedName>
    <definedName name="m06_route">'Metrics'!$B$67</definedName>
    <definedName name="m06_computed">'Metrics'!$C$68</definedName>
    <definedName name="m06_rating">'Metrics'!$C$70</definedName>
    <definedName name="m06_index">'Metrics'!$D$70</definedName>
    <definedName name="m06_score">'Metrics'!$B$71</definedName>
    <definedName name="m06_status">'Metrics'!$B$72</definedName>
    <definedName name="m07_route">'Metrics'!$B$79</definedName>
    <definedName name="m07_computed">'Metrics'!$C$80</definedName>
    <definedName name="m07_rating">'Metrics'!$C$82</definedName>
    <definedName name="m07_index">'Metrics'!$D$82</definedName>
    <definedName name="m07_score">'Metrics'!$B$83</definedName>
    <definedName name="m07_status">'Metrics'!$B$84</definedName>
    <definedName name="m08_governing">'Metrics'!$B$90</definedName>
    <definedName name="m08_combined">'Metrics'!$B$91</definedName>
    <definedName name="m08_route">'Metrics'!$B$92</definedName>
    <definedName name="m08_computed">'Metrics'!$C$93</definedName>
    <definedName name="m08_rating">'Metrics'!$C$95</definedName>
    <definedName name="m08_index">'Metrics'!$D$95</definedName>
    <definedName name="m08_score">'Metrics'!$B$96</definedName>
    <definedName name="m08_status">'Metrics'!$B$97</definedName>
    <definedName name="m09_proxy_index">'Metrics'!$B$105</definedName>
    <definedName name="m09_route">'Metrics'!$B$106</definedName>
    <definedName name="m09_computed">'Metrics'!$C$107</definedName>
    <definedName name="m09_rating">'Metrics'!$C$109</definedName>
    <definedName name="m09_index">'Metrics'!$D$109</definedName>
    <definedName name="m09_score">'Metrics'!$B$110</definedName>
    <definedName name="m09_status">'Metrics'!$B$111</definedName>
    <definedName name="m10_route">'Metrics'!$B$118</definedName>
    <definedName name="m10_computed">'Metrics'!$C$119</definedName>
    <definedName name="m10_rating">'Metrics'!$C$121</definedName>
    <definedName name="m10_index">'Metrics'!$D$121</definedName>
    <definedName name="m10_score">'Metrics'!$B$122</definedName>
    <definedName name="m10_status">'Metrics'!$B$123</definedName>
    <definedName name="m11_governing">'Metrics'!$B$130</definedName>
    <definedName name="m11_combined">'Metrics'!$B$131</definedName>
    <definedName name="m11_route">'Metrics'!$B$132</definedName>
    <definedName name="m11_computed">'Metrics'!$C$133</definedName>
    <definedName name="m11_rating">'Metrics'!$C$135</definedName>
    <definedName name="m11_index">'Metrics'!$D$135</definedName>
    <definedName name="m11_score">'Metrics'!$B$136</definedName>
    <definedName name="m11_status">'Metrics'!$B$137</definedName>
    <definedName name="m12_route">'Metrics'!$B$142</definedName>
    <definedName name="m12_computed">'Metrics'!$C$143</definedName>
    <definedName name="m12_rating">'Metrics'!$C$145</definedName>
    <definedName name="m12_index">'Metrics'!$D$145</definedName>
    <definedName name="m12_score">'Metrics'!$B$146</definedName>
    <definedName name="m12_status">'Metrics'!$B$147</definedName>
    <definedName name="m13_governing">'Metrics'!$B$155</definedName>
    <definedName name="m13_combined">'Metrics'!$B$156</definedName>
    <definedName name="m13_route">'Metrics'!$B$157</definedName>
    <definedName name="m13_computed">'Metrics'!$C$158</definedName>
    <definedName name="m13_rating">'Metrics'!$C$160</definedName>
    <definedName name="m13_index">'Metrics'!$D$160</definedName>
    <definedName name="m13_score">'Metrics'!$B$161</definedName>
    <definedName name="m13_status">'Metrics'!$B$162</definedName>
    <definedName name="m14_combined">'Metrics'!$B$170</definedName>
    <definedName name="m14_route">'Metrics'!$B$173</definedName>
    <definedName name="m14_computed">'Metrics'!$C$174</definedName>
    <definedName name="m14_rating">'Metrics'!$C$176</definedName>
    <definedName name="m14_index">'Metrics'!$D$176</definedName>
    <definedName name="m14_score">'Metrics'!$B$177</definedName>
    <definedName name="m14_status">'Metrics'!$B$178</definedName>
    <definedName name="m15_chem">'Metrics'!$B$184</definedName>
    <definedName name="m15_route">'Metrics'!$B$185</definedName>
    <definedName name="m15_computed">'Metrics'!$C$186</definedName>
    <definedName name="m15_rating">'Metrics'!$C$188</definedName>
    <definedName name="m15_index">'Metrics'!$D$188</definedName>
    <definedName name="m15_score">'Metrics'!$B$189</definedName>
    <definedName name="m15_status">'Metrics'!$B$190</definedName>
    <definedName name="m16_chem">'Metrics'!$B$195</definedName>
    <definedName name="m16_route">'Metrics'!$B$196</definedName>
    <definedName name="m16_computed">'Metrics'!$C$197</definedName>
    <definedName name="m16_rating">'Metrics'!$C$199</definedName>
    <definedName name="m16_index">'Metrics'!$D$199</definedName>
    <definedName name="m16_score">'Metrics'!$B$200</definedName>
    <definedName name="m16_status">'Metrics'!$B$201</definedName>
    <definedName name="m17_route">'Metrics'!$B$209</definedName>
    <definedName name="m17_computed">'Metrics'!$C$210</definedName>
    <definedName name="m17_rating">'Metrics'!$C$212</definedName>
    <definedName name="m17_index">'Metrics'!$D$212</definedName>
    <definedName name="m17_score">'Metrics'!$B$213</definedName>
    <definedName name="m17_status">'Metrics'!$B$214</definedName>
    <definedName name="m18_ici">'Metrics'!$B$219</definedName>
    <definedName name="m18_iwi">'Metrics'!$B$220</definedName>
    <definedName name="m18_products">'Metrics'!$B$221</definedName>
    <definedName name="m18_route">'Metrics'!$B$222</definedName>
    <definedName name="m18_computed">'Metrics'!$C$223</definedName>
    <definedName name="m18_rating">'Metrics'!$C$225</definedName>
    <definedName name="m18_index">'Metrics'!$D$225</definedName>
    <definedName name="m18_score">'Metrics'!$B$226</definedName>
    <definedName name="m18_status">'Metrics'!$B$227</definedName>
    <definedName name="m19_route">'Metrics'!$B$232</definedName>
    <definedName name="m19_computed">'Metrics'!$C$233</definedName>
    <definedName name="m19_rating">'Metrics'!$C$235</definedName>
    <definedName name="m19_index">'Metrics'!$D$235</definedName>
    <definedName name="m19_score">'Metrics'!$B$236</definedName>
    <definedName name="m19_status">'Metrics'!$B$237</definedName>
    <definedName name="m20_route">'Metrics'!$B$242</definedName>
    <definedName name="m20_computed">'Metrics'!$C$243</definedName>
    <definedName name="m20_rating">'Metrics'!$C$245</definedName>
    <definedName name="m20_index">'Metrics'!$D$245</definedName>
    <definedName name="m20_score">'Metrics'!$B$246</definedName>
    <definedName name="m20_status">'Metrics'!$B$247</definedName>
    <definedName name="result_score_catchment_hydrology">'Results'!$E$5</definedName>
    <definedName name="result_score_surface_water_storage">'Results'!$E$6</definedName>
    <definedName name="result_score_reach_inflow">'Results'!$E$7</definedName>
    <definedName name="result_score_streamflow_regime">'Results'!$E$8</definedName>
    <definedName name="result_score_low_flow_baseflow_dynamics">'Results'!$E$9</definedName>
    <definedName name="result_score_high_flow_dynamics">'Results'!$E$10</definedName>
    <definedName name="result_score_floodplain_connectivity">'Results'!$E$11</definedName>
    <definedName name="result_score_hyporheic_connectivity">'Results'!$E$12</definedName>
    <definedName name="result_score_channel_evolution">'Results'!$E$13</definedName>
    <definedName name="result_score_channel_floodplain_dynamics">'Results'!$E$14</definedName>
    <definedName name="result_score_sediment_continuity">'Results'!$E$15</definedName>
    <definedName name="result_score_bed_composition_bedform_dynamics">'Results'!$E$16</definedName>
    <definedName name="result_score_light_thermal_regime">'Results'!$E$17</definedName>
    <definedName name="result_score_carbon_processing">'Results'!$E$18</definedName>
    <definedName name="result_score_nutrient_cycling">'Results'!$E$19</definedName>
    <definedName name="result_score_water_soil_quality">'Results'!$E$20</definedName>
    <definedName name="result_score_habitat_provision">'Results'!$E$21</definedName>
    <definedName name="result_score_population_support">'Results'!$E$22</definedName>
    <definedName name="result_score_community_dynamics">'Results'!$E$23</definedName>
    <definedName name="result_score_watershed_connectivity">'Results'!$E$24</definedName>
    <definedName name="sub_index_physical">'Results'!$D$27</definedName>
    <definedName name="sub_index_physical_display">'Results'!$E$27</definedName>
    <definedName name="coverage_physical">'Results'!$G$27</definedName>
    <definedName name="sub_index_chemical">'Results'!$D$28</definedName>
    <definedName name="sub_index_chemical_display">'Results'!$E$28</definedName>
    <definedName name="coverage_chemical">'Results'!$G$28</definedName>
    <definedName name="sub_index_biological">'Results'!$D$29</definedName>
    <definedName name="sub_index_biological_display">'Results'!$E$29</definedName>
    <definedName name="coverage_biological">'Results'!$G$29</definedName>
    <definedName name="eci">'Results'!$D$30</definedName>
    <definedName name="eci_display">'Results'!$E$30</definedName>
    <definedName name="eci_class">'Results'!$F$30</definedName>
    <definedName name="functions_rated">'Results'!$B$33</definedName>
    <definedName name="functions_selected">'Results'!$B$34</definedName>
    <definedName name="coverage_overall">'Results'!$B$35</definedName>
    <definedName name="provisional">'Results'!$B$36</definedName>
    <definedName name="coverage_status">'Results'!$B$37</definedName>
    <definedName name="meta_calculator_version">'Metadata'!$B$3</definedName>
    <definedName name="meta_calculator_date">'Metadata'!$B$4</definedName>
    <definedName name="meta_scoring_method_digest">'Metadata'!$B$5</definedName>
    <definedName name="meta_scoring_identity">'Metadata'!$B$6</definedName>
    <definedName name="meta_criteria_set">'Metadata'!$B$7</definedName>
    <definedName name="meta_reference_curves">'Metadata'!$B$8</definedName>
    <definedName name="meta_catalog_sha256">'Metadata'!$B$9</definedName>
    <definedName name="meta_curves_sha256">'Metadata'!$B$10</definedName>
    <definedName name="meta_nars_9_geography_sha256">'Metadata'!$B$11</definedName>
    <definedName name="meta_rating_anchors">'Metadata'!$B$12</definedName>
    <definedName name="meta_function_scores">'Metadata'!$B$13</definedName>
    <definedName name="meta_outcome_weights">'Metadata'!$B$14</definedName>
    <definedName name="meta_condition_classes">'Metadata'!$B$15</definedName>
    <definedName name="meta_coverage_threshold">'Metadata'!$B$16</definedName>
    <definedName name="meta_worksheet_layout">'Metadata'!$B$17</definedName>
    <definedName name="meta_generator">'Metadata'!$B$18</definedName>
    <definedName name="meta_generator_sha256">'Metadata'!$B$19</definedName>
    <definedName name="meta_generated_from">'Metadata'!$B$20</definedName>
    <definedName name="meta_application">'Metadata'!$B$21</definedName>
    <definedName name="meta_formula_vocabulary">'Metadata'!$B$22</definedName>
    <definedName name="_xlnm.Print_Area" localSheetId="1">'EASI Score'!$A$1:$Z$101</definedName>
  </definedNames>
  <calcPr calcId="124519" fullCalcOnLoad="1"/>
</workbook>
</file>

<file path=xl/styles.xml><?xml version="1.0" encoding="utf-8"?>
<styleSheet xmlns="http://schemas.openxmlformats.org/spreadsheetml/2006/main">
  <numFmts count="8">
    <numFmt numFmtId="164" formatCode="0.000"/>
    <numFmt numFmtId="165" formatCode="yyyy-mm-dd"/>
    <numFmt numFmtId="166" formatCode="0.000000"/>
    <numFmt numFmtId="167" formatCode="0.0000"/>
    <numFmt numFmtId="168" formatCode="0&quot; of 4&quot;"/>
    <numFmt numFmtId="169" formatCode="0&quot; of 20&quot;"/>
    <numFmt numFmtId="170" formatCode="yyyy-mm-dd h:mm:ss"/>
    <numFmt numFmtId="171" formatCode="mmmm d, yyyy"/>
  </numFmts>
  <fonts count="16">
    <font>
      <name val="Calibri"/>
      <family val="2"/>
      <color theme="1"/>
      <sz val="11"/>
      <scheme val="minor"/>
    </font>
    <font>
      <b val="1"/>
      <sz val="13"/>
    </font>
    <font>
      <i val="1"/>
      <color rgb="00555555"/>
      <sz val="9"/>
    </font>
    <font>
      <b val="1"/>
      <sz val="11"/>
    </font>
    <font>
      <b val="1"/>
    </font>
    <font>
      <b val="1"/>
      <sz val="16"/>
    </font>
    <font>
      <b val="1"/>
      <sz val="12"/>
    </font>
    <font>
      <sz val="12"/>
    </font>
    <font>
      <b val="1"/>
      <sz val="14"/>
    </font>
    <font>
      <b val="1"/>
      <i val="1"/>
    </font>
    <font>
      <i val="1"/>
    </font>
    <font>
      <sz val="10"/>
    </font>
    <font>
      <b val="1"/>
      <sz val="10"/>
    </font>
    <font>
      <sz val="9"/>
    </font>
    <font>
      <name val="Arial"/>
      <b val="1"/>
      <sz val="10"/>
    </font>
    <font>
      <name val="Arial"/>
      <sz val="10"/>
    </font>
  </fonts>
  <fills count="16">
    <fill>
      <patternFill/>
    </fill>
    <fill>
      <patternFill patternType="gray125"/>
    </fill>
    <fill>
      <patternFill patternType="solid">
        <fgColor rgb="00F2F2F2"/>
      </patternFill>
    </fill>
    <fill>
      <patternFill patternType="solid">
        <fgColor rgb="00F8CBAD"/>
      </patternFill>
    </fill>
    <fill>
      <patternFill patternType="solid">
        <fgColor rgb="00EDEDED"/>
      </patternFill>
    </fill>
    <fill>
      <patternFill patternType="solid">
        <fgColor rgb="00D9D9D9"/>
      </patternFill>
    </fill>
    <fill>
      <patternFill patternType="solid">
        <fgColor rgb="00BFBFBF"/>
      </patternFill>
    </fill>
    <fill>
      <patternFill patternType="solid">
        <fgColor rgb="00FDE9D9"/>
      </patternFill>
    </fill>
    <fill>
      <patternFill patternType="solid">
        <fgColor rgb="00D9E1F2"/>
      </patternFill>
    </fill>
    <fill>
      <patternFill patternType="solid">
        <fgColor rgb="00B4C6E7"/>
      </patternFill>
    </fill>
    <fill>
      <patternFill patternType="solid">
        <fgColor rgb="00FCE4D6"/>
      </patternFill>
    </fill>
    <fill>
      <patternFill patternType="solid">
        <fgColor rgb="00FFF2CC"/>
      </patternFill>
    </fill>
    <fill>
      <patternFill patternType="solid">
        <fgColor rgb="00E2EFDA"/>
      </patternFill>
    </fill>
    <fill>
      <patternFill patternType="solid">
        <fgColor rgb="008FAADC"/>
      </patternFill>
    </fill>
    <fill>
      <patternFill patternType="solid">
        <fgColor rgb="00FFFF99"/>
      </patternFill>
    </fill>
    <fill>
      <patternFill patternType="solid">
        <fgColor rgb="00FF6969"/>
      </patternFill>
    </fill>
  </fills>
  <borders count="25">
    <border>
      <left/>
      <right/>
      <top/>
      <bottom/>
      <diagonal/>
    </border>
    <border>
      <left style="thin">
        <color rgb="00000000"/>
      </left>
      <right style="thin">
        <color rgb="00000000"/>
      </right>
      <top style="thin">
        <color rgb="00000000"/>
      </top>
      <bottom style="thin">
        <color rgb="00000000"/>
      </bottom>
    </border>
    <border>
      <left style="medium">
        <color rgb="00000000"/>
      </left>
      <right style="thin">
        <color rgb="00000000"/>
      </right>
      <top style="medium">
        <color rgb="00000000"/>
      </top>
      <bottom style="thin">
        <color rgb="00000000"/>
      </bottom>
    </border>
    <border>
      <left style="thin">
        <color rgb="00000000"/>
      </left>
      <right style="thin">
        <color rgb="00000000"/>
      </right>
      <top style="medium">
        <color rgb="00000000"/>
      </top>
      <bottom style="thin">
        <color rgb="00000000"/>
      </bottom>
    </border>
    <border>
      <left style="thin">
        <color rgb="00000000"/>
      </left>
      <right style="medium">
        <color rgb="00000000"/>
      </right>
      <top style="medium">
        <color rgb="00000000"/>
      </top>
      <bottom style="thin">
        <color rgb="00000000"/>
      </bottom>
    </border>
    <border>
      <left style="medium">
        <color rgb="00000000"/>
      </left>
      <right style="thin">
        <color rgb="00000000"/>
      </right>
      <top style="thin">
        <color rgb="00000000"/>
      </top>
      <bottom style="thin">
        <color rgb="00000000"/>
      </bottom>
    </border>
    <border>
      <left style="thin">
        <color rgb="00000000"/>
      </left>
      <right style="medium">
        <color rgb="00000000"/>
      </right>
      <top style="thin">
        <color rgb="00000000"/>
      </top>
      <bottom style="thin">
        <color rgb="00000000"/>
      </bottom>
    </border>
    <border>
      <left style="medium">
        <color rgb="00000000"/>
      </left>
      <right style="thin">
        <color rgb="00000000"/>
      </right>
      <top style="thin">
        <color rgb="00000000"/>
      </top>
      <bottom style="medium">
        <color rgb="00000000"/>
      </bottom>
    </border>
    <border>
      <left style="thin">
        <color rgb="00000000"/>
      </left>
      <right style="thin">
        <color rgb="00000000"/>
      </right>
      <top style="thin">
        <color rgb="00000000"/>
      </top>
      <bottom style="medium">
        <color rgb="00000000"/>
      </bottom>
    </border>
    <border>
      <left style="thin">
        <color rgb="00000000"/>
      </left>
      <right style="medium">
        <color rgb="00000000"/>
      </right>
      <top style="thin">
        <color rgb="00000000"/>
      </top>
      <bottom style="medium">
        <color rgb="00000000"/>
      </bottom>
    </border>
    <border>
      <left style="medium">
        <color rgb="00000000"/>
      </left>
      <right/>
      <top style="medium">
        <color rgb="00000000"/>
      </top>
      <bottom/>
    </border>
    <border>
      <left/>
      <right/>
      <top style="medium">
        <color rgb="00000000"/>
      </top>
      <bottom/>
    </border>
    <border>
      <left/>
      <right style="medium">
        <color rgb="00000000"/>
      </right>
      <top style="medium">
        <color rgb="00000000"/>
      </top>
      <bottom/>
    </border>
    <border>
      <left style="medium">
        <color rgb="00000000"/>
      </left>
      <right/>
      <top/>
      <bottom/>
    </border>
    <border>
      <left/>
      <right/>
      <top/>
      <bottom/>
    </border>
    <border>
      <left/>
      <right style="medium">
        <color rgb="00000000"/>
      </right>
      <top/>
      <bottom/>
    </border>
    <border>
      <left style="medium">
        <color rgb="00000000"/>
      </left>
      <right/>
      <top/>
      <bottom style="medium">
        <color rgb="00000000"/>
      </bottom>
    </border>
    <border>
      <left/>
      <right/>
      <top/>
      <bottom style="medium">
        <color rgb="00000000"/>
      </bottom>
    </border>
    <border>
      <left/>
      <right style="medium">
        <color rgb="00000000"/>
      </right>
      <top/>
      <bottom style="medium">
        <color rgb="00000000"/>
      </bottom>
    </border>
    <border>
      <left style="medium">
        <color rgb="00000000"/>
      </left>
      <right style="thin">
        <color rgb="00000000"/>
      </right>
      <top style="thin">
        <color rgb="00000000"/>
      </top>
      <bottom style="double">
        <color rgb="00000000"/>
      </bottom>
    </border>
    <border>
      <left style="thin">
        <color rgb="00000000"/>
      </left>
      <right style="thin">
        <color rgb="00000000"/>
      </right>
      <top style="thin">
        <color rgb="00000000"/>
      </top>
      <bottom style="double">
        <color rgb="00000000"/>
      </bottom>
    </border>
    <border>
      <left style="thin">
        <color rgb="00000000"/>
      </left>
      <right style="medium">
        <color rgb="00000000"/>
      </right>
      <top style="thin">
        <color rgb="00000000"/>
      </top>
      <bottom style="double">
        <color rgb="00000000"/>
      </bottom>
    </border>
    <border>
      <left style="medium">
        <color rgb="00000000"/>
      </left>
      <right style="thin">
        <color rgb="00000000"/>
      </right>
      <top style="double">
        <color rgb="00000000"/>
      </top>
      <bottom style="medium">
        <color rgb="00000000"/>
      </bottom>
    </border>
    <border>
      <left style="thin">
        <color rgb="00000000"/>
      </left>
      <right style="thin">
        <color rgb="00000000"/>
      </right>
      <top style="double">
        <color rgb="00000000"/>
      </top>
      <bottom style="medium">
        <color rgb="00000000"/>
      </bottom>
    </border>
    <border>
      <left style="thin">
        <color rgb="00000000"/>
      </left>
      <right style="medium">
        <color rgb="00000000"/>
      </right>
      <top style="double">
        <color rgb="00000000"/>
      </top>
      <bottom style="medium">
        <color rgb="00000000"/>
      </bottom>
    </border>
  </borders>
  <cellStyleXfs count="1">
    <xf numFmtId="0" fontId="0" fillId="0" borderId="0"/>
  </cellStyleXfs>
  <cellXfs count="149">
    <xf numFmtId="0" fontId="0" fillId="0" borderId="0" pivotButton="0" quotePrefix="0" xfId="0"/>
    <xf numFmtId="0" fontId="14" fillId="0" borderId="1" applyAlignment="1" pivotButton="0" quotePrefix="0" xfId="0">
      <alignment vertical="center"/>
    </xf>
    <xf numFmtId="0" fontId="14" fillId="0" borderId="1" applyAlignment="1" pivotButton="0" quotePrefix="0" xfId="0">
      <alignment horizontal="left" vertical="center" wrapText="1"/>
    </xf>
    <xf numFmtId="0" fontId="0" fillId="0" borderId="1" applyAlignment="1" pivotButton="0" quotePrefix="0" xfId="0">
      <alignment horizontal="left" vertical="center" wrapText="1"/>
    </xf>
    <xf numFmtId="0" fontId="0" fillId="3" borderId="1" applyAlignment="1" pivotButton="0" quotePrefix="0" xfId="0">
      <alignment horizontal="center" vertical="center"/>
    </xf>
    <xf numFmtId="0" fontId="0" fillId="0" borderId="1" applyAlignment="1" pivotButton="0" quotePrefix="0" xfId="0">
      <alignment horizontal="center" vertical="center"/>
    </xf>
    <xf numFmtId="0" fontId="0" fillId="2" borderId="1" applyAlignment="1" pivotButton="0" quotePrefix="0" xfId="0">
      <alignment horizontal="center" vertical="center"/>
    </xf>
    <xf numFmtId="0" fontId="0" fillId="7" borderId="1" applyAlignment="1" pivotButton="0" quotePrefix="0" xfId="0">
      <alignment horizontal="center" vertical="center"/>
    </xf>
    <xf numFmtId="0" fontId="2" fillId="0" borderId="0" pivotButton="0" quotePrefix="0" xfId="0"/>
    <xf numFmtId="0" fontId="15" fillId="0" borderId="1" applyAlignment="1" pivotButton="0" quotePrefix="0" xfId="0">
      <alignment horizontal="left" vertical="center" wrapText="1"/>
    </xf>
    <xf numFmtId="171" fontId="0" fillId="0" borderId="1" applyAlignment="1" pivotButton="0" quotePrefix="0" xfId="0">
      <alignment horizontal="left" vertical="center"/>
    </xf>
    <xf numFmtId="0" fontId="14" fillId="0" borderId="1" applyAlignment="1" pivotButton="0" quotePrefix="0" xfId="0">
      <alignment horizontal="center" vertical="center"/>
    </xf>
    <xf numFmtId="0" fontId="0" fillId="0" borderId="1" pivotButton="0" quotePrefix="0" xfId="0"/>
    <xf numFmtId="0" fontId="5" fillId="2" borderId="0" applyAlignment="1" pivotButton="0" quotePrefix="0" xfId="0">
      <alignment horizontal="center" vertical="center"/>
    </xf>
    <xf numFmtId="0" fontId="6" fillId="0" borderId="2" applyAlignment="1" pivotButton="0" quotePrefix="0" xfId="0">
      <alignment horizontal="center" vertical="center"/>
    </xf>
    <xf numFmtId="0" fontId="0" fillId="3" borderId="3" applyAlignment="1" applyProtection="1" pivotButton="0" quotePrefix="0" xfId="0">
      <alignment horizontal="center" vertical="center"/>
      <protection locked="0" hidden="0"/>
    </xf>
    <xf numFmtId="0" fontId="0" fillId="0" borderId="3" applyProtection="1" pivotButton="0" quotePrefix="0" xfId="0">
      <protection locked="0" hidden="0"/>
    </xf>
    <xf numFmtId="0" fontId="6" fillId="0" borderId="3" applyAlignment="1" pivotButton="0" quotePrefix="0" xfId="0">
      <alignment horizontal="center" vertical="center"/>
    </xf>
    <xf numFmtId="0" fontId="0" fillId="0" borderId="4" applyProtection="1" pivotButton="0" quotePrefix="0" xfId="0">
      <protection locked="0" hidden="0"/>
    </xf>
    <xf numFmtId="0" fontId="6" fillId="0" borderId="5" applyAlignment="1" pivotButton="0" quotePrefix="0" xfId="0">
      <alignment horizontal="center" vertical="center"/>
    </xf>
    <xf numFmtId="0" fontId="0" fillId="3" borderId="1" applyAlignment="1" applyProtection="1" pivotButton="0" quotePrefix="0" xfId="0">
      <alignment horizontal="center" vertical="center"/>
      <protection locked="0" hidden="0"/>
    </xf>
    <xf numFmtId="0" fontId="0" fillId="0" borderId="1" applyProtection="1" pivotButton="0" quotePrefix="0" xfId="0">
      <protection locked="0" hidden="0"/>
    </xf>
    <xf numFmtId="0" fontId="6" fillId="0" borderId="1" applyAlignment="1" pivotButton="0" quotePrefix="0" xfId="0">
      <alignment horizontal="center" vertical="center"/>
    </xf>
    <xf numFmtId="165" fontId="0" fillId="3" borderId="1" applyAlignment="1" applyProtection="1" pivotButton="0" quotePrefix="0" xfId="0">
      <alignment horizontal="center" vertical="center"/>
      <protection locked="0" hidden="0"/>
    </xf>
    <xf numFmtId="0" fontId="0" fillId="0" borderId="6" applyProtection="1" pivotButton="0" quotePrefix="0" xfId="0">
      <protection locked="0" hidden="0"/>
    </xf>
    <xf numFmtId="0" fontId="6" fillId="0" borderId="7" applyAlignment="1" pivotButton="0" quotePrefix="0" xfId="0">
      <alignment horizontal="center" vertical="center"/>
    </xf>
    <xf numFmtId="0" fontId="0" fillId="3" borderId="8" applyAlignment="1" applyProtection="1" pivotButton="0" quotePrefix="0" xfId="0">
      <alignment horizontal="center" vertical="center"/>
      <protection locked="0" hidden="0"/>
    </xf>
    <xf numFmtId="0" fontId="0" fillId="0" borderId="8" applyProtection="1" pivotButton="0" quotePrefix="0" xfId="0">
      <protection locked="0" hidden="0"/>
    </xf>
    <xf numFmtId="0" fontId="6" fillId="0" borderId="8" applyAlignment="1" pivotButton="0" quotePrefix="0" xfId="0">
      <alignment horizontal="center" vertical="center"/>
    </xf>
    <xf numFmtId="0" fontId="0" fillId="0" borderId="8" applyAlignment="1" pivotButton="0" quotePrefix="0" xfId="0">
      <alignment horizontal="center" vertical="center"/>
    </xf>
    <xf numFmtId="0" fontId="0" fillId="0" borderId="8" pivotButton="0" quotePrefix="0" xfId="0"/>
    <xf numFmtId="0" fontId="0" fillId="0" borderId="9" pivotButton="0" quotePrefix="0" xfId="0"/>
    <xf numFmtId="0" fontId="6" fillId="2" borderId="2" applyAlignment="1" pivotButton="0" quotePrefix="0" xfId="0">
      <alignment horizontal="center" vertical="center" wrapText="1"/>
    </xf>
    <xf numFmtId="0" fontId="0" fillId="0" borderId="3" pivotButton="0" quotePrefix="0" xfId="0"/>
    <xf numFmtId="0" fontId="0" fillId="0" borderId="4" pivotButton="0" quotePrefix="0" xfId="0"/>
    <xf numFmtId="0" fontId="3" fillId="0" borderId="0" applyAlignment="1" pivotButton="0" quotePrefix="0" xfId="0">
      <alignment horizontal="center" vertical="center"/>
    </xf>
    <xf numFmtId="0" fontId="6" fillId="0" borderId="5" applyAlignment="1" pivotButton="0" quotePrefix="0" xfId="0">
      <alignment horizontal="center" vertical="center" wrapText="1"/>
    </xf>
    <xf numFmtId="0" fontId="6" fillId="0" borderId="1" applyAlignment="1" pivotButton="0" quotePrefix="0" xfId="0">
      <alignment horizontal="center" vertical="center" wrapText="1"/>
    </xf>
    <xf numFmtId="0" fontId="6" fillId="0" borderId="6" applyAlignment="1" pivotButton="0" quotePrefix="0" xfId="0">
      <alignment horizontal="center" vertical="center" wrapText="1"/>
    </xf>
    <xf numFmtId="0" fontId="13" fillId="0" borderId="0" applyAlignment="1" pivotButton="0" quotePrefix="0" xfId="0">
      <alignment horizontal="right" vertical="top"/>
    </xf>
    <xf numFmtId="0" fontId="12" fillId="13" borderId="1" applyAlignment="1" pivotButton="0" quotePrefix="0" xfId="0">
      <alignment horizontal="center" vertical="center" wrapText="1"/>
    </xf>
    <xf numFmtId="0" fontId="0" fillId="0" borderId="7" pivotButton="0" quotePrefix="0" xfId="0"/>
    <xf numFmtId="0" fontId="0" fillId="13" borderId="1" pivotButton="0" quotePrefix="0" xfId="0"/>
    <xf numFmtId="2" fontId="8" fillId="0" borderId="2" applyAlignment="1" pivotButton="0" quotePrefix="0" xfId="0">
      <alignment horizontal="center" vertical="center"/>
    </xf>
    <xf numFmtId="0" fontId="7" fillId="2" borderId="2" applyAlignment="1" pivotButton="0" quotePrefix="0" xfId="0">
      <alignment horizontal="center" vertical="center" wrapText="1"/>
    </xf>
    <xf numFmtId="2" fontId="6" fillId="0" borderId="3" applyAlignment="1" pivotButton="0" quotePrefix="0" xfId="0">
      <alignment horizontal="center" vertical="center"/>
    </xf>
    <xf numFmtId="168" fontId="7" fillId="0" borderId="3" applyAlignment="1" pivotButton="0" quotePrefix="0" xfId="0">
      <alignment horizontal="center" vertical="center"/>
    </xf>
    <xf numFmtId="1" fontId="6" fillId="0" borderId="3" applyAlignment="1" pivotButton="0" quotePrefix="0" xfId="0">
      <alignment horizontal="center" vertical="center"/>
    </xf>
    <xf numFmtId="0" fontId="0" fillId="2" borderId="2" applyAlignment="1" pivotButton="0" quotePrefix="0" xfId="0">
      <alignment horizontal="left" vertical="center" wrapText="1"/>
    </xf>
    <xf numFmtId="0" fontId="0" fillId="0" borderId="3" applyAlignment="1" pivotButton="0" quotePrefix="0" xfId="0">
      <alignment horizontal="center" vertical="center"/>
    </xf>
    <xf numFmtId="0" fontId="0" fillId="0" borderId="4" applyAlignment="1" pivotButton="0" quotePrefix="0" xfId="0">
      <alignment horizontal="left" vertical="center" wrapText="1"/>
    </xf>
    <xf numFmtId="0" fontId="11" fillId="8" borderId="1" applyAlignment="1" pivotButton="0" quotePrefix="0" xfId="0">
      <alignment horizontal="center" vertical="center" wrapText="1"/>
    </xf>
    <xf numFmtId="0" fontId="11" fillId="8" borderId="1" applyAlignment="1" pivotButton="0" quotePrefix="0" xfId="0">
      <alignment horizontal="left" vertical="center" wrapText="1"/>
    </xf>
    <xf numFmtId="1" fontId="12" fillId="0" borderId="1" applyAlignment="1" pivotButton="0" quotePrefix="0" xfId="0">
      <alignment horizontal="center" vertical="center"/>
    </xf>
    <xf numFmtId="0" fontId="11" fillId="8" borderId="1" applyAlignment="1" pivotButton="0" quotePrefix="0" xfId="0">
      <alignment horizontal="center" vertical="center"/>
    </xf>
    <xf numFmtId="0" fontId="13" fillId="0" borderId="0" applyAlignment="1" pivotButton="0" quotePrefix="0" xfId="0">
      <alignment horizontal="right" vertical="bottom"/>
    </xf>
    <xf numFmtId="0" fontId="0" fillId="0" borderId="5" pivotButton="0" quotePrefix="0" xfId="0"/>
    <xf numFmtId="0" fontId="0" fillId="2" borderId="19" applyAlignment="1" pivotButton="0" quotePrefix="0" xfId="0">
      <alignment horizontal="left" vertical="center" wrapText="1"/>
    </xf>
    <xf numFmtId="0" fontId="0" fillId="3" borderId="20" applyAlignment="1" applyProtection="1" pivotButton="0" quotePrefix="0" xfId="0">
      <alignment horizontal="center" vertical="center"/>
      <protection locked="0" hidden="0"/>
    </xf>
    <xf numFmtId="0" fontId="0" fillId="0" borderId="20" applyAlignment="1" pivotButton="0" quotePrefix="0" xfId="0">
      <alignment horizontal="center" vertical="center"/>
    </xf>
    <xf numFmtId="0" fontId="0" fillId="0" borderId="21" applyAlignment="1" pivotButton="0" quotePrefix="0" xfId="0">
      <alignment horizontal="left" vertical="center" wrapText="1"/>
    </xf>
    <xf numFmtId="0" fontId="0" fillId="8" borderId="1" pivotButton="0" quotePrefix="0" xfId="0"/>
    <xf numFmtId="0" fontId="12" fillId="14" borderId="1" applyAlignment="1" pivotButton="0" quotePrefix="0" xfId="0">
      <alignment horizontal="center" vertical="center" wrapText="1"/>
    </xf>
    <xf numFmtId="0" fontId="9" fillId="7" borderId="22" applyAlignment="1" pivotButton="0" quotePrefix="0" xfId="0">
      <alignment horizontal="right" vertical="center" indent="1"/>
    </xf>
    <xf numFmtId="0" fontId="0" fillId="3" borderId="23" applyAlignment="1" applyProtection="1" pivotButton="0" quotePrefix="0" xfId="0">
      <alignment horizontal="center" vertical="center"/>
      <protection locked="0" hidden="0"/>
    </xf>
    <xf numFmtId="0" fontId="0" fillId="7" borderId="23" pivotButton="0" quotePrefix="0" xfId="0"/>
    <xf numFmtId="0" fontId="10" fillId="7" borderId="24" applyAlignment="1" pivotButton="0" quotePrefix="0" xfId="0">
      <alignment horizontal="left" vertical="center" wrapText="1"/>
    </xf>
    <xf numFmtId="0" fontId="0" fillId="14" borderId="1" pivotButton="0" quotePrefix="0" xfId="0"/>
    <xf numFmtId="0" fontId="7" fillId="2" borderId="5" applyAlignment="1" pivotButton="0" quotePrefix="0" xfId="0">
      <alignment horizontal="center" vertical="center" wrapText="1"/>
    </xf>
    <xf numFmtId="1" fontId="6" fillId="0" borderId="1" applyAlignment="1" pivotButton="0" quotePrefix="0" xfId="0">
      <alignment horizontal="center" vertical="center"/>
    </xf>
    <xf numFmtId="0" fontId="0" fillId="2" borderId="5" applyAlignment="1" pivotButton="0" quotePrefix="0" xfId="0">
      <alignment horizontal="left" vertical="center" wrapText="1"/>
    </xf>
    <xf numFmtId="0" fontId="0" fillId="0" borderId="6" applyAlignment="1" pivotButton="0" quotePrefix="0" xfId="0">
      <alignment horizontal="left" vertical="center" wrapText="1"/>
    </xf>
    <xf numFmtId="0" fontId="11" fillId="9" borderId="1" applyAlignment="1" pivotButton="0" quotePrefix="0" xfId="0">
      <alignment horizontal="center" vertical="center" wrapText="1"/>
    </xf>
    <xf numFmtId="0" fontId="11" fillId="9" borderId="1" applyAlignment="1" pivotButton="0" quotePrefix="0" xfId="0">
      <alignment horizontal="left" vertical="center" wrapText="1"/>
    </xf>
    <xf numFmtId="0" fontId="11" fillId="9" borderId="1" applyAlignment="1" pivotButton="0" quotePrefix="0" xfId="0">
      <alignment horizontal="center" vertical="center"/>
    </xf>
    <xf numFmtId="0" fontId="12" fillId="15" borderId="1" applyAlignment="1" pivotButton="0" quotePrefix="0" xfId="0">
      <alignment horizontal="center" vertical="center" wrapText="1"/>
    </xf>
    <xf numFmtId="2" fontId="0" fillId="0" borderId="20" applyAlignment="1" pivotButton="0" quotePrefix="0" xfId="0">
      <alignment horizontal="center" vertical="center"/>
    </xf>
    <xf numFmtId="0" fontId="2" fillId="0" borderId="21" applyAlignment="1" pivotButton="0" quotePrefix="0" xfId="0">
      <alignment horizontal="left" vertical="center" wrapText="1"/>
    </xf>
    <xf numFmtId="0" fontId="0" fillId="9" borderId="1" pivotButton="0" quotePrefix="0" xfId="0"/>
    <xf numFmtId="0" fontId="0" fillId="15" borderId="1" pivotButton="0" quotePrefix="0" xfId="0"/>
    <xf numFmtId="0" fontId="11" fillId="10" borderId="1" applyAlignment="1" pivotButton="0" quotePrefix="0" xfId="0">
      <alignment horizontal="center" vertical="center" wrapText="1"/>
    </xf>
    <xf numFmtId="0" fontId="11" fillId="10" borderId="1" applyAlignment="1" pivotButton="0" quotePrefix="0" xfId="0">
      <alignment horizontal="left" vertical="center" wrapText="1"/>
    </xf>
    <xf numFmtId="0" fontId="11" fillId="10" borderId="1" applyAlignment="1" pivotButton="0" quotePrefix="0" xfId="0">
      <alignment horizontal="center" vertical="center"/>
    </xf>
    <xf numFmtId="0" fontId="0" fillId="10" borderId="1" pivotButton="0" quotePrefix="0" xfId="0"/>
    <xf numFmtId="0" fontId="12" fillId="0" borderId="1" applyAlignment="1" pivotButton="0" quotePrefix="0" xfId="0">
      <alignment horizontal="center" vertical="center"/>
    </xf>
    <xf numFmtId="0" fontId="11" fillId="13" borderId="1" applyAlignment="1" pivotButton="0" quotePrefix="0" xfId="0">
      <alignment horizontal="center" vertical="center"/>
    </xf>
    <xf numFmtId="1" fontId="12" fillId="13" borderId="1" applyAlignment="1" pivotButton="0" quotePrefix="0" xfId="0">
      <alignment horizontal="center" vertical="center"/>
    </xf>
    <xf numFmtId="0" fontId="11" fillId="11" borderId="1" applyAlignment="1" pivotButton="0" quotePrefix="0" xfId="0">
      <alignment horizontal="center" vertical="center" wrapText="1"/>
    </xf>
    <xf numFmtId="0" fontId="11" fillId="11" borderId="1" applyAlignment="1" pivotButton="0" quotePrefix="0" xfId="0">
      <alignment horizontal="left" vertical="center" wrapText="1"/>
    </xf>
    <xf numFmtId="0" fontId="11" fillId="11" borderId="1" applyAlignment="1" pivotButton="0" quotePrefix="0" xfId="0">
      <alignment horizontal="center" vertical="center"/>
    </xf>
    <xf numFmtId="0" fontId="11" fillId="14" borderId="1" applyAlignment="1" pivotButton="0" quotePrefix="0" xfId="0">
      <alignment horizontal="center" vertical="center"/>
    </xf>
    <xf numFmtId="1" fontId="12" fillId="14" borderId="1" applyAlignment="1" pivotButton="0" quotePrefix="0" xfId="0">
      <alignment horizontal="center" vertical="center"/>
    </xf>
    <xf numFmtId="168" fontId="7" fillId="0" borderId="1" applyAlignment="1" pivotButton="0" quotePrefix="0" xfId="0">
      <alignment horizontal="center" vertical="center"/>
    </xf>
    <xf numFmtId="0" fontId="0" fillId="11" borderId="1" pivotButton="0" quotePrefix="0" xfId="0"/>
    <xf numFmtId="0" fontId="11" fillId="15" borderId="1" applyAlignment="1" pivotButton="0" quotePrefix="0" xfId="0">
      <alignment horizontal="center" vertical="center"/>
    </xf>
    <xf numFmtId="1" fontId="12" fillId="15" borderId="1" applyAlignment="1" pivotButton="0" quotePrefix="0" xfId="0">
      <alignment horizontal="center" vertical="center"/>
    </xf>
    <xf numFmtId="0" fontId="11" fillId="0" borderId="1" applyAlignment="1" pivotButton="0" quotePrefix="0" xfId="0">
      <alignment horizontal="center" vertical="center"/>
    </xf>
    <xf numFmtId="0" fontId="11" fillId="12" borderId="1" applyAlignment="1" pivotButton="0" quotePrefix="0" xfId="0">
      <alignment horizontal="center" vertical="center" wrapText="1"/>
    </xf>
    <xf numFmtId="0" fontId="11" fillId="12" borderId="1" applyAlignment="1" pivotButton="0" quotePrefix="0" xfId="0">
      <alignment horizontal="left" vertical="center" wrapText="1"/>
    </xf>
    <xf numFmtId="0" fontId="11" fillId="12" borderId="1" applyAlignment="1" pivotButton="0" quotePrefix="0" xfId="0">
      <alignment horizontal="center" vertical="center"/>
    </xf>
    <xf numFmtId="0" fontId="0" fillId="12" borderId="1" pivotButton="0" quotePrefix="0" xfId="0"/>
    <xf numFmtId="0" fontId="0" fillId="0" borderId="20" pivotButton="0" quotePrefix="0" xfId="0"/>
    <xf numFmtId="0" fontId="3" fillId="0" borderId="1" applyAlignment="1" pivotButton="0" quotePrefix="0" xfId="0">
      <alignment horizontal="right" vertical="center"/>
    </xf>
    <xf numFmtId="2" fontId="3" fillId="0" borderId="1" applyAlignment="1" pivotButton="0" quotePrefix="0" xfId="0">
      <alignment horizontal="center" vertical="center"/>
    </xf>
    <xf numFmtId="2" fontId="6" fillId="0" borderId="1" applyAlignment="1" pivotButton="0" quotePrefix="0" xfId="0">
      <alignment horizontal="center" vertical="center"/>
    </xf>
    <xf numFmtId="169" fontId="0" fillId="0" borderId="1" applyAlignment="1" pivotButton="0" quotePrefix="0" xfId="0">
      <alignment horizontal="center" vertical="center"/>
    </xf>
    <xf numFmtId="0" fontId="0" fillId="2" borderId="20" applyAlignment="1" pivotButton="0" quotePrefix="0" xfId="0">
      <alignment horizontal="center" vertical="center"/>
    </xf>
    <xf numFmtId="0" fontId="7" fillId="5" borderId="5" applyAlignment="1" pivotButton="0" quotePrefix="0" xfId="0">
      <alignment horizontal="center" vertical="center" wrapText="1"/>
    </xf>
    <xf numFmtId="0" fontId="0" fillId="5" borderId="5" applyAlignment="1" pivotButton="0" quotePrefix="0" xfId="0">
      <alignment horizontal="left" vertical="center" wrapText="1"/>
    </xf>
    <xf numFmtId="0" fontId="0" fillId="5" borderId="19" applyAlignment="1" pivotButton="0" quotePrefix="0" xfId="0">
      <alignment horizontal="left" vertical="center" wrapText="1"/>
    </xf>
    <xf numFmtId="0" fontId="7" fillId="6" borderId="5" applyAlignment="1" pivotButton="0" quotePrefix="0" xfId="0">
      <alignment horizontal="center" vertical="center" wrapText="1"/>
    </xf>
    <xf numFmtId="0" fontId="0" fillId="6" borderId="19" applyAlignment="1" pivotButton="0" quotePrefix="0" xfId="0">
      <alignment horizontal="left" vertical="center" wrapText="1"/>
    </xf>
    <xf numFmtId="0" fontId="0" fillId="6" borderId="5" applyAlignment="1" pivotButton="0" quotePrefix="0" xfId="0">
      <alignment horizontal="left" vertical="center" wrapText="1"/>
    </xf>
    <xf numFmtId="167" fontId="0" fillId="0" borderId="1" applyAlignment="1" pivotButton="0" quotePrefix="0" xfId="0">
      <alignment horizontal="center" vertical="center"/>
    </xf>
    <xf numFmtId="0" fontId="2" fillId="0" borderId="6" applyAlignment="1" pivotButton="0" quotePrefix="0" xfId="0">
      <alignment horizontal="left" vertical="center" wrapText="1"/>
    </xf>
    <xf numFmtId="167" fontId="0" fillId="0" borderId="20" applyAlignment="1" pivotButton="0" quotePrefix="0" xfId="0">
      <alignment horizontal="center" vertical="center"/>
    </xf>
    <xf numFmtId="0" fontId="4" fillId="0" borderId="0" applyAlignment="1" pivotButton="0" quotePrefix="0" xfId="0">
      <alignment horizontal="left" vertical="center" wrapText="1"/>
    </xf>
    <xf numFmtId="0" fontId="4" fillId="2" borderId="2" applyAlignment="1" pivotButton="0" quotePrefix="0" xfId="0">
      <alignment horizontal="center" vertical="center"/>
    </xf>
    <xf numFmtId="0" fontId="4" fillId="2" borderId="3" applyAlignment="1" pivotButton="0" quotePrefix="0" xfId="0">
      <alignment horizontal="center" vertical="center"/>
    </xf>
    <xf numFmtId="0" fontId="4" fillId="2" borderId="4" applyAlignment="1" pivotButton="0" quotePrefix="0" xfId="0">
      <alignment horizontal="center" vertical="center"/>
    </xf>
    <xf numFmtId="0" fontId="4" fillId="2" borderId="5" applyAlignment="1" pivotButton="0" quotePrefix="0" xfId="0">
      <alignment horizontal="center" vertical="center"/>
    </xf>
    <xf numFmtId="0" fontId="0" fillId="3" borderId="6" applyAlignment="1" applyProtection="1" pivotButton="0" quotePrefix="0" xfId="0">
      <alignment horizontal="center" vertical="center"/>
      <protection locked="0" hidden="0"/>
    </xf>
    <xf numFmtId="0" fontId="4" fillId="0" borderId="7" applyAlignment="1" pivotButton="0" quotePrefix="0" xfId="0">
      <alignment horizontal="center" vertical="center" wrapText="1"/>
    </xf>
    <xf numFmtId="166" fontId="0" fillId="0" borderId="8" applyAlignment="1" pivotButton="0" quotePrefix="0" xfId="0">
      <alignment horizontal="center" vertical="center"/>
    </xf>
    <xf numFmtId="0" fontId="2" fillId="0" borderId="8" applyAlignment="1" pivotButton="0" quotePrefix="0" xfId="0">
      <alignment horizontal="left" vertical="center" wrapText="1"/>
    </xf>
    <xf numFmtId="0" fontId="0" fillId="2" borderId="10" applyAlignment="1" applyProtection="1" pivotButton="0" quotePrefix="0" xfId="0">
      <alignment horizontal="left" vertical="top" wrapText="1"/>
      <protection locked="0" hidden="0"/>
    </xf>
    <xf numFmtId="0" fontId="0" fillId="2" borderId="11" applyProtection="1" pivotButton="0" quotePrefix="0" xfId="0">
      <protection locked="0" hidden="0"/>
    </xf>
    <xf numFmtId="0" fontId="0" fillId="2" borderId="12" applyProtection="1" pivotButton="0" quotePrefix="0" xfId="0">
      <protection locked="0" hidden="0"/>
    </xf>
    <xf numFmtId="0" fontId="0" fillId="2" borderId="13" applyProtection="1" pivotButton="0" quotePrefix="0" xfId="0">
      <protection locked="0" hidden="0"/>
    </xf>
    <xf numFmtId="0" fontId="0" fillId="2" borderId="14" applyProtection="1" pivotButton="0" quotePrefix="0" xfId="0">
      <protection locked="0" hidden="0"/>
    </xf>
    <xf numFmtId="0" fontId="0" fillId="2" borderId="15" applyProtection="1" pivotButton="0" quotePrefix="0" xfId="0">
      <protection locked="0" hidden="0"/>
    </xf>
    <xf numFmtId="0" fontId="0" fillId="2" borderId="16" applyProtection="1" pivotButton="0" quotePrefix="0" xfId="0">
      <protection locked="0" hidden="0"/>
    </xf>
    <xf numFmtId="0" fontId="0" fillId="2" borderId="17" applyProtection="1" pivotButton="0" quotePrefix="0" xfId="0">
      <protection locked="0" hidden="0"/>
    </xf>
    <xf numFmtId="0" fontId="0" fillId="2" borderId="18" applyProtection="1" pivotButton="0" quotePrefix="0" xfId="0">
      <protection locked="0" hidden="0"/>
    </xf>
    <xf numFmtId="0" fontId="1" fillId="0" borderId="0" pivotButton="0" quotePrefix="0" xfId="0"/>
    <xf numFmtId="0" fontId="3" fillId="0" borderId="0" pivotButton="0" quotePrefix="0" xfId="0"/>
    <xf numFmtId="0" fontId="4" fillId="2" borderId="1" pivotButton="0" quotePrefix="0" xfId="0"/>
    <xf numFmtId="0" fontId="0" fillId="4" borderId="0" pivotButton="0" quotePrefix="0" xfId="0"/>
    <xf numFmtId="164" fontId="0" fillId="4" borderId="0" pivotButton="0" quotePrefix="0" xfId="0"/>
    <xf numFmtId="0" fontId="2" fillId="0" borderId="0" applyAlignment="1" pivotButton="0" quotePrefix="0" xfId="0">
      <alignment vertical="top" wrapText="1"/>
    </xf>
    <xf numFmtId="0" fontId="4" fillId="4" borderId="0" pivotButton="0" quotePrefix="0" xfId="0"/>
    <xf numFmtId="0" fontId="2" fillId="4" borderId="0" pivotButton="0" quotePrefix="0" xfId="0"/>
    <xf numFmtId="167" fontId="0" fillId="4" borderId="0" pivotButton="0" quotePrefix="0" xfId="0"/>
    <xf numFmtId="166" fontId="0" fillId="4" borderId="0" pivotButton="0" quotePrefix="0" xfId="0"/>
    <xf numFmtId="2" fontId="0" fillId="4" borderId="0" pivotButton="0" quotePrefix="0" xfId="0"/>
    <xf numFmtId="0" fontId="4" fillId="0" borderId="0" pivotButton="0" quotePrefix="0" xfId="0"/>
    <xf numFmtId="166" fontId="4" fillId="4" borderId="0" pivotButton="0" quotePrefix="0" xfId="0"/>
    <xf numFmtId="2" fontId="4" fillId="4" borderId="0" pivotButton="0" quotePrefix="0" xfId="0"/>
    <xf numFmtId="164" fontId="0" fillId="0" borderId="0" pivotButton="0" quotePrefix="0" xfId="0"/>
  </cellXfs>
  <cellStyles count="1">
    <cellStyle name="Normal" xfId="0" builtinId="0" hidden="0"/>
  </cellStyles>
  <dxfs count="3">
    <dxf>
      <fill>
        <patternFill patternType="solid">
          <fgColor rgb="008FAADC"/>
          <bgColor rgb="008FAADC"/>
        </patternFill>
      </fill>
    </dxf>
    <dxf>
      <fill>
        <patternFill patternType="solid">
          <fgColor rgb="00FFFF99"/>
          <bgColor rgb="00FFFF99"/>
        </patternFill>
      </fill>
    </dxf>
    <dxf>
      <fill>
        <patternFill patternType="solid">
          <fgColor rgb="00FF6969"/>
          <bgColor rgb="00FF696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harts/chart1.xml><?xml version="1.0" encoding="utf-8"?>
<chartSpace xmlns="http://schemas.openxmlformats.org/drawingml/2006/chart">
  <style val="2"/>
  <chart>
    <title>
      <tx>
        <rich>
          <a:bodyPr xmlns:a="http://schemas.openxmlformats.org/drawingml/2006/main"/>
          <a:p xmlns:a="http://schemas.openxmlformats.org/drawingml/2006/main">
            <a:pPr>
              <a:defRPr/>
            </a:pPr>
            <a:r>
              <a:t>Function Score</a:t>
            </a:r>
          </a:p>
        </rich>
      </tx>
      <overlay val="0"/>
    </title>
    <plotArea>
      <barChart>
        <barDir val="bar"/>
        <grouping val="clustered"/>
        <ser>
          <idx val="0"/>
          <order val="0"/>
          <tx>
            <strRef>
              <f>'ChartData'!C2</f>
            </strRef>
          </tx>
          <spPr>
            <a:solidFill xmlns:a="http://schemas.openxmlformats.org/drawingml/2006/main">
              <a:srgbClr val="FF6969"/>
            </a:solidFill>
            <a:ln xmlns:a="http://schemas.openxmlformats.org/drawingml/2006/main">
              <a:solidFill>
                <a:srgbClr val="000000"/>
              </a:solidFill>
              <a:prstDash val="solid"/>
            </a:ln>
          </spPr>
          <cat>
            <numRef>
              <f>'ChartData'!$A$3:$A$22</f>
            </numRef>
          </cat>
          <val>
            <numRef>
              <f>'ChartData'!$C$3:$C$22</f>
            </numRef>
          </val>
        </ser>
        <ser>
          <idx val="1"/>
          <order val="1"/>
          <tx>
            <strRef>
              <f>'ChartData'!D2</f>
            </strRef>
          </tx>
          <spPr>
            <a:solidFill xmlns:a="http://schemas.openxmlformats.org/drawingml/2006/main">
              <a:srgbClr val="FFFF99"/>
            </a:solidFill>
            <a:ln xmlns:a="http://schemas.openxmlformats.org/drawingml/2006/main">
              <a:solidFill>
                <a:srgbClr val="000000"/>
              </a:solidFill>
              <a:prstDash val="solid"/>
            </a:ln>
          </spPr>
          <cat>
            <numRef>
              <f>'ChartData'!$A$3:$A$22</f>
            </numRef>
          </cat>
          <val>
            <numRef>
              <f>'ChartData'!$D$3:$D$22</f>
            </numRef>
          </val>
        </ser>
        <ser>
          <idx val="2"/>
          <order val="2"/>
          <tx>
            <strRef>
              <f>'ChartData'!E2</f>
            </strRef>
          </tx>
          <spPr>
            <a:solidFill xmlns:a="http://schemas.openxmlformats.org/drawingml/2006/main">
              <a:srgbClr val="8FAADC"/>
            </a:solidFill>
            <a:ln xmlns:a="http://schemas.openxmlformats.org/drawingml/2006/main">
              <a:solidFill>
                <a:srgbClr val="000000"/>
              </a:solidFill>
              <a:prstDash val="solid"/>
            </a:ln>
          </spPr>
          <cat>
            <numRef>
              <f>'ChartData'!$A$3:$A$22</f>
            </numRef>
          </cat>
          <val>
            <numRef>
              <f>'ChartData'!$E$3:$E$22</f>
            </numRef>
          </val>
        </ser>
        <dLbls>
          <showLegendKey val="0"/>
          <showVal val="1"/>
          <showCatName val="0"/>
          <showSerName val="0"/>
        </dLbls>
        <gapWidth val="40"/>
        <overlap val="100"/>
        <axId val="10"/>
        <axId val="100"/>
      </barChart>
      <catAx>
        <axId val="10"/>
        <scaling>
          <orientation val="maxMin"/>
        </scaling>
        <delete val="0"/>
        <axPos val="l"/>
        <majorTickMark val="none"/>
        <minorTickMark val="none"/>
        <crossAx val="100"/>
        <lblOffset val="100"/>
      </catAx>
      <valAx>
        <axId val="100"/>
        <scaling>
          <orientation val="minMax"/>
          <max val="15"/>
          <min val="0"/>
        </scaling>
        <delete val="0"/>
        <axPos val="l"/>
        <numFmt formatCode="0" sourceLinked="0"/>
        <majorTickMark val="none"/>
        <minorTickMark val="none"/>
        <crossAx val="10"/>
        <majorUnit val="1"/>
      </valAx>
    </plotArea>
    <legend>
      <legendPos val="b"/>
      <overlay val="0"/>
    </legend>
    <plotVisOnly val="1"/>
    <dispBlanksAs val="gap"/>
    <extLst>
      <ext xmlns:c16r3="http://schemas.microsoft.com/office/drawing/2017/03/chart" uri="{56B9EC1D-385E-4148-901F-78D8002777C0}">
        <c16r3:dataDisplayOptions16>
          <c16r3:dispNaAsBlank val="1"/>
        </c16r3:dataDisplayOptions16>
      </ext>
    </extLst>
  </chart>
</chartSpace>
</file>

<file path=xl/charts/chart2.xml><?xml version="1.0" encoding="utf-8"?>
<chartSpace xmlns="http://schemas.openxmlformats.org/drawingml/2006/chart">
  <style val="2"/>
  <chart>
    <title>
      <tx>
        <rich>
          <a:bodyPr xmlns:a="http://schemas.openxmlformats.org/drawingml/2006/main"/>
          <a:p xmlns:a="http://schemas.openxmlformats.org/drawingml/2006/main">
            <a:pPr>
              <a:defRPr/>
            </a:pPr>
            <a:r>
              <a:t>Outcome Score</a:t>
            </a:r>
          </a:p>
        </rich>
      </tx>
      <overlay val="0"/>
    </title>
    <plotArea>
      <barChart>
        <barDir val="bar"/>
        <grouping val="clustered"/>
        <ser>
          <idx val="0"/>
          <order val="0"/>
          <tx>
            <strRef>
              <f>'ChartData'!C24</f>
            </strRef>
          </tx>
          <spPr>
            <a:solidFill xmlns:a="http://schemas.openxmlformats.org/drawingml/2006/main">
              <a:srgbClr val="FF6969"/>
            </a:solidFill>
            <a:ln xmlns:a="http://schemas.openxmlformats.org/drawingml/2006/main">
              <a:solidFill>
                <a:srgbClr val="000000"/>
              </a:solidFill>
              <a:prstDash val="solid"/>
            </a:ln>
          </spPr>
          <cat>
            <numRef>
              <f>'ChartData'!$A$25:$A$27</f>
            </numRef>
          </cat>
          <val>
            <numRef>
              <f>'ChartData'!$C$25:$C$27</f>
            </numRef>
          </val>
        </ser>
        <ser>
          <idx val="1"/>
          <order val="1"/>
          <tx>
            <strRef>
              <f>'ChartData'!D24</f>
            </strRef>
          </tx>
          <spPr>
            <a:solidFill xmlns:a="http://schemas.openxmlformats.org/drawingml/2006/main">
              <a:srgbClr val="FFFF99"/>
            </a:solidFill>
            <a:ln xmlns:a="http://schemas.openxmlformats.org/drawingml/2006/main">
              <a:solidFill>
                <a:srgbClr val="000000"/>
              </a:solidFill>
              <a:prstDash val="solid"/>
            </a:ln>
          </spPr>
          <cat>
            <numRef>
              <f>'ChartData'!$A$25:$A$27</f>
            </numRef>
          </cat>
          <val>
            <numRef>
              <f>'ChartData'!$D$25:$D$27</f>
            </numRef>
          </val>
        </ser>
        <ser>
          <idx val="2"/>
          <order val="2"/>
          <tx>
            <strRef>
              <f>'ChartData'!E24</f>
            </strRef>
          </tx>
          <spPr>
            <a:solidFill xmlns:a="http://schemas.openxmlformats.org/drawingml/2006/main">
              <a:srgbClr val="8FAADC"/>
            </a:solidFill>
            <a:ln xmlns:a="http://schemas.openxmlformats.org/drawingml/2006/main">
              <a:solidFill>
                <a:srgbClr val="000000"/>
              </a:solidFill>
              <a:prstDash val="solid"/>
            </a:ln>
          </spPr>
          <cat>
            <numRef>
              <f>'ChartData'!$A$25:$A$27</f>
            </numRef>
          </cat>
          <val>
            <numRef>
              <f>'ChartData'!$E$25:$E$27</f>
            </numRef>
          </val>
        </ser>
        <dLbls>
          <showLegendKey val="0"/>
          <showVal val="1"/>
          <showCatName val="0"/>
          <showSerName val="0"/>
        </dLbls>
        <gapWidth val="40"/>
        <overlap val="100"/>
        <axId val="10"/>
        <axId val="100"/>
      </barChart>
      <catAx>
        <axId val="10"/>
        <scaling>
          <orientation val="maxMin"/>
        </scaling>
        <delete val="0"/>
        <axPos val="l"/>
        <majorTickMark val="none"/>
        <minorTickMark val="none"/>
        <crossAx val="100"/>
        <lblOffset val="100"/>
      </catAx>
      <valAx>
        <axId val="100"/>
        <scaling>
          <orientation val="minMax"/>
          <max val="1"/>
          <min val="0"/>
        </scaling>
        <delete val="0"/>
        <axPos val="l"/>
        <numFmt formatCode="0.00" sourceLinked="0"/>
        <majorTickMark val="none"/>
        <minorTickMark val="none"/>
        <crossAx val="10"/>
        <majorUnit val="0.1"/>
      </valAx>
    </plotArea>
    <legend>
      <legendPos val="b"/>
      <overlay val="0"/>
    </legend>
    <plotVisOnly val="1"/>
    <dispBlanksAs val="gap"/>
    <extLst>
      <ext xmlns:c16r3="http://schemas.microsoft.com/office/drawing/2017/03/chart" uri="{56B9EC1D-385E-4148-901F-78D8002777C0}">
        <c16r3:dataDisplayOptions16>
          <c16r3:dispNaAsBlank val="1"/>
        </c16r3:dataDisplayOptions16>
      </ext>
    </extLst>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14</col>
      <colOff>0</colOff>
      <row>33</row>
      <rowOff>0</rowOff>
    </from>
    <ext cx="8640000" cy="46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14</col>
      <colOff>0</colOff>
      <row>60</row>
      <rowOff>0</rowOff>
    </from>
    <ext cx="8640000" cy="23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D28"/>
  <sheetViews>
    <sheetView showGridLines="0" tabSelected="0" workbookViewId="0">
      <selection activeCell="A1" sqref="A1"/>
    </sheetView>
  </sheetViews>
  <sheetFormatPr baseColWidth="8" defaultRowHeight="15"/>
  <cols>
    <col width="20" customWidth="1" min="1" max="1"/>
    <col width="90" customWidth="1" min="2" max="2"/>
    <col width="4" customWidth="1" min="3" max="3"/>
    <col width="28" customWidth="1" min="4" max="4"/>
  </cols>
  <sheetData>
    <row r="1">
      <c r="A1" s="1" t="inlineStr">
        <is>
          <t>Model Name</t>
        </is>
      </c>
      <c r="B1" s="2" t="inlineStr">
        <is>
          <t>Ecosystem Assessment Screening Index (EASI)</t>
        </is>
      </c>
      <c r="D1" t="inlineStr">
        <is>
          <t>Color Coding Key:</t>
        </is>
      </c>
    </row>
    <row r="2">
      <c r="A2" s="1" t="inlineStr">
        <is>
          <t>Developers</t>
        </is>
      </c>
      <c r="B2" s="3" t="inlineStr">
        <is>
          <t>Leanne M. Stepchinski, Gabrielle C. David, Samantha R. Wiest, and Garrett T. Menichino</t>
        </is>
      </c>
      <c r="D2" s="4" t="inlineStr">
        <is>
          <t>User Input</t>
        </is>
      </c>
    </row>
    <row r="3">
      <c r="A3" s="1" t="n"/>
      <c r="B3" s="3" t="inlineStr">
        <is>
          <t>U.S. Army Engineer Research and Development Center, Environmental Laboratory</t>
        </is>
      </c>
      <c r="D3" s="5" t="inlineStr">
        <is>
          <t>Calculated</t>
        </is>
      </c>
    </row>
    <row r="4">
      <c r="A4" s="1" t="n"/>
      <c r="B4" s="3" t="inlineStr">
        <is>
          <t>Vicksburg, MS</t>
        </is>
      </c>
      <c r="D4" s="6" t="inlineStr">
        <is>
          <t>Linked to Another Cell</t>
        </is>
      </c>
    </row>
    <row r="5">
      <c r="A5" s="1" t="n"/>
      <c r="B5" s="3" t="inlineStr">
        <is>
          <t>Leanne.M.Stepchinski@usace.army.mil, Gabrielle.C.David@usace.army.mil, Samantha.R.Wiest@erdc.dren.mil, Garrett.T.Menichino@usace.army.mil</t>
        </is>
      </c>
      <c r="D5" s="7" t="inlineStr">
        <is>
          <t>Override Score Row</t>
        </is>
      </c>
    </row>
    <row r="6">
      <c r="D6" s="8" t="inlineStr">
        <is>
          <t>Select an orange cell to read its guidance note.</t>
        </is>
      </c>
    </row>
    <row r="7">
      <c r="A7" s="1" t="inlineStr">
        <is>
          <t>Model Version</t>
        </is>
      </c>
      <c r="B7" s="9" t="inlineStr">
        <is>
          <t>EASI calculator v1.1, scoring method e91118cc821c (Alternative 2 with corrected cross-section quality checks (E5b))</t>
        </is>
      </c>
      <c r="D7" s="8" t="inlineStr">
        <is>
          <t>Sheets: EASI Score (entries and results), Metrics (every rule and route), Reference (bands, curves, weights), Metadata (method identity).</t>
        </is>
      </c>
    </row>
    <row r="8">
      <c r="A8" s="1" t="inlineStr">
        <is>
          <t>Date of Last Update</t>
        </is>
      </c>
      <c r="B8" s="10" t="n">
        <v>46283</v>
      </c>
    </row>
    <row r="10" ht="45" customHeight="1">
      <c r="A10" s="1" t="inlineStr">
        <is>
          <t>Waiver</t>
        </is>
      </c>
      <c r="B10" s="9" t="inlineStr">
        <is>
          <t>This model is provided for free as part of the USACE Technical Report "Ecosystem Assessment Screening Index (EASI)" by Leanne M. Stepchinski, Gabrielle C. David, Samantha R. Wiest, and Garrett T. Menichino. It ships with the STAF web application, whose EASI Assessment page offers the same download under Get Forms, blank or completed with a site's values.</t>
        </is>
      </c>
    </row>
    <row r="11">
      <c r="A11" s="1" t="n"/>
      <c r="B11" s="9" t="inlineStr">
        <is>
          <t>None of the authors nor the US Army Corps of Engineers accepts responsibility or liability for the model's use by third parties.</t>
        </is>
      </c>
    </row>
    <row r="13">
      <c r="A13" s="11" t="inlineStr">
        <is>
          <t>Instructions</t>
        </is>
      </c>
      <c r="B13" s="12" t="n"/>
    </row>
    <row r="14" ht="45" customHeight="1">
      <c r="A14" s="5" t="inlineStr">
        <is>
          <t>1)</t>
        </is>
      </c>
      <c r="B14" s="3" t="inlineStr">
        <is>
          <t>Add the site information into the orange cells at the top of the EASI Score worksheet: reach ID, coordinates, date, assessor, NHDPlus V2 COMID, the NARS-9 ecoregion (drop-down) and the NHD feature code.</t>
        </is>
      </c>
    </row>
    <row r="15" ht="45" customHeight="1">
      <c r="A15" s="5" t="inlineStr">
        <is>
          <t>2)</t>
        </is>
      </c>
      <c r="B15" s="3" t="inlineStr">
        <is>
          <t>Enter each desktop quantity once in the orange cells of the Metrics columns (column J). The Source column names the StreamCat field or the EASI report item each value comes from. Select a cell to read its guidance note.</t>
        </is>
      </c>
    </row>
    <row r="16" ht="30" customHeight="1">
      <c r="A16" s="5" t="inlineStr">
        <is>
          <t>3)</t>
        </is>
      </c>
      <c r="B16" s="3" t="inlineStr">
        <is>
          <t>Grey cells repeat an entry made higher in the table and cannot be edited. White cells in column J are computed from the entries above them.</t>
        </is>
      </c>
    </row>
    <row r="17" ht="45" customHeight="1">
      <c r="A17" s="5" t="inlineStr">
        <is>
          <t>4)</t>
        </is>
      </c>
      <c r="B17" s="3" t="inlineStr">
        <is>
          <t>Leave a cell blank when the evidence is unavailable. Never enter zero for unknown: a zero is evidence. A blank input leaves its function unrated, and unrated functions drop out of the sub-indices and the index.</t>
        </is>
      </c>
    </row>
    <row r="18" ht="75" customHeight="1">
      <c r="A18" s="5" t="inlineStr">
        <is>
          <t>5)</t>
        </is>
      </c>
      <c r="B18" s="3" t="inlineStr">
        <is>
          <t>Optional: enter the twelve EROM mean monthly flows in the helper block below the table and copy the computed variability into the Low flow row, enter the observed channel class, indicators and bank percentages if you have field observations, and pick an Override Score (Good, Fair or Poor) in the last row of any function whose computed rating your review replaces.</t>
        </is>
      </c>
    </row>
    <row r="19" ht="45" customHeight="1">
      <c r="A19" s="5" t="inlineStr">
        <is>
          <t>6)</t>
        </is>
      </c>
      <c r="B19" s="3" t="inlineStr">
        <is>
          <t>Ratings, function scores (0 to 15), the outcome sub-indices and the EASI index auto-populate (columns A to H). The scoring summary table, the legends and the charts to the right of the table also auto-populate.</t>
        </is>
      </c>
    </row>
    <row r="20" ht="30" customHeight="1">
      <c r="A20" s="5" t="inlineStr">
        <is>
          <t>7)</t>
        </is>
      </c>
      <c r="B20" s="3" t="inlineStr">
        <is>
          <t>Record other observations, sources or assumptions in the grey box at the bottom of the worksheet.</t>
        </is>
      </c>
    </row>
    <row r="22">
      <c r="A22" s="11" t="inlineStr">
        <is>
          <t>Comments/Assumptions</t>
        </is>
      </c>
      <c r="B22" s="12" t="n"/>
    </row>
    <row r="23" ht="60" customHeight="1">
      <c r="A23" s="5" t="inlineStr">
        <is>
          <t>1)</t>
        </is>
      </c>
      <c r="B23" s="3" t="inlineStr">
        <is>
          <t>The calculator implements the EASI scoring method of the web application exactly: the same bands, regional reference curves, lookups, weights and rounding, generated from the application's own scoring definitions. Same inputs give the same ratings, function scores, sub-indices and index. The Metadata sheet identifies the method.</t>
        </is>
      </c>
    </row>
    <row r="24" ht="45" customHeight="1">
      <c r="A24" s="5" t="inlineStr">
        <is>
          <t>2)</t>
        </is>
      </c>
      <c r="B24" s="3" t="inlineStr">
        <is>
          <t>The Metrics sheet shows every input, rule and route that produced a rating. The Reference sheet lists the bands, the reference curves, the regional nutrient thresholds, the lookups and the outcome weights.</t>
        </is>
      </c>
    </row>
    <row r="25" ht="75" customHeight="1">
      <c r="A25" s="5" t="inlineStr">
        <is>
          <t>3)</t>
        </is>
      </c>
      <c r="B25" s="3" t="inlineStr">
        <is>
          <t>Derived values (ratios, sums and products) are rounded to twelve decimals before banding, as in the application. Displayed indices are rounded to two decimals. When a sub-index lands exactly on a half-hundredth, Excel rounds away from zero and the application rounds to the even digit, so the displayed value can differ by 0.01 while the class is the same.</t>
        </is>
      </c>
    </row>
    <row r="26" ht="90" customHeight="1">
      <c r="A26" s="5" t="inlineStr">
        <is>
          <t>4)</t>
        </is>
      </c>
      <c r="B26" s="3" t="inlineStr">
        <is>
          <t>The calculator does not retrieve data, delineate a watershed or draw cross-sections. The observed channel and bank entries and the optional Override Score of each function are the expert-review inputs it supports. An Override Score replaces the computed rating and score of its function, as a rating changed in the web application does, and the Metrics sheet keeps the computed rating beside it. Entries outside the documented ranges are refused.</t>
        </is>
      </c>
    </row>
    <row r="27" ht="45" customHeight="1">
      <c r="A27" s="5" t="inlineStr">
        <is>
          <t>5)</t>
        </is>
      </c>
      <c r="B27" s="3" t="inlineStr">
        <is>
          <t>EASI is a screening-level desktop estimate, not a field-validated assessment. The reference curves express regional expectations derived from least-disturbed reaches, and several proxies remain unvalidated. The technical report states each metric's limitations.</t>
        </is>
      </c>
    </row>
    <row r="28" ht="30" customHeight="1">
      <c r="A28" s="5" t="inlineStr">
        <is>
          <t>6)</t>
        </is>
      </c>
      <c r="B28" s="3" t="inlineStr">
        <is>
          <t>All computed cells are locked and the sheets are protected without a secret password (it is 'easi'), so a mistaken edit is unlikely, not impossible.</t>
        </is>
      </c>
    </row>
  </sheetData>
  <sheetProtection selectLockedCells="0" selectUnlockedCells="0" sheet="1" objects="0" insertRows="1" insertHyperlinks="1" autoFilter="1" scenarios="0" formatColumns="1" deleteColumns="1" insertColumns="1" pivotTables="1" deleteRows="1" formatCells="1" formatRows="1" sort="1" password="CA09"/>
  <mergeCells count="2">
    <mergeCell ref="A13:B13"/>
    <mergeCell ref="A22:B22"/>
  </mergeCell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Z101"/>
  <sheetViews>
    <sheetView showGridLines="0" tabSelected="1" zoomScale="80" workbookViewId="0">
      <pane ySplit="7" topLeftCell="A8" activePane="bottomLeft" state="frozen"/>
      <selection pane="bottomLeft" activeCell="A1" sqref="A1"/>
    </sheetView>
  </sheetViews>
  <sheetFormatPr baseColWidth="8" defaultRowHeight="15"/>
  <cols>
    <col width="15.6" customWidth="1" min="1" max="1"/>
    <col width="13" customWidth="1" min="2" max="2"/>
    <col width="13" customWidth="1" min="3" max="3"/>
    <col width="17" customWidth="1" min="4" max="4"/>
    <col width="13" customWidth="1" min="5" max="5"/>
    <col width="27" customWidth="1" min="6" max="6"/>
    <col width="10" customWidth="1" min="7" max="7"/>
    <col width="12" customWidth="1" min="8" max="8"/>
    <col width="46" customWidth="1" min="9" max="9"/>
    <col width="16" customWidth="1" min="10" max="10"/>
    <col width="10" customWidth="1" min="11" max="11"/>
    <col width="12" customWidth="1" min="12" max="12"/>
    <col width="40" customWidth="1" min="13" max="13"/>
    <col width="3" customWidth="1" min="14" max="14"/>
    <col width="17" customWidth="1" min="15" max="15"/>
    <col width="32" customWidth="1" min="16" max="16"/>
    <col width="8" customWidth="1" min="17" max="17"/>
    <col width="10" customWidth="1" min="18" max="18"/>
    <col width="10" customWidth="1" min="19" max="19"/>
    <col width="11" customWidth="1" min="20" max="20"/>
    <col width="3" customWidth="1" min="21" max="21"/>
    <col width="8" customWidth="1" min="22" max="22"/>
    <col width="20" customWidth="1" min="23" max="23"/>
    <col width="3" customWidth="1" min="24" max="24"/>
    <col width="8" customWidth="1" min="25" max="25"/>
    <col width="20" customWidth="1" min="26" max="26"/>
  </cols>
  <sheetData>
    <row r="1" ht="24" customHeight="1">
      <c r="A1" s="13" t="inlineStr">
        <is>
          <t>Ecosystem Assessment Screening Index (EASI) Worksheet</t>
        </is>
      </c>
    </row>
    <row r="2" ht="21" customHeight="1">
      <c r="A2" s="14" t="inlineStr">
        <is>
          <t>Reach ID</t>
        </is>
      </c>
      <c r="B2" s="15" t="n"/>
      <c r="C2" s="16" t="n"/>
      <c r="D2" s="16" t="n"/>
      <c r="E2" s="16" t="n"/>
      <c r="F2" s="17" t="inlineStr">
        <is>
          <t>Assessor(s)</t>
        </is>
      </c>
      <c r="G2" s="15" t="n"/>
      <c r="H2" s="16" t="n"/>
      <c r="I2" s="16" t="n"/>
      <c r="J2" s="17" t="inlineStr">
        <is>
          <t>COMID</t>
        </is>
      </c>
      <c r="K2" s="15" t="n"/>
      <c r="L2" s="16" t="n"/>
      <c r="M2" s="18" t="n"/>
    </row>
    <row r="3" ht="21" customHeight="1">
      <c r="A3" s="19" t="inlineStr">
        <is>
          <t>Lat/Long</t>
        </is>
      </c>
      <c r="B3" s="20" t="n"/>
      <c r="C3" s="21" t="n"/>
      <c r="D3" s="21" t="n"/>
      <c r="E3" s="21" t="n"/>
      <c r="F3" s="22" t="inlineStr">
        <is>
          <t>Date</t>
        </is>
      </c>
      <c r="G3" s="23" t="n"/>
      <c r="H3" s="21" t="n"/>
      <c r="I3" s="21" t="n"/>
      <c r="J3" s="22" t="inlineStr">
        <is>
          <t>NARS-9 region</t>
        </is>
      </c>
      <c r="K3" s="20" t="n"/>
      <c r="L3" s="21" t="n"/>
      <c r="M3" s="24" t="n"/>
    </row>
    <row r="4" ht="21" customHeight="1">
      <c r="A4" s="25" t="inlineStr">
        <is>
          <t>NHD FCODE</t>
        </is>
      </c>
      <c r="B4" s="26" t="n"/>
      <c r="C4" s="27" t="n"/>
      <c r="D4" s="27" t="n"/>
      <c r="E4" s="27" t="n"/>
      <c r="F4" s="28" t="inlineStr">
        <is>
          <t>Slope class override</t>
        </is>
      </c>
      <c r="G4" s="26" t="n"/>
      <c r="H4" s="27" t="n"/>
      <c r="I4" s="27" t="n"/>
      <c r="J4" s="28" t="inlineStr">
        <is>
          <t>Slope class used</t>
        </is>
      </c>
      <c r="K4" s="29">
        <f>IF('EASI Score'!$G$4&lt;&gt;"",'EASI Score'!$G$4,IF(NOT(ISNUMBER('EASI Score'!$J$26)),"national",IF('EASI Score'!$J$26&lt;0,"national",IF('EASI Score'!$J$26&lt;0.005,"lt_0.5",IF('EASI Score'!$J$26&lt;0.02,"0.5_to_2","ge_2")))))</f>
        <v/>
      </c>
      <c r="L4" s="30" t="n"/>
      <c r="M4" s="31" t="n"/>
    </row>
    <row r="5" ht="18" customHeight="1">
      <c r="A5" s="32" t="inlineStr">
        <is>
          <t>EASI</t>
        </is>
      </c>
      <c r="B5" s="32" t="inlineStr">
        <is>
          <t>Outcomes</t>
        </is>
      </c>
      <c r="C5" s="33" t="n"/>
      <c r="D5" s="32" t="inlineStr">
        <is>
          <t>Functional Categories</t>
        </is>
      </c>
      <c r="E5" s="33" t="n"/>
      <c r="F5" s="32" t="inlineStr">
        <is>
          <t>Functions</t>
        </is>
      </c>
      <c r="G5" s="33" t="n"/>
      <c r="H5" s="33" t="n"/>
      <c r="I5" s="32" t="inlineStr">
        <is>
          <t>Metrics</t>
        </is>
      </c>
      <c r="J5" s="33" t="n"/>
      <c r="K5" s="33" t="n"/>
      <c r="L5" s="33" t="n"/>
      <c r="M5" s="34" t="n"/>
      <c r="O5" s="22" t="inlineStr">
        <is>
          <t>Scoring Summary</t>
        </is>
      </c>
      <c r="P5" s="12" t="n"/>
      <c r="Q5" s="12" t="n"/>
      <c r="R5" s="22" t="inlineStr">
        <is>
          <t>Outcomes</t>
        </is>
      </c>
      <c r="S5" s="12" t="n"/>
      <c r="T5" s="12" t="n"/>
      <c r="V5" s="35" t="inlineStr">
        <is>
          <t>EASI Index Scoring</t>
        </is>
      </c>
      <c r="Y5" s="35" t="inlineStr">
        <is>
          <t>Function Scoring</t>
        </is>
      </c>
    </row>
    <row r="6" ht="18" customHeight="1">
      <c r="A6" s="36" t="inlineStr">
        <is>
          <t>Index Score</t>
        </is>
      </c>
      <c r="B6" s="36" t="inlineStr">
        <is>
          <t>Name</t>
        </is>
      </c>
      <c r="C6" s="37" t="inlineStr">
        <is>
          <t>Sub-Index Score</t>
        </is>
      </c>
      <c r="D6" s="36" t="inlineStr">
        <is>
          <t>Name</t>
        </is>
      </c>
      <c r="E6" s="37" t="inlineStr">
        <is>
          <t>Functions Rated</t>
        </is>
      </c>
      <c r="F6" s="36" t="inlineStr">
        <is>
          <t>Name</t>
        </is>
      </c>
      <c r="G6" s="37" t="inlineStr">
        <is>
          <t>Rating</t>
        </is>
      </c>
      <c r="H6" s="37" t="inlineStr">
        <is>
          <t>Function Score</t>
        </is>
      </c>
      <c r="I6" s="36" t="inlineStr">
        <is>
          <t>Name</t>
        </is>
      </c>
      <c r="J6" s="37" t="inlineStr">
        <is>
          <t>Value</t>
        </is>
      </c>
      <c r="K6" s="37" t="inlineStr">
        <is>
          <t>Units</t>
        </is>
      </c>
      <c r="L6" s="37" t="inlineStr">
        <is>
          <t>Input Rating</t>
        </is>
      </c>
      <c r="M6" s="38" t="inlineStr">
        <is>
          <t>Source</t>
        </is>
      </c>
      <c r="O6" s="37" t="inlineStr">
        <is>
          <t>Functional Categories</t>
        </is>
      </c>
      <c r="P6" s="37" t="inlineStr">
        <is>
          <t>Functions</t>
        </is>
      </c>
      <c r="Q6" s="37" t="inlineStr">
        <is>
          <t>Score</t>
        </is>
      </c>
      <c r="R6" s="37" t="inlineStr">
        <is>
          <t>Physical</t>
        </is>
      </c>
      <c r="S6" s="37" t="inlineStr">
        <is>
          <t>Chemical</t>
        </is>
      </c>
      <c r="T6" s="37" t="inlineStr">
        <is>
          <t>Biological</t>
        </is>
      </c>
      <c r="V6" s="39" t="inlineStr">
        <is>
          <t>1.00</t>
        </is>
      </c>
      <c r="W6" s="40" t="inlineStr">
        <is>
          <t>Functioning</t>
        </is>
      </c>
      <c r="Y6" s="39" t="inlineStr">
        <is>
          <t>15</t>
        </is>
      </c>
      <c r="Z6" s="40" t="inlineStr">
        <is>
          <t>Functioning</t>
        </is>
      </c>
    </row>
    <row r="7" ht="18" customHeight="1">
      <c r="A7" s="41" t="n"/>
      <c r="B7" s="41" t="n"/>
      <c r="C7" s="30" t="n"/>
      <c r="D7" s="41" t="n"/>
      <c r="E7" s="30" t="n"/>
      <c r="F7" s="41" t="n"/>
      <c r="G7" s="30" t="n"/>
      <c r="H7" s="30" t="n"/>
      <c r="I7" s="41" t="n"/>
      <c r="J7" s="30" t="n"/>
      <c r="K7" s="30" t="n"/>
      <c r="L7" s="30" t="n"/>
      <c r="M7" s="31" t="n"/>
      <c r="O7" s="12" t="n"/>
      <c r="P7" s="12" t="n"/>
      <c r="Q7" s="12" t="n"/>
      <c r="R7" s="12" t="n"/>
      <c r="S7" s="12" t="n"/>
      <c r="T7" s="12" t="n"/>
      <c r="W7" s="42" t="n"/>
      <c r="Z7" s="42" t="n"/>
    </row>
    <row r="8" ht="15.75" customHeight="1">
      <c r="A8" s="43">
        <f>IF('Results'!$E$30="","",'Results'!$E$30)</f>
        <v/>
      </c>
      <c r="B8" s="44" t="inlineStr">
        <is>
          <t>Physical</t>
        </is>
      </c>
      <c r="C8" s="45">
        <f>IF('Results'!$E$27="","",'Results'!$E$27)</f>
        <v/>
      </c>
      <c r="D8" s="44" t="inlineStr">
        <is>
          <t>Hydrology</t>
        </is>
      </c>
      <c r="E8" s="46">
        <f>COUNT('EASI Score'!$H$8:$H$20)</f>
        <v/>
      </c>
      <c r="F8" s="44" t="inlineStr">
        <is>
          <t>Catchment hydrology</t>
        </is>
      </c>
      <c r="G8" s="17">
        <f>'Metrics'!$C$13</f>
        <v/>
      </c>
      <c r="H8" s="47">
        <f>'Metrics'!$B$14</f>
        <v/>
      </c>
      <c r="I8" s="48" t="inlineStr">
        <is>
          <t>Impervious cover of the watershed</t>
        </is>
      </c>
      <c r="J8" s="15" t="n"/>
      <c r="K8" s="49" t="inlineStr">
        <is>
          <t>%</t>
        </is>
      </c>
      <c r="L8" s="49">
        <f>'Metrics'!$C$6</f>
        <v/>
      </c>
      <c r="M8" s="50" t="inlineStr">
        <is>
          <t>StreamCat pctimp2019ws</t>
        </is>
      </c>
      <c r="O8" s="51" t="inlineStr">
        <is>
          <t>Hydrology</t>
        </is>
      </c>
      <c r="P8" s="52" t="inlineStr">
        <is>
          <t>Catchment hydrology</t>
        </is>
      </c>
      <c r="Q8" s="53">
        <f>IF('EASI Score'!$H$8="","",'EASI Score'!$H$8)</f>
        <v/>
      </c>
      <c r="R8" s="54" t="inlineStr">
        <is>
          <t>D</t>
        </is>
      </c>
      <c r="S8" s="54" t="inlineStr">
        <is>
          <t>i</t>
        </is>
      </c>
      <c r="T8" s="54" t="inlineStr">
        <is>
          <t>i</t>
        </is>
      </c>
      <c r="V8" s="55" t="inlineStr">
        <is>
          <t>0.70</t>
        </is>
      </c>
      <c r="W8" s="42" t="n"/>
      <c r="Y8" s="55" t="inlineStr">
        <is>
          <t>11</t>
        </is>
      </c>
      <c r="Z8" s="42" t="n"/>
    </row>
    <row r="9" ht="31.5" customHeight="1">
      <c r="A9" s="56" t="n"/>
      <c r="B9" s="56" t="n"/>
      <c r="C9" s="12" t="n"/>
      <c r="D9" s="56" t="n"/>
      <c r="E9" s="12" t="n"/>
      <c r="F9" s="56" t="n"/>
      <c r="G9" s="12" t="n"/>
      <c r="H9" s="12" t="n"/>
      <c r="I9" s="57" t="inlineStr">
        <is>
          <t>Agricultural cover of the watershed (crop, hay and pasture)</t>
        </is>
      </c>
      <c r="J9" s="58" t="n"/>
      <c r="K9" s="59" t="inlineStr">
        <is>
          <t>%</t>
        </is>
      </c>
      <c r="L9" s="59">
        <f>'Metrics'!$C$7</f>
        <v/>
      </c>
      <c r="M9" s="60" t="inlineStr">
        <is>
          <t>StreamCat pctcrop2019ws + pcthay2019ws</t>
        </is>
      </c>
      <c r="O9" s="61" t="n"/>
      <c r="P9" s="52" t="inlineStr">
        <is>
          <t>Surface water storage</t>
        </is>
      </c>
      <c r="Q9" s="53">
        <f>IF('EASI Score'!$H$11="","",'EASI Score'!$H$11)</f>
        <v/>
      </c>
      <c r="R9" s="54" t="inlineStr">
        <is>
          <t>D</t>
        </is>
      </c>
      <c r="S9" s="54" t="inlineStr">
        <is>
          <t>i</t>
        </is>
      </c>
      <c r="T9" s="54" t="inlineStr">
        <is>
          <t>i</t>
        </is>
      </c>
      <c r="W9" s="62" t="inlineStr">
        <is>
          <t>Functioning At-Risk</t>
        </is>
      </c>
      <c r="Y9" s="39" t="inlineStr">
        <is>
          <t>10</t>
        </is>
      </c>
      <c r="Z9" s="62" t="inlineStr">
        <is>
          <t>Functioning At-Risk</t>
        </is>
      </c>
    </row>
    <row r="10" ht="24" customHeight="1">
      <c r="A10" s="56" t="n"/>
      <c r="B10" s="56" t="n"/>
      <c r="C10" s="12" t="n"/>
      <c r="D10" s="56" t="n"/>
      <c r="E10" s="12" t="n"/>
      <c r="F10" s="41" t="n"/>
      <c r="G10" s="30" t="n"/>
      <c r="H10" s="30" t="n"/>
      <c r="I10" s="63" t="inlineStr">
        <is>
          <t>Override Score (Optional)</t>
        </is>
      </c>
      <c r="J10" s="64" t="n"/>
      <c r="K10" s="65" t="n"/>
      <c r="L10" s="65" t="n"/>
      <c r="M10" s="66" t="inlineStr">
        <is>
          <t>User-defined override</t>
        </is>
      </c>
      <c r="O10" s="61" t="n"/>
      <c r="P10" s="52" t="inlineStr">
        <is>
          <t>Reach inflow</t>
        </is>
      </c>
      <c r="Q10" s="53">
        <f>IF('EASI Score'!$H$15="","",'EASI Score'!$H$15)</f>
        <v/>
      </c>
      <c r="R10" s="54" t="inlineStr">
        <is>
          <t>D</t>
        </is>
      </c>
      <c r="S10" s="54" t="inlineStr">
        <is>
          <t>i</t>
        </is>
      </c>
      <c r="T10" s="54" t="inlineStr">
        <is>
          <t>i</t>
        </is>
      </c>
      <c r="W10" s="67" t="n"/>
      <c r="Z10" s="67" t="n"/>
    </row>
    <row r="11" ht="15.75" customHeight="1">
      <c r="A11" s="56" t="n"/>
      <c r="B11" s="56" t="n"/>
      <c r="C11" s="12" t="n"/>
      <c r="D11" s="56" t="n"/>
      <c r="E11" s="12" t="n"/>
      <c r="F11" s="68" t="inlineStr">
        <is>
          <t>Surface water storage</t>
        </is>
      </c>
      <c r="G11" s="22">
        <f>'Metrics'!$C$25</f>
        <v/>
      </c>
      <c r="H11" s="69">
        <f>'Metrics'!$B$26</f>
        <v/>
      </c>
      <c r="I11" s="70" t="inlineStr">
        <is>
          <t>Woody wetland cover of the watershed</t>
        </is>
      </c>
      <c r="J11" s="20" t="n"/>
      <c r="K11" s="5" t="inlineStr">
        <is>
          <t>%</t>
        </is>
      </c>
      <c r="L11" s="12" t="n"/>
      <c r="M11" s="71" t="inlineStr">
        <is>
          <t>StreamCat pctwdwet2019ws</t>
        </is>
      </c>
      <c r="O11" s="61" t="n"/>
      <c r="P11" s="52" t="inlineStr">
        <is>
          <t>Streamflow regime</t>
        </is>
      </c>
      <c r="Q11" s="53">
        <f>IF('EASI Score'!$H$17="","",'EASI Score'!$H$17)</f>
        <v/>
      </c>
      <c r="R11" s="54" t="inlineStr">
        <is>
          <t>D</t>
        </is>
      </c>
      <c r="S11" s="54" t="inlineStr">
        <is>
          <t>i</t>
        </is>
      </c>
      <c r="T11" s="54" t="inlineStr">
        <is>
          <t>i</t>
        </is>
      </c>
      <c r="V11" s="55" t="inlineStr">
        <is>
          <t>0.40</t>
        </is>
      </c>
      <c r="W11" s="67" t="n"/>
      <c r="Y11" s="55" t="inlineStr">
        <is>
          <t>6</t>
        </is>
      </c>
      <c r="Z11" s="67" t="n"/>
    </row>
    <row r="12" ht="15.75" customHeight="1">
      <c r="A12" s="56" t="n"/>
      <c r="B12" s="56" t="n"/>
      <c r="C12" s="12" t="n"/>
      <c r="D12" s="56" t="n"/>
      <c r="E12" s="12" t="n"/>
      <c r="F12" s="56" t="n"/>
      <c r="G12" s="12" t="n"/>
      <c r="H12" s="12" t="n"/>
      <c r="I12" s="70" t="inlineStr">
        <is>
          <t>Herbaceous wetland cover of the watershed</t>
        </is>
      </c>
      <c r="J12" s="20" t="n"/>
      <c r="K12" s="5" t="inlineStr">
        <is>
          <t>%</t>
        </is>
      </c>
      <c r="L12" s="12" t="n"/>
      <c r="M12" s="71" t="inlineStr">
        <is>
          <t>StreamCat pcthbwet2019ws</t>
        </is>
      </c>
      <c r="O12" s="72" t="inlineStr">
        <is>
          <t>Hydraulics</t>
        </is>
      </c>
      <c r="P12" s="73" t="inlineStr">
        <is>
          <t>Low flow and baseflow dynamics</t>
        </is>
      </c>
      <c r="Q12" s="53">
        <f>IF('EASI Score'!$H$21="","",'EASI Score'!$H$21)</f>
        <v/>
      </c>
      <c r="R12" s="74" t="inlineStr">
        <is>
          <t>D</t>
        </is>
      </c>
      <c r="S12" s="74" t="inlineStr">
        <is>
          <t>i</t>
        </is>
      </c>
      <c r="T12" s="74" t="inlineStr">
        <is>
          <t>i</t>
        </is>
      </c>
      <c r="W12" s="75" t="inlineStr">
        <is>
          <t>Non-Functioning</t>
        </is>
      </c>
      <c r="Y12" s="39" t="inlineStr">
        <is>
          <t>5</t>
        </is>
      </c>
      <c r="Z12" s="75" t="inlineStr">
        <is>
          <t>Non-Functioning</t>
        </is>
      </c>
    </row>
    <row r="13" ht="15.75" customHeight="1">
      <c r="A13" s="56" t="n"/>
      <c r="B13" s="56" t="n"/>
      <c r="C13" s="12" t="n"/>
      <c r="D13" s="56" t="n"/>
      <c r="E13" s="12" t="n"/>
      <c r="F13" s="56" t="n"/>
      <c r="G13" s="12" t="n"/>
      <c r="H13" s="12" t="n"/>
      <c r="I13" s="57" t="inlineStr">
        <is>
          <t>Wetland extent (sum, capped at 100)</t>
        </is>
      </c>
      <c r="J13" s="76">
        <f>IF('Metrics'!$B$21="","",'Metrics'!$B$21)</f>
        <v/>
      </c>
      <c r="K13" s="59" t="inlineStr">
        <is>
          <t>%</t>
        </is>
      </c>
      <c r="L13" s="59">
        <f>'Metrics'!$C$23</f>
        <v/>
      </c>
      <c r="M13" s="77" t="inlineStr">
        <is>
          <t>Computed from the entries above</t>
        </is>
      </c>
      <c r="O13" s="78" t="n"/>
      <c r="P13" s="73" t="inlineStr">
        <is>
          <t>High flow dynamics</t>
        </is>
      </c>
      <c r="Q13" s="53">
        <f>IF('EASI Score'!$H$23="","",'EASI Score'!$H$23)</f>
        <v/>
      </c>
      <c r="R13" s="74" t="inlineStr">
        <is>
          <t>D</t>
        </is>
      </c>
      <c r="S13" s="74" t="inlineStr">
        <is>
          <t>i</t>
        </is>
      </c>
      <c r="T13" s="74" t="inlineStr">
        <is>
          <t>i</t>
        </is>
      </c>
      <c r="W13" s="79" t="n"/>
      <c r="Z13" s="79" t="n"/>
    </row>
    <row r="14" ht="24" customHeight="1">
      <c r="A14" s="56" t="n"/>
      <c r="B14" s="56" t="n"/>
      <c r="C14" s="12" t="n"/>
      <c r="D14" s="56" t="n"/>
      <c r="E14" s="12" t="n"/>
      <c r="F14" s="41" t="n"/>
      <c r="G14" s="30" t="n"/>
      <c r="H14" s="30" t="n"/>
      <c r="I14" s="63" t="inlineStr">
        <is>
          <t>Override Score (Optional)</t>
        </is>
      </c>
      <c r="J14" s="64" t="n"/>
      <c r="K14" s="65" t="n"/>
      <c r="L14" s="65" t="n"/>
      <c r="M14" s="66" t="inlineStr">
        <is>
          <t>User-defined override</t>
        </is>
      </c>
      <c r="O14" s="78" t="n"/>
      <c r="P14" s="73" t="inlineStr">
        <is>
          <t>Floodplain connectivity</t>
        </is>
      </c>
      <c r="Q14" s="53">
        <f>IF('EASI Score'!$H$25="","",'EASI Score'!$H$25)</f>
        <v/>
      </c>
      <c r="R14" s="74" t="inlineStr">
        <is>
          <t>D</t>
        </is>
      </c>
      <c r="S14" s="74" t="inlineStr">
        <is>
          <t>i</t>
        </is>
      </c>
      <c r="T14" s="74" t="inlineStr">
        <is>
          <t>i</t>
        </is>
      </c>
      <c r="V14" s="55" t="inlineStr">
        <is>
          <t>0.00</t>
        </is>
      </c>
      <c r="W14" s="79" t="n"/>
      <c r="Y14" s="55" t="inlineStr">
        <is>
          <t>0</t>
        </is>
      </c>
      <c r="Z14" s="79" t="n"/>
    </row>
    <row r="15" ht="15.75" customHeight="1">
      <c r="A15" s="56" t="n"/>
      <c r="B15" s="56" t="n"/>
      <c r="C15" s="12" t="n"/>
      <c r="D15" s="56" t="n"/>
      <c r="E15" s="12" t="n"/>
      <c r="F15" s="68" t="inlineStr">
        <is>
          <t>Reach inflow</t>
        </is>
      </c>
      <c r="G15" s="22">
        <f>'Metrics'!$C$35</f>
        <v/>
      </c>
      <c r="H15" s="69">
        <f>'Metrics'!$B$36</f>
        <v/>
      </c>
      <c r="I15" s="57" t="inlineStr">
        <is>
          <t>Road density of the watershed</t>
        </is>
      </c>
      <c r="J15" s="58" t="n"/>
      <c r="K15" s="59" t="inlineStr">
        <is>
          <t>km/km2</t>
        </is>
      </c>
      <c r="L15" s="59">
        <f>'Metrics'!$C$33</f>
        <v/>
      </c>
      <c r="M15" s="60" t="inlineStr">
        <is>
          <t>StreamCat rddensws</t>
        </is>
      </c>
      <c r="O15" s="78" t="n"/>
      <c r="P15" s="73" t="inlineStr">
        <is>
          <t>Hyporheic connectivity</t>
        </is>
      </c>
      <c r="Q15" s="53">
        <f>IF('EASI Score'!$H$28="","",'EASI Score'!$H$28)</f>
        <v/>
      </c>
      <c r="R15" s="74" t="inlineStr">
        <is>
          <t>D</t>
        </is>
      </c>
      <c r="S15" s="74" t="inlineStr">
        <is>
          <t>i</t>
        </is>
      </c>
      <c r="T15" s="74" t="inlineStr">
        <is>
          <t>i</t>
        </is>
      </c>
    </row>
    <row r="16" ht="24" customHeight="1">
      <c r="A16" s="56" t="n"/>
      <c r="B16" s="56" t="n"/>
      <c r="C16" s="12" t="n"/>
      <c r="D16" s="56" t="n"/>
      <c r="E16" s="12" t="n"/>
      <c r="F16" s="41" t="n"/>
      <c r="G16" s="30" t="n"/>
      <c r="H16" s="30" t="n"/>
      <c r="I16" s="63" t="inlineStr">
        <is>
          <t>Override Score (Optional)</t>
        </is>
      </c>
      <c r="J16" s="64" t="n"/>
      <c r="K16" s="65" t="n"/>
      <c r="L16" s="65" t="n"/>
      <c r="M16" s="66" t="inlineStr">
        <is>
          <t>User-defined override</t>
        </is>
      </c>
      <c r="O16" s="80" t="inlineStr">
        <is>
          <t>Geomorphology</t>
        </is>
      </c>
      <c r="P16" s="81" t="inlineStr">
        <is>
          <t>Channel evolution</t>
        </is>
      </c>
      <c r="Q16" s="53">
        <f>IF('EASI Score'!$H$31="","",'EASI Score'!$H$31)</f>
        <v/>
      </c>
      <c r="R16" s="82" t="inlineStr">
        <is>
          <t>D</t>
        </is>
      </c>
      <c r="S16" s="82" t="inlineStr">
        <is>
          <t>i</t>
        </is>
      </c>
      <c r="T16" s="82" t="inlineStr">
        <is>
          <t>i</t>
        </is>
      </c>
    </row>
    <row r="17" ht="15.75" customHeight="1">
      <c r="A17" s="56" t="n"/>
      <c r="B17" s="56" t="n"/>
      <c r="C17" s="12" t="n"/>
      <c r="D17" s="56" t="n"/>
      <c r="E17" s="12" t="n"/>
      <c r="F17" s="68" t="inlineStr">
        <is>
          <t>Streamflow regime</t>
        </is>
      </c>
      <c r="G17" s="22">
        <f>'Metrics'!$C$47</f>
        <v/>
      </c>
      <c r="H17" s="69">
        <f>'Metrics'!$B$48</f>
        <v/>
      </c>
      <c r="I17" s="70" t="inlineStr">
        <is>
          <t>Normalized dam storage upstream</t>
        </is>
      </c>
      <c r="J17" s="20" t="n"/>
      <c r="K17" s="5" t="inlineStr">
        <is>
          <t>m3/km2</t>
        </is>
      </c>
      <c r="L17" s="12" t="n"/>
      <c r="M17" s="71" t="inlineStr">
        <is>
          <t>StreamCat damnrmstorws</t>
        </is>
      </c>
      <c r="O17" s="83" t="n"/>
      <c r="P17" s="81" t="inlineStr">
        <is>
          <t>Channel and floodplain dynamics</t>
        </is>
      </c>
      <c r="Q17" s="53">
        <f>IF('EASI Score'!$H$36="","",'EASI Score'!$H$36)</f>
        <v/>
      </c>
      <c r="R17" s="82" t="inlineStr">
        <is>
          <t>D</t>
        </is>
      </c>
      <c r="S17" s="82" t="inlineStr">
        <is>
          <t>i</t>
        </is>
      </c>
      <c r="T17" s="82" t="inlineStr">
        <is>
          <t>i</t>
        </is>
      </c>
      <c r="V17" s="35" t="inlineStr">
        <is>
          <t>Rating to Function Score</t>
        </is>
      </c>
    </row>
    <row r="18" ht="15.75" customHeight="1">
      <c r="A18" s="56" t="n"/>
      <c r="B18" s="56" t="n"/>
      <c r="C18" s="12" t="n"/>
      <c r="D18" s="56" t="n"/>
      <c r="E18" s="12" t="n"/>
      <c r="F18" s="56" t="n"/>
      <c r="G18" s="12" t="n"/>
      <c r="H18" s="12" t="n"/>
      <c r="I18" s="70" t="inlineStr">
        <is>
          <t>Mean annual runoff of the watershed</t>
        </is>
      </c>
      <c r="J18" s="20" t="n"/>
      <c r="K18" s="5" t="inlineStr">
        <is>
          <t>mm</t>
        </is>
      </c>
      <c r="L18" s="12" t="n"/>
      <c r="M18" s="71" t="inlineStr">
        <is>
          <t>StreamCat runoffws</t>
        </is>
      </c>
      <c r="O18" s="83" t="n"/>
      <c r="P18" s="81" t="inlineStr">
        <is>
          <t>Sediment continuity</t>
        </is>
      </c>
      <c r="Q18" s="53">
        <f>IF('EASI Score'!$H$40="","",'EASI Score'!$H$40)</f>
        <v/>
      </c>
      <c r="R18" s="82" t="inlineStr">
        <is>
          <t>D</t>
        </is>
      </c>
      <c r="S18" s="82" t="inlineStr">
        <is>
          <t>i</t>
        </is>
      </c>
      <c r="T18" s="82" t="inlineStr">
        <is>
          <t>i</t>
        </is>
      </c>
      <c r="V18" s="84" t="inlineStr">
        <is>
          <t>Rating</t>
        </is>
      </c>
      <c r="W18" s="12" t="n"/>
      <c r="X18" s="12" t="n"/>
      <c r="Y18" s="84" t="inlineStr">
        <is>
          <t>Score</t>
        </is>
      </c>
      <c r="Z18" s="12" t="n"/>
    </row>
    <row r="19" ht="15.75" customHeight="1">
      <c r="A19" s="56" t="n"/>
      <c r="B19" s="56" t="n"/>
      <c r="C19" s="12" t="n"/>
      <c r="D19" s="56" t="n"/>
      <c r="E19" s="12" t="n"/>
      <c r="F19" s="56" t="n"/>
      <c r="G19" s="12" t="n"/>
      <c r="H19" s="12" t="n"/>
      <c r="I19" s="57" t="inlineStr">
        <is>
          <t>Degree of regulation</t>
        </is>
      </c>
      <c r="J19" s="76">
        <f>IF('Metrics'!$B$43="","",'Metrics'!$B$43)</f>
        <v/>
      </c>
      <c r="K19" s="59" t="inlineStr">
        <is>
          <t>%</t>
        </is>
      </c>
      <c r="L19" s="59">
        <f>'Metrics'!$C$45</f>
        <v/>
      </c>
      <c r="M19" s="77" t="inlineStr">
        <is>
          <t>Computed from the entries above</t>
        </is>
      </c>
      <c r="O19" s="83" t="n"/>
      <c r="P19" s="81" t="inlineStr">
        <is>
          <t>Bed composition and large wood</t>
        </is>
      </c>
      <c r="Q19" s="53">
        <f>IF('EASI Score'!$H$44="","",'EASI Score'!$H$44)</f>
        <v/>
      </c>
      <c r="R19" s="82" t="inlineStr">
        <is>
          <t>D</t>
        </is>
      </c>
      <c r="S19" s="82" t="inlineStr">
        <is>
          <t>i</t>
        </is>
      </c>
      <c r="T19" s="82" t="inlineStr">
        <is>
          <t>i</t>
        </is>
      </c>
      <c r="V19" s="85" t="inlineStr">
        <is>
          <t>Good (Functioning)</t>
        </is>
      </c>
      <c r="W19" s="42" t="n"/>
      <c r="X19" s="12" t="n"/>
      <c r="Y19" s="86">
        <f>'Reference'!$C$6</f>
        <v/>
      </c>
      <c r="Z19" s="42" t="n"/>
    </row>
    <row r="20" ht="24" customHeight="1">
      <c r="A20" s="56" t="n"/>
      <c r="B20" s="56" t="n"/>
      <c r="C20" s="12" t="n"/>
      <c r="D20" s="41" t="n"/>
      <c r="E20" s="30" t="n"/>
      <c r="F20" s="41" t="n"/>
      <c r="G20" s="30" t="n"/>
      <c r="H20" s="30" t="n"/>
      <c r="I20" s="63" t="inlineStr">
        <is>
          <t>Override Score (Optional)</t>
        </is>
      </c>
      <c r="J20" s="64" t="n"/>
      <c r="K20" s="65" t="n"/>
      <c r="L20" s="65" t="n"/>
      <c r="M20" s="66" t="inlineStr">
        <is>
          <t>User-defined override</t>
        </is>
      </c>
      <c r="O20" s="87" t="inlineStr">
        <is>
          <t>Physicochemistry</t>
        </is>
      </c>
      <c r="P20" s="88" t="inlineStr">
        <is>
          <t>Light &amp; thermal regime</t>
        </is>
      </c>
      <c r="Q20" s="53">
        <f>IF('EASI Score'!$H$46="","",'EASI Score'!$H$46)</f>
        <v/>
      </c>
      <c r="R20" s="89" t="inlineStr"/>
      <c r="S20" s="89" t="inlineStr">
        <is>
          <t>D</t>
        </is>
      </c>
      <c r="T20" s="89" t="inlineStr">
        <is>
          <t>i</t>
        </is>
      </c>
      <c r="V20" s="90" t="inlineStr">
        <is>
          <t>Fair (Functioning At-Risk)</t>
        </is>
      </c>
      <c r="W20" s="67" t="n"/>
      <c r="X20" s="12" t="n"/>
      <c r="Y20" s="91">
        <f>'Reference'!$C$7</f>
        <v/>
      </c>
      <c r="Z20" s="67" t="n"/>
    </row>
    <row r="21" ht="31.5" customHeight="1">
      <c r="A21" s="56" t="n"/>
      <c r="B21" s="56" t="n"/>
      <c r="C21" s="12" t="n"/>
      <c r="D21" s="68" t="inlineStr">
        <is>
          <t>Hydraulics</t>
        </is>
      </c>
      <c r="E21" s="92">
        <f>COUNT('EASI Score'!$H$21:$H$30)</f>
        <v/>
      </c>
      <c r="F21" s="68" t="inlineStr">
        <is>
          <t>Low flow and baseflow dynamics</t>
        </is>
      </c>
      <c r="G21" s="22">
        <f>'Metrics'!$C$60</f>
        <v/>
      </c>
      <c r="H21" s="69">
        <f>'Metrics'!$B$61</f>
        <v/>
      </c>
      <c r="I21" s="57" t="inlineStr">
        <is>
          <t>Monthly flow variability (CV of the twelve EROM monthly flows)</t>
        </is>
      </c>
      <c r="J21" s="58" t="n"/>
      <c r="K21" s="59" t="inlineStr">
        <is>
          <t>ratio</t>
        </is>
      </c>
      <c r="L21" s="59">
        <f>'Metrics'!$C$58</f>
        <v/>
      </c>
      <c r="M21" s="60" t="inlineStr">
        <is>
          <t>NHDPlus V2 EROM QE_01 to QE_12, or the helper below</t>
        </is>
      </c>
      <c r="O21" s="93" t="n"/>
      <c r="P21" s="88" t="inlineStr">
        <is>
          <t>Carbon processing</t>
        </is>
      </c>
      <c r="Q21" s="53">
        <f>IF('EASI Score'!$H$49="","",'EASI Score'!$H$49)</f>
        <v/>
      </c>
      <c r="R21" s="89" t="inlineStr"/>
      <c r="S21" s="89" t="inlineStr">
        <is>
          <t>D</t>
        </is>
      </c>
      <c r="T21" s="89" t="inlineStr">
        <is>
          <t>i</t>
        </is>
      </c>
      <c r="V21" s="94" t="inlineStr">
        <is>
          <t>Poor (Non-Functioning)</t>
        </is>
      </c>
      <c r="W21" s="79" t="n"/>
      <c r="X21" s="12" t="n"/>
      <c r="Y21" s="95">
        <f>'Reference'!$C$8</f>
        <v/>
      </c>
      <c r="Z21" s="79" t="n"/>
    </row>
    <row r="22" ht="24" customHeight="1">
      <c r="A22" s="56" t="n"/>
      <c r="B22" s="56" t="n"/>
      <c r="C22" s="12" t="n"/>
      <c r="D22" s="56" t="n"/>
      <c r="E22" s="12" t="n"/>
      <c r="F22" s="41" t="n"/>
      <c r="G22" s="30" t="n"/>
      <c r="H22" s="30" t="n"/>
      <c r="I22" s="63" t="inlineStr">
        <is>
          <t>Override Score (Optional)</t>
        </is>
      </c>
      <c r="J22" s="64" t="n"/>
      <c r="K22" s="65" t="n"/>
      <c r="L22" s="65" t="n"/>
      <c r="M22" s="66" t="inlineStr">
        <is>
          <t>User-defined override</t>
        </is>
      </c>
      <c r="O22" s="93" t="n"/>
      <c r="P22" s="88" t="inlineStr">
        <is>
          <t>Nutrient cycling</t>
        </is>
      </c>
      <c r="Q22" s="53">
        <f>IF('EASI Score'!$H$55="","",'EASI Score'!$H$55)</f>
        <v/>
      </c>
      <c r="R22" s="89" t="inlineStr">
        <is>
          <t>i</t>
        </is>
      </c>
      <c r="S22" s="89" t="inlineStr">
        <is>
          <t>D</t>
        </is>
      </c>
      <c r="T22" s="89" t="inlineStr">
        <is>
          <t>i</t>
        </is>
      </c>
      <c r="V22" s="96" t="inlineStr">
        <is>
          <t>Not rated (blank input)</t>
        </is>
      </c>
      <c r="W22" s="12" t="n"/>
      <c r="X22" s="12" t="n"/>
      <c r="Y22" s="96" t="inlineStr">
        <is>
          <t>excluded from the rollup</t>
        </is>
      </c>
      <c r="Z22" s="12" t="n"/>
    </row>
    <row r="23" ht="31.5" customHeight="1">
      <c r="A23" s="56" t="n"/>
      <c r="B23" s="56" t="n"/>
      <c r="C23" s="12" t="n"/>
      <c r="D23" s="56" t="n"/>
      <c r="E23" s="12" t="n"/>
      <c r="F23" s="68" t="inlineStr">
        <is>
          <t>High flow dynamics</t>
        </is>
      </c>
      <c r="G23" s="22">
        <f>'Metrics'!$C$70</f>
        <v/>
      </c>
      <c r="H23" s="69">
        <f>'Metrics'!$B$71</f>
        <v/>
      </c>
      <c r="I23" s="57" t="inlineStr">
        <is>
          <t>Bank-height ratio (reach median)</t>
        </is>
      </c>
      <c r="J23" s="58" t="n"/>
      <c r="K23" s="59" t="inlineStr">
        <is>
          <t>ratio</t>
        </is>
      </c>
      <c r="L23" s="59">
        <f>'Metrics'!$C$68</f>
        <v/>
      </c>
      <c r="M23" s="60" t="inlineStr">
        <is>
          <t>EASI report cross-section block or a field survey</t>
        </is>
      </c>
      <c r="O23" s="93" t="n"/>
      <c r="P23" s="88" t="inlineStr">
        <is>
          <t>Water &amp; soil quality</t>
        </is>
      </c>
      <c r="Q23" s="53">
        <f>IF('EASI Score'!$H$60="","",'EASI Score'!$H$60)</f>
        <v/>
      </c>
      <c r="R23" s="89" t="inlineStr">
        <is>
          <t>i</t>
        </is>
      </c>
      <c r="S23" s="89" t="inlineStr">
        <is>
          <t>D</t>
        </is>
      </c>
      <c r="T23" s="89" t="inlineStr">
        <is>
          <t>i</t>
        </is>
      </c>
    </row>
    <row r="24" ht="24" customHeight="1">
      <c r="A24" s="56" t="n"/>
      <c r="B24" s="56" t="n"/>
      <c r="C24" s="12" t="n"/>
      <c r="D24" s="56" t="n"/>
      <c r="E24" s="12" t="n"/>
      <c r="F24" s="41" t="n"/>
      <c r="G24" s="30" t="n"/>
      <c r="H24" s="30" t="n"/>
      <c r="I24" s="63" t="inlineStr">
        <is>
          <t>Override Score (Optional)</t>
        </is>
      </c>
      <c r="J24" s="64" t="n"/>
      <c r="K24" s="65" t="n"/>
      <c r="L24" s="65" t="n"/>
      <c r="M24" s="66" t="inlineStr">
        <is>
          <t>User-defined override</t>
        </is>
      </c>
      <c r="O24" s="97" t="inlineStr">
        <is>
          <t>Biology</t>
        </is>
      </c>
      <c r="P24" s="98" t="inlineStr">
        <is>
          <t>Habitat provision</t>
        </is>
      </c>
      <c r="Q24" s="53">
        <f>IF('EASI Score'!$H$64="","",'EASI Score'!$H$64)</f>
        <v/>
      </c>
      <c r="R24" s="99" t="inlineStr"/>
      <c r="S24" s="99" t="inlineStr"/>
      <c r="T24" s="99" t="inlineStr">
        <is>
          <t>D</t>
        </is>
      </c>
    </row>
    <row r="25" ht="31.5" customHeight="1">
      <c r="A25" s="56" t="n"/>
      <c r="B25" s="56" t="n"/>
      <c r="C25" s="12" t="n"/>
      <c r="D25" s="56" t="n"/>
      <c r="E25" s="12" t="n"/>
      <c r="F25" s="68" t="inlineStr">
        <is>
          <t>Floodplain connectivity</t>
        </is>
      </c>
      <c r="G25" s="22">
        <f>'Metrics'!$C$82</f>
        <v/>
      </c>
      <c r="H25" s="69">
        <f>'Metrics'!$B$83</f>
        <v/>
      </c>
      <c r="I25" s="70" t="inlineStr">
        <is>
          <t>Entrenchment ratio (reach median)</t>
        </is>
      </c>
      <c r="J25" s="20" t="n"/>
      <c r="K25" s="5" t="inlineStr">
        <is>
          <t>ratio</t>
        </is>
      </c>
      <c r="L25" s="5">
        <f>'Metrics'!$C$80</f>
        <v/>
      </c>
      <c r="M25" s="71" t="inlineStr">
        <is>
          <t>EASI report cross-section block or a field survey</t>
        </is>
      </c>
      <c r="O25" s="100" t="n"/>
      <c r="P25" s="98" t="inlineStr">
        <is>
          <t>Population support</t>
        </is>
      </c>
      <c r="Q25" s="53">
        <f>IF('EASI Score'!$H$66="","",'EASI Score'!$H$66)</f>
        <v/>
      </c>
      <c r="R25" s="99" t="inlineStr">
        <is>
          <t>i</t>
        </is>
      </c>
      <c r="S25" s="99" t="inlineStr">
        <is>
          <t>i</t>
        </is>
      </c>
      <c r="T25" s="99" t="inlineStr">
        <is>
          <t>D</t>
        </is>
      </c>
    </row>
    <row r="26" ht="15.75" customHeight="1">
      <c r="A26" s="56" t="n"/>
      <c r="B26" s="56" t="n"/>
      <c r="C26" s="12" t="n"/>
      <c r="D26" s="56" t="n"/>
      <c r="E26" s="12" t="n"/>
      <c r="F26" s="56" t="n"/>
      <c r="G26" s="12" t="n"/>
      <c r="H26" s="12" t="n"/>
      <c r="I26" s="57" t="inlineStr">
        <is>
          <t>Channel slope</t>
        </is>
      </c>
      <c r="J26" s="58" t="n"/>
      <c r="K26" s="59" t="inlineStr">
        <is>
          <t>m/m</t>
        </is>
      </c>
      <c r="L26" s="101" t="n"/>
      <c r="M26" s="60" t="inlineStr">
        <is>
          <t>NHDPlus V2 VAA slope</t>
        </is>
      </c>
      <c r="O26" s="100" t="n"/>
      <c r="P26" s="98" t="inlineStr">
        <is>
          <t>Community dynamics</t>
        </is>
      </c>
      <c r="Q26" s="53">
        <f>IF('EASI Score'!$H$82="","",'EASI Score'!$H$82)</f>
        <v/>
      </c>
      <c r="R26" s="99" t="inlineStr">
        <is>
          <t>i</t>
        </is>
      </c>
      <c r="S26" s="99" t="inlineStr">
        <is>
          <t>i</t>
        </is>
      </c>
      <c r="T26" s="99" t="inlineStr">
        <is>
          <t>D</t>
        </is>
      </c>
    </row>
    <row r="27" ht="24" customHeight="1">
      <c r="A27" s="56" t="n"/>
      <c r="B27" s="56" t="n"/>
      <c r="C27" s="12" t="n"/>
      <c r="D27" s="56" t="n"/>
      <c r="E27" s="12" t="n"/>
      <c r="F27" s="41" t="n"/>
      <c r="G27" s="30" t="n"/>
      <c r="H27" s="30" t="n"/>
      <c r="I27" s="63" t="inlineStr">
        <is>
          <t>Override Score (Optional)</t>
        </is>
      </c>
      <c r="J27" s="64" t="n"/>
      <c r="K27" s="65" t="n"/>
      <c r="L27" s="65" t="n"/>
      <c r="M27" s="66" t="inlineStr">
        <is>
          <t>User-defined override</t>
        </is>
      </c>
      <c r="O27" s="100" t="n"/>
      <c r="P27" s="98" t="inlineStr">
        <is>
          <t>Watershed connectivity</t>
        </is>
      </c>
      <c r="Q27" s="53">
        <f>IF('EASI Score'!$H$84="","",'EASI Score'!$H$84)</f>
        <v/>
      </c>
      <c r="R27" s="99" t="inlineStr">
        <is>
          <t>i</t>
        </is>
      </c>
      <c r="S27" s="99" t="inlineStr"/>
      <c r="T27" s="99" t="inlineStr">
        <is>
          <t>D</t>
        </is>
      </c>
    </row>
    <row r="28" ht="15.75" customHeight="1">
      <c r="A28" s="56" t="n"/>
      <c r="B28" s="56" t="n"/>
      <c r="C28" s="12" t="n"/>
      <c r="D28" s="56" t="n"/>
      <c r="E28" s="12" t="n"/>
      <c r="F28" s="68" t="inlineStr">
        <is>
          <t>Hyporheic connectivity</t>
        </is>
      </c>
      <c r="G28" s="22">
        <f>'Metrics'!$C$95</f>
        <v/>
      </c>
      <c r="H28" s="69">
        <f>'Metrics'!$B$96</f>
        <v/>
      </c>
      <c r="I28" s="70" t="inlineStr">
        <is>
          <t>Channel slope</t>
        </is>
      </c>
      <c r="J28" s="6">
        <f>IF('EASI Score'!$J$26="","",'EASI Score'!$J$26)</f>
        <v/>
      </c>
      <c r="K28" s="5" t="inlineStr">
        <is>
          <t>m/m</t>
        </is>
      </c>
      <c r="L28" s="5">
        <f>'Metrics'!$C$88</f>
        <v/>
      </c>
      <c r="M28" s="71" t="inlineStr">
        <is>
          <t>NHDPlus V2 VAA slope</t>
        </is>
      </c>
      <c r="O28" s="102" t="inlineStr">
        <is>
          <t>Sub-index Scores</t>
        </is>
      </c>
      <c r="P28" s="12" t="n"/>
      <c r="Q28" s="12" t="n"/>
      <c r="R28" s="103">
        <f>IF('Results'!$E$27="","",'Results'!$E$27)</f>
        <v/>
      </c>
      <c r="S28" s="103">
        <f>IF('Results'!$E$28="","",'Results'!$E$28)</f>
        <v/>
      </c>
      <c r="T28" s="103">
        <f>IF('Results'!$E$29="","",'Results'!$E$29)</f>
        <v/>
      </c>
    </row>
    <row r="29" ht="31.5" customHeight="1">
      <c r="A29" s="56" t="n"/>
      <c r="B29" s="56" t="n"/>
      <c r="C29" s="12" t="n"/>
      <c r="D29" s="56" t="n"/>
      <c r="E29" s="12" t="n"/>
      <c r="F29" s="56" t="n"/>
      <c r="G29" s="12" t="n"/>
      <c r="H29" s="12" t="n"/>
      <c r="I29" s="57" t="inlineStr">
        <is>
          <t>Reach sinuosity</t>
        </is>
      </c>
      <c r="J29" s="58" t="n"/>
      <c r="K29" s="59" t="inlineStr">
        <is>
          <t>ratio</t>
        </is>
      </c>
      <c r="L29" s="59">
        <f>'Metrics'!$C$89</f>
        <v/>
      </c>
      <c r="M29" s="60" t="inlineStr">
        <is>
          <t>Reach geometry (channel length over straight-line length)</t>
        </is>
      </c>
      <c r="O29" s="102" t="inlineStr">
        <is>
          <t>EASI Index</t>
        </is>
      </c>
      <c r="P29" s="12" t="n"/>
      <c r="Q29" s="12" t="n"/>
      <c r="R29" s="104">
        <f>IF('Results'!$E$30="","",'Results'!$E$30)</f>
        <v/>
      </c>
      <c r="S29" s="12" t="n"/>
      <c r="T29" s="12" t="n"/>
    </row>
    <row r="30" ht="24" customHeight="1">
      <c r="A30" s="56" t="n"/>
      <c r="B30" s="56" t="n"/>
      <c r="C30" s="12" t="n"/>
      <c r="D30" s="41" t="n"/>
      <c r="E30" s="30" t="n"/>
      <c r="F30" s="41" t="n"/>
      <c r="G30" s="30" t="n"/>
      <c r="H30" s="30" t="n"/>
      <c r="I30" s="63" t="inlineStr">
        <is>
          <t>Override Score (Optional)</t>
        </is>
      </c>
      <c r="J30" s="64" t="n"/>
      <c r="K30" s="65" t="n"/>
      <c r="L30" s="65" t="n"/>
      <c r="M30" s="66" t="inlineStr">
        <is>
          <t>User-defined override</t>
        </is>
      </c>
      <c r="O30" s="102" t="inlineStr">
        <is>
          <t>Functions rated</t>
        </is>
      </c>
      <c r="P30" s="12" t="n"/>
      <c r="Q30" s="12" t="n"/>
      <c r="R30" s="105">
        <f>'Results'!$B$33</f>
        <v/>
      </c>
      <c r="S30" s="12" t="n"/>
      <c r="T30" s="12" t="n"/>
    </row>
    <row r="31" ht="31.5" customHeight="1">
      <c r="A31" s="56" t="n"/>
      <c r="B31" s="56" t="n"/>
      <c r="C31" s="12" t="n"/>
      <c r="D31" s="68" t="inlineStr">
        <is>
          <t>Geomorphology</t>
        </is>
      </c>
      <c r="E31" s="92">
        <f>COUNT('EASI Score'!$H$31:$H$45)</f>
        <v/>
      </c>
      <c r="F31" s="68" t="inlineStr">
        <is>
          <t>Channel evolution</t>
        </is>
      </c>
      <c r="G31" s="22">
        <f>'Metrics'!$C$109</f>
        <v/>
      </c>
      <c r="H31" s="69">
        <f>'Metrics'!$B$110</f>
        <v/>
      </c>
      <c r="I31" s="70" t="inlineStr">
        <is>
          <t>Bank-height ratio (reach median)</t>
        </is>
      </c>
      <c r="J31" s="6">
        <f>IF('EASI Score'!$J$23="","",'EASI Score'!$J$23)</f>
        <v/>
      </c>
      <c r="K31" s="5" t="inlineStr">
        <is>
          <t>ratio</t>
        </is>
      </c>
      <c r="L31" s="5">
        <f>'Metrics'!$C$101</f>
        <v/>
      </c>
      <c r="M31" s="71" t="inlineStr">
        <is>
          <t>EASI report cross-section block or a field survey</t>
        </is>
      </c>
      <c r="O31" s="102" t="inlineStr">
        <is>
          <t>Coverage</t>
        </is>
      </c>
      <c r="P31" s="12" t="n"/>
      <c r="Q31" s="12" t="n"/>
      <c r="R31" s="5">
        <f>'Results'!$B$37</f>
        <v/>
      </c>
      <c r="S31" s="12" t="n"/>
      <c r="T31" s="12" t="n"/>
    </row>
    <row r="32" ht="31.5" customHeight="1">
      <c r="A32" s="56" t="n"/>
      <c r="B32" s="56" t="n"/>
      <c r="C32" s="12" t="n"/>
      <c r="D32" s="56" t="n"/>
      <c r="E32" s="12" t="n"/>
      <c r="F32" s="56" t="n"/>
      <c r="G32" s="12" t="n"/>
      <c r="H32" s="12" t="n"/>
      <c r="I32" s="70" t="inlineStr">
        <is>
          <t>Entrenchment ratio (reach median)</t>
        </is>
      </c>
      <c r="J32" s="6">
        <f>IF('EASI Score'!$J$25="","",'EASI Score'!$J$25)</f>
        <v/>
      </c>
      <c r="K32" s="5" t="inlineStr">
        <is>
          <t>ratio</t>
        </is>
      </c>
      <c r="L32" s="5">
        <f>'Metrics'!$C$104</f>
        <v/>
      </c>
      <c r="M32" s="71" t="inlineStr">
        <is>
          <t>EASI report cross-section block or a field survey</t>
        </is>
      </c>
      <c r="O32" s="102" t="inlineStr">
        <is>
          <t>Provisional result</t>
        </is>
      </c>
      <c r="P32" s="12" t="n"/>
      <c r="Q32" s="12" t="n"/>
      <c r="R32" s="5">
        <f>IF('Results'!$B$36="yes","yes (coverage below 0.70)","no")</f>
        <v/>
      </c>
      <c r="S32" s="12" t="n"/>
      <c r="T32" s="12" t="n"/>
    </row>
    <row r="33" ht="15.75" customHeight="1">
      <c r="A33" s="56" t="n"/>
      <c r="B33" s="56" t="n"/>
      <c r="C33" s="12" t="n"/>
      <c r="D33" s="56" t="n"/>
      <c r="E33" s="12" t="n"/>
      <c r="F33" s="56" t="n"/>
      <c r="G33" s="12" t="n"/>
      <c r="H33" s="12" t="n"/>
      <c r="I33" s="70" t="inlineStr">
        <is>
          <t>Observed channel-evolution class (optional)</t>
        </is>
      </c>
      <c r="J33" s="20" t="n"/>
      <c r="K33" s="12" t="n"/>
      <c r="L33" s="12" t="n"/>
      <c r="M33" s="71" t="inlineStr">
        <is>
          <t>Field assessment or verified imagery</t>
        </is>
      </c>
    </row>
    <row r="34" ht="31.5" customHeight="1">
      <c r="A34" s="56" t="n"/>
      <c r="B34" s="56" t="n"/>
      <c r="C34" s="12" t="n"/>
      <c r="D34" s="56" t="n"/>
      <c r="E34" s="12" t="n"/>
      <c r="F34" s="56" t="n"/>
      <c r="G34" s="12" t="n"/>
      <c r="H34" s="12" t="n"/>
      <c r="I34" s="57" t="inlineStr">
        <is>
          <t>Observed channel-evolution indicators (note) (optional)</t>
        </is>
      </c>
      <c r="J34" s="58" t="n"/>
      <c r="K34" s="101" t="n"/>
      <c r="L34" s="101" t="n"/>
      <c r="M34" s="60" t="inlineStr">
        <is>
          <t>Field assessment or verified imagery</t>
        </is>
      </c>
    </row>
    <row r="35" ht="24" customHeight="1">
      <c r="A35" s="56" t="n"/>
      <c r="B35" s="56" t="n"/>
      <c r="C35" s="12" t="n"/>
      <c r="D35" s="56" t="n"/>
      <c r="E35" s="12" t="n"/>
      <c r="F35" s="41" t="n"/>
      <c r="G35" s="30" t="n"/>
      <c r="H35" s="30" t="n"/>
      <c r="I35" s="63" t="inlineStr">
        <is>
          <t>Override Score (Optional)</t>
        </is>
      </c>
      <c r="J35" s="64" t="n"/>
      <c r="K35" s="65" t="n"/>
      <c r="L35" s="65" t="n"/>
      <c r="M35" s="66" t="inlineStr">
        <is>
          <t>User-defined override</t>
        </is>
      </c>
    </row>
    <row r="36" ht="31.5" customHeight="1">
      <c r="A36" s="56" t="n"/>
      <c r="B36" s="56" t="n"/>
      <c r="C36" s="12" t="n"/>
      <c r="D36" s="56" t="n"/>
      <c r="E36" s="12" t="n"/>
      <c r="F36" s="68" t="inlineStr">
        <is>
          <t>Channel and floodplain dynamics</t>
        </is>
      </c>
      <c r="G36" s="22">
        <f>'Metrics'!$C$121</f>
        <v/>
      </c>
      <c r="H36" s="69">
        <f>'Metrics'!$B$122</f>
        <v/>
      </c>
      <c r="I36" s="70" t="inlineStr">
        <is>
          <t>Bank-height ratio (reach median)</t>
        </is>
      </c>
      <c r="J36" s="6">
        <f>IF('EASI Score'!$J$23="","",'EASI Score'!$J$23)</f>
        <v/>
      </c>
      <c r="K36" s="5" t="inlineStr">
        <is>
          <t>ratio</t>
        </is>
      </c>
      <c r="L36" s="12" t="n"/>
      <c r="M36" s="71" t="inlineStr">
        <is>
          <t>EASI report cross-section block or a field survey</t>
        </is>
      </c>
    </row>
    <row r="37" ht="15.75" customHeight="1">
      <c r="A37" s="56" t="n"/>
      <c r="B37" s="56" t="n"/>
      <c r="C37" s="12" t="n"/>
      <c r="D37" s="56" t="n"/>
      <c r="E37" s="12" t="n"/>
      <c r="F37" s="56" t="n"/>
      <c r="G37" s="12" t="n"/>
      <c r="H37" s="12" t="n"/>
      <c r="I37" s="70" t="inlineStr">
        <is>
          <t>Observed eroding bank (optional)</t>
        </is>
      </c>
      <c r="J37" s="20" t="n"/>
      <c r="K37" s="5" t="inlineStr">
        <is>
          <t>%</t>
        </is>
      </c>
      <c r="L37" s="5">
        <f>'Metrics'!$C$116</f>
        <v/>
      </c>
      <c r="M37" s="71" t="inlineStr">
        <is>
          <t>Field assessment or verified imagery</t>
        </is>
      </c>
    </row>
    <row r="38" ht="15.75" customHeight="1">
      <c r="A38" s="56" t="n"/>
      <c r="B38" s="56" t="n"/>
      <c r="C38" s="12" t="n"/>
      <c r="D38" s="56" t="n"/>
      <c r="E38" s="12" t="n"/>
      <c r="F38" s="56" t="n"/>
      <c r="G38" s="12" t="n"/>
      <c r="H38" s="12" t="n"/>
      <c r="I38" s="57" t="inlineStr">
        <is>
          <t>Observed armored bank (optional)</t>
        </is>
      </c>
      <c r="J38" s="58" t="n"/>
      <c r="K38" s="59" t="inlineStr">
        <is>
          <t>%</t>
        </is>
      </c>
      <c r="L38" s="59">
        <f>'Metrics'!$C$117</f>
        <v/>
      </c>
      <c r="M38" s="60" t="inlineStr">
        <is>
          <t>Field assessment or verified imagery</t>
        </is>
      </c>
    </row>
    <row r="39" ht="24" customHeight="1">
      <c r="A39" s="56" t="n"/>
      <c r="B39" s="56" t="n"/>
      <c r="C39" s="12" t="n"/>
      <c r="D39" s="56" t="n"/>
      <c r="E39" s="12" t="n"/>
      <c r="F39" s="41" t="n"/>
      <c r="G39" s="30" t="n"/>
      <c r="H39" s="30" t="n"/>
      <c r="I39" s="63" t="inlineStr">
        <is>
          <t>Override Score (Optional)</t>
        </is>
      </c>
      <c r="J39" s="64" t="n"/>
      <c r="K39" s="65" t="n"/>
      <c r="L39" s="65" t="n"/>
      <c r="M39" s="66" t="inlineStr">
        <is>
          <t>User-defined override</t>
        </is>
      </c>
    </row>
    <row r="40" ht="31.5" customHeight="1">
      <c r="A40" s="56" t="n"/>
      <c r="B40" s="56" t="n"/>
      <c r="C40" s="12" t="n"/>
      <c r="D40" s="56" t="n"/>
      <c r="E40" s="12" t="n"/>
      <c r="F40" s="68" t="inlineStr">
        <is>
          <t>Sediment continuity</t>
        </is>
      </c>
      <c r="G40" s="22">
        <f>'Metrics'!$C$135</f>
        <v/>
      </c>
      <c r="H40" s="69">
        <f>'Metrics'!$B$136</f>
        <v/>
      </c>
      <c r="I40" s="70" t="inlineStr">
        <is>
          <t>Agricultural cover of the watershed (crop, hay and pasture)</t>
        </is>
      </c>
      <c r="J40" s="6">
        <f>IF('EASI Score'!$J$9="","",'EASI Score'!$J$9)</f>
        <v/>
      </c>
      <c r="K40" s="5" t="inlineStr">
        <is>
          <t>%</t>
        </is>
      </c>
      <c r="L40" s="5">
        <f>'Metrics'!$C$127</f>
        <v/>
      </c>
      <c r="M40" s="71" t="inlineStr">
        <is>
          <t>StreamCat pctcrop2019ws + pcthay2019ws</t>
        </is>
      </c>
    </row>
    <row r="41" ht="15.75" customHeight="1">
      <c r="A41" s="56" t="n"/>
      <c r="B41" s="56" t="n"/>
      <c r="C41" s="12" t="n"/>
      <c r="D41" s="56" t="n"/>
      <c r="E41" s="12" t="n"/>
      <c r="F41" s="56" t="n"/>
      <c r="G41" s="12" t="n"/>
      <c r="H41" s="12" t="n"/>
      <c r="I41" s="70" t="inlineStr">
        <is>
          <t>Soil erodibility (K factor) of the watershed</t>
        </is>
      </c>
      <c r="J41" s="20" t="n"/>
      <c r="K41" s="5" t="inlineStr"/>
      <c r="L41" s="5">
        <f>'Metrics'!$C$128</f>
        <v/>
      </c>
      <c r="M41" s="71" t="inlineStr">
        <is>
          <t>StreamCat kffactws</t>
        </is>
      </c>
    </row>
    <row r="42" ht="15.75" customHeight="1">
      <c r="A42" s="56" t="n"/>
      <c r="B42" s="56" t="n"/>
      <c r="C42" s="12" t="n"/>
      <c r="D42" s="56" t="n"/>
      <c r="E42" s="12" t="n"/>
      <c r="F42" s="56" t="n"/>
      <c r="G42" s="12" t="n"/>
      <c r="H42" s="12" t="n"/>
      <c r="I42" s="57" t="inlineStr">
        <is>
          <t>Road density of the watershed</t>
        </is>
      </c>
      <c r="J42" s="106">
        <f>IF('EASI Score'!$J$15="","",'EASI Score'!$J$15)</f>
        <v/>
      </c>
      <c r="K42" s="59" t="inlineStr">
        <is>
          <t>km/km2</t>
        </is>
      </c>
      <c r="L42" s="59">
        <f>'Metrics'!$C$129</f>
        <v/>
      </c>
      <c r="M42" s="60" t="inlineStr">
        <is>
          <t>StreamCat rddensws</t>
        </is>
      </c>
    </row>
    <row r="43" ht="24" customHeight="1">
      <c r="A43" s="56" t="n"/>
      <c r="B43" s="56" t="n"/>
      <c r="C43" s="12" t="n"/>
      <c r="D43" s="56" t="n"/>
      <c r="E43" s="12" t="n"/>
      <c r="F43" s="41" t="n"/>
      <c r="G43" s="30" t="n"/>
      <c r="H43" s="30" t="n"/>
      <c r="I43" s="63" t="inlineStr">
        <is>
          <t>Override Score (Optional)</t>
        </is>
      </c>
      <c r="J43" s="64" t="n"/>
      <c r="K43" s="65" t="n"/>
      <c r="L43" s="65" t="n"/>
      <c r="M43" s="66" t="inlineStr">
        <is>
          <t>User-defined override</t>
        </is>
      </c>
    </row>
    <row r="44" ht="31.5" customHeight="1">
      <c r="A44" s="56" t="n"/>
      <c r="B44" s="56" t="n"/>
      <c r="C44" s="12" t="n"/>
      <c r="D44" s="56" t="n"/>
      <c r="E44" s="12" t="n"/>
      <c r="F44" s="68" t="inlineStr">
        <is>
          <t>Bed composition and large wood</t>
        </is>
      </c>
      <c r="G44" s="22">
        <f>'Metrics'!$C$145</f>
        <v/>
      </c>
      <c r="H44" s="69">
        <f>'Metrics'!$B$146</f>
        <v/>
      </c>
      <c r="I44" s="57" t="inlineStr">
        <is>
          <t>Agricultural cover of the watershed (crop, hay and pasture)</t>
        </is>
      </c>
      <c r="J44" s="106">
        <f>IF('EASI Score'!$J$9="","",'EASI Score'!$J$9)</f>
        <v/>
      </c>
      <c r="K44" s="59" t="inlineStr">
        <is>
          <t>%</t>
        </is>
      </c>
      <c r="L44" s="59">
        <f>'Metrics'!$C$143</f>
        <v/>
      </c>
      <c r="M44" s="60" t="inlineStr">
        <is>
          <t>StreamCat pctcrop2019ws + pcthay2019ws</t>
        </is>
      </c>
    </row>
    <row r="45" ht="24" customHeight="1">
      <c r="A45" s="41" t="n"/>
      <c r="B45" s="41" t="n"/>
      <c r="C45" s="30" t="n"/>
      <c r="D45" s="41" t="n"/>
      <c r="E45" s="30" t="n"/>
      <c r="F45" s="41" t="n"/>
      <c r="G45" s="30" t="n"/>
      <c r="H45" s="30" t="n"/>
      <c r="I45" s="63" t="inlineStr">
        <is>
          <t>Override Score (Optional)</t>
        </is>
      </c>
      <c r="J45" s="64" t="n"/>
      <c r="K45" s="65" t="n"/>
      <c r="L45" s="65" t="n"/>
      <c r="M45" s="66" t="inlineStr">
        <is>
          <t>User-defined override</t>
        </is>
      </c>
    </row>
    <row r="46" ht="31.5" customHeight="1">
      <c r="A46" s="56" t="n"/>
      <c r="B46" s="107" t="inlineStr">
        <is>
          <t>Chemical</t>
        </is>
      </c>
      <c r="C46" s="104">
        <f>IF('Results'!$E$28="","",'Results'!$E$28)</f>
        <v/>
      </c>
      <c r="D46" s="107" t="inlineStr">
        <is>
          <t>Physicochemistry</t>
        </is>
      </c>
      <c r="E46" s="92">
        <f>COUNT('EASI Score'!$H$46:$H$63)</f>
        <v/>
      </c>
      <c r="F46" s="107" t="inlineStr">
        <is>
          <t>Light &amp; thermal regime</t>
        </is>
      </c>
      <c r="G46" s="22">
        <f>'Metrics'!$C$160</f>
        <v/>
      </c>
      <c r="H46" s="69">
        <f>'Metrics'!$B$161</f>
        <v/>
      </c>
      <c r="I46" s="108" t="inlineStr">
        <is>
          <t>Woody riparian cover in the 100 m corridor</t>
        </is>
      </c>
      <c r="J46" s="20" t="n"/>
      <c r="K46" s="5" t="inlineStr">
        <is>
          <t>%</t>
        </is>
      </c>
      <c r="L46" s="5">
        <f>'Metrics'!$C$153</f>
        <v/>
      </c>
      <c r="M46" s="71" t="inlineStr">
        <is>
          <t>StreamCat forest + shrub + woody wetland at wsrp100</t>
        </is>
      </c>
    </row>
    <row r="47" ht="15.75" customHeight="1">
      <c r="A47" s="56" t="n"/>
      <c r="B47" s="56" t="n"/>
      <c r="C47" s="12" t="n"/>
      <c r="D47" s="56" t="n"/>
      <c r="E47" s="12" t="n"/>
      <c r="F47" s="56" t="n"/>
      <c r="G47" s="12" t="n"/>
      <c r="H47" s="12" t="n"/>
      <c r="I47" s="109" t="inlineStr">
        <is>
          <t>Impervious cover of the watershed</t>
        </is>
      </c>
      <c r="J47" s="106">
        <f>IF('EASI Score'!$J$8="","",'EASI Score'!$J$8)</f>
        <v/>
      </c>
      <c r="K47" s="59" t="inlineStr">
        <is>
          <t>%</t>
        </is>
      </c>
      <c r="L47" s="59">
        <f>'Metrics'!$C$154</f>
        <v/>
      </c>
      <c r="M47" s="60" t="inlineStr">
        <is>
          <t>StreamCat pctimp2019ws</t>
        </is>
      </c>
    </row>
    <row r="48" ht="24" customHeight="1">
      <c r="A48" s="56" t="n"/>
      <c r="B48" s="56" t="n"/>
      <c r="C48" s="12" t="n"/>
      <c r="D48" s="56" t="n"/>
      <c r="E48" s="12" t="n"/>
      <c r="F48" s="41" t="n"/>
      <c r="G48" s="30" t="n"/>
      <c r="H48" s="30" t="n"/>
      <c r="I48" s="63" t="inlineStr">
        <is>
          <t>Override Score (Optional)</t>
        </is>
      </c>
      <c r="J48" s="64" t="n"/>
      <c r="K48" s="65" t="n"/>
      <c r="L48" s="65" t="n"/>
      <c r="M48" s="66" t="inlineStr">
        <is>
          <t>User-defined override</t>
        </is>
      </c>
    </row>
    <row r="49" ht="31.5" customHeight="1">
      <c r="A49" s="56" t="n"/>
      <c r="B49" s="56" t="n"/>
      <c r="C49" s="12" t="n"/>
      <c r="D49" s="56" t="n"/>
      <c r="E49" s="12" t="n"/>
      <c r="F49" s="107" t="inlineStr">
        <is>
          <t>Carbon processing</t>
        </is>
      </c>
      <c r="G49" s="22">
        <f>'Metrics'!$C$176</f>
        <v/>
      </c>
      <c r="H49" s="69">
        <f>'Metrics'!$B$177</f>
        <v/>
      </c>
      <c r="I49" s="108" t="inlineStr">
        <is>
          <t>Forest cover in the 100 m corridor</t>
        </is>
      </c>
      <c r="J49" s="20" t="n"/>
      <c r="K49" s="5" t="inlineStr">
        <is>
          <t>%</t>
        </is>
      </c>
      <c r="L49" s="12" t="n"/>
      <c r="M49" s="71" t="inlineStr">
        <is>
          <t>StreamCat pctconif + pctdecid + pctmxfst at wsrp100</t>
        </is>
      </c>
    </row>
    <row r="50" ht="15.75" customHeight="1">
      <c r="A50" s="56" t="n"/>
      <c r="B50" s="56" t="n"/>
      <c r="C50" s="12" t="n"/>
      <c r="D50" s="56" t="n"/>
      <c r="E50" s="12" t="n"/>
      <c r="F50" s="56" t="n"/>
      <c r="G50" s="12" t="n"/>
      <c r="H50" s="12" t="n"/>
      <c r="I50" s="108" t="inlineStr">
        <is>
          <t>Shrub cover in the 100 m corridor</t>
        </is>
      </c>
      <c r="J50" s="20" t="n"/>
      <c r="K50" s="5" t="inlineStr">
        <is>
          <t>%</t>
        </is>
      </c>
      <c r="L50" s="12" t="n"/>
      <c r="M50" s="71" t="inlineStr">
        <is>
          <t>StreamCat pctshrb2019wsrp100</t>
        </is>
      </c>
    </row>
    <row r="51" ht="15.75" customHeight="1">
      <c r="A51" s="56" t="n"/>
      <c r="B51" s="56" t="n"/>
      <c r="C51" s="12" t="n"/>
      <c r="D51" s="56" t="n"/>
      <c r="E51" s="12" t="n"/>
      <c r="F51" s="56" t="n"/>
      <c r="G51" s="12" t="n"/>
      <c r="H51" s="12" t="n"/>
      <c r="I51" s="108" t="inlineStr">
        <is>
          <t>Grassland cover in the 100 m corridor</t>
        </is>
      </c>
      <c r="J51" s="20" t="n"/>
      <c r="K51" s="5" t="inlineStr">
        <is>
          <t>%</t>
        </is>
      </c>
      <c r="L51" s="12" t="n"/>
      <c r="M51" s="71" t="inlineStr">
        <is>
          <t>StreamCat pctgrs2019wsrp100</t>
        </is>
      </c>
    </row>
    <row r="52" ht="31.5" customHeight="1">
      <c r="A52" s="56" t="n"/>
      <c r="B52" s="56" t="n"/>
      <c r="C52" s="12" t="n"/>
      <c r="D52" s="56" t="n"/>
      <c r="E52" s="12" t="n"/>
      <c r="F52" s="56" t="n"/>
      <c r="G52" s="12" t="n"/>
      <c r="H52" s="12" t="n"/>
      <c r="I52" s="108" t="inlineStr">
        <is>
          <t>Wetland cover in the 100 m corridor (woody and herbaceous)</t>
        </is>
      </c>
      <c r="J52" s="20" t="n"/>
      <c r="K52" s="5" t="inlineStr">
        <is>
          <t>%</t>
        </is>
      </c>
      <c r="L52" s="12" t="n"/>
      <c r="M52" s="71" t="inlineStr">
        <is>
          <t>StreamCat pctwdwet + pcthbwet at wsrp100</t>
        </is>
      </c>
    </row>
    <row r="53" ht="15.75" customHeight="1">
      <c r="A53" s="56" t="n"/>
      <c r="B53" s="56" t="n"/>
      <c r="C53" s="12" t="n"/>
      <c r="D53" s="56" t="n"/>
      <c r="E53" s="12" t="n"/>
      <c r="F53" s="56" t="n"/>
      <c r="G53" s="12" t="n"/>
      <c r="H53" s="12" t="n"/>
      <c r="I53" s="109" t="inlineStr">
        <is>
          <t>Natural corridor cover (sum, capped at 100)</t>
        </is>
      </c>
      <c r="J53" s="76">
        <f>IF('Metrics'!$B$170="","",'Metrics'!$B$170)</f>
        <v/>
      </c>
      <c r="K53" s="59" t="inlineStr">
        <is>
          <t>%</t>
        </is>
      </c>
      <c r="L53" s="59">
        <f>'Metrics'!$C$174</f>
        <v/>
      </c>
      <c r="M53" s="77" t="inlineStr">
        <is>
          <t>Computed from the entries above</t>
        </is>
      </c>
    </row>
    <row r="54" ht="24" customHeight="1">
      <c r="A54" s="56" t="n"/>
      <c r="B54" s="56" t="n"/>
      <c r="C54" s="12" t="n"/>
      <c r="D54" s="56" t="n"/>
      <c r="E54" s="12" t="n"/>
      <c r="F54" s="41" t="n"/>
      <c r="G54" s="30" t="n"/>
      <c r="H54" s="30" t="n"/>
      <c r="I54" s="63" t="inlineStr">
        <is>
          <t>Override Score (Optional)</t>
        </is>
      </c>
      <c r="J54" s="64" t="n"/>
      <c r="K54" s="65" t="n"/>
      <c r="L54" s="65" t="n"/>
      <c r="M54" s="66" t="inlineStr">
        <is>
          <t>User-defined override</t>
        </is>
      </c>
    </row>
    <row r="55" ht="31.5" customHeight="1">
      <c r="A55" s="56" t="n"/>
      <c r="B55" s="56" t="n"/>
      <c r="C55" s="12" t="n"/>
      <c r="D55" s="56" t="n"/>
      <c r="E55" s="12" t="n"/>
      <c r="F55" s="107" t="inlineStr">
        <is>
          <t>Nutrient cycling</t>
        </is>
      </c>
      <c r="G55" s="22">
        <f>'Metrics'!$C$188</f>
        <v/>
      </c>
      <c r="H55" s="69">
        <f>'Metrics'!$B$189</f>
        <v/>
      </c>
      <c r="I55" s="108" t="inlineStr">
        <is>
          <t>Total nitrogen (median of station medians)</t>
        </is>
      </c>
      <c r="J55" s="20" t="n"/>
      <c r="K55" s="5" t="inlineStr">
        <is>
          <t>mg/L</t>
        </is>
      </c>
      <c r="L55" s="5">
        <f>'Metrics'!$C$182</f>
        <v/>
      </c>
      <c r="M55" s="71" t="inlineStr">
        <is>
          <t>WQP total-fraction observations within 5 miles and 10 years</t>
        </is>
      </c>
    </row>
    <row r="56" ht="31.5" customHeight="1">
      <c r="A56" s="56" t="n"/>
      <c r="B56" s="56" t="n"/>
      <c r="C56" s="12" t="n"/>
      <c r="D56" s="56" t="n"/>
      <c r="E56" s="12" t="n"/>
      <c r="F56" s="56" t="n"/>
      <c r="G56" s="12" t="n"/>
      <c r="H56" s="12" t="n"/>
      <c r="I56" s="108" t="inlineStr">
        <is>
          <t>Total phosphorus (median of station medians)</t>
        </is>
      </c>
      <c r="J56" s="20" t="n"/>
      <c r="K56" s="5" t="inlineStr">
        <is>
          <t>mg/L</t>
        </is>
      </c>
      <c r="L56" s="5">
        <f>'Metrics'!$C$183</f>
        <v/>
      </c>
      <c r="M56" s="71" t="inlineStr">
        <is>
          <t>WQP total-fraction observations within 5 miles and 10 years</t>
        </is>
      </c>
    </row>
    <row r="57" ht="15.75" customHeight="1">
      <c r="A57" s="56" t="n"/>
      <c r="B57" s="56" t="n"/>
      <c r="C57" s="12" t="n"/>
      <c r="D57" s="56" t="n"/>
      <c r="E57" s="12" t="n"/>
      <c r="F57" s="56" t="n"/>
      <c r="G57" s="12" t="n"/>
      <c r="H57" s="12" t="n"/>
      <c r="I57" s="108" t="inlineStr">
        <is>
          <t>CHEM integrity index, catchment</t>
        </is>
      </c>
      <c r="J57" s="20" t="n"/>
      <c r="K57" s="5" t="inlineStr">
        <is>
          <t>index</t>
        </is>
      </c>
      <c r="L57" s="12" t="n"/>
      <c r="M57" s="71" t="inlineStr">
        <is>
          <t>StreamCat chemcat</t>
        </is>
      </c>
    </row>
    <row r="58" ht="15.75" customHeight="1">
      <c r="A58" s="56" t="n"/>
      <c r="B58" s="56" t="n"/>
      <c r="C58" s="12" t="n"/>
      <c r="D58" s="56" t="n"/>
      <c r="E58" s="12" t="n"/>
      <c r="F58" s="56" t="n"/>
      <c r="G58" s="12" t="n"/>
      <c r="H58" s="12" t="n"/>
      <c r="I58" s="109" t="inlineStr">
        <is>
          <t>CHEM integrity index, watershed</t>
        </is>
      </c>
      <c r="J58" s="58" t="n"/>
      <c r="K58" s="59" t="inlineStr">
        <is>
          <t>index</t>
        </is>
      </c>
      <c r="L58" s="101" t="n"/>
      <c r="M58" s="60" t="inlineStr">
        <is>
          <t>StreamCat chemws</t>
        </is>
      </c>
    </row>
    <row r="59" ht="24" customHeight="1">
      <c r="A59" s="56" t="n"/>
      <c r="B59" s="56" t="n"/>
      <c r="C59" s="12" t="n"/>
      <c r="D59" s="56" t="n"/>
      <c r="E59" s="12" t="n"/>
      <c r="F59" s="41" t="n"/>
      <c r="G59" s="30" t="n"/>
      <c r="H59" s="30" t="n"/>
      <c r="I59" s="63" t="inlineStr">
        <is>
          <t>Override Score (Optional)</t>
        </is>
      </c>
      <c r="J59" s="64" t="n"/>
      <c r="K59" s="65" t="n"/>
      <c r="L59" s="65" t="n"/>
      <c r="M59" s="66" t="inlineStr">
        <is>
          <t>User-defined override</t>
        </is>
      </c>
    </row>
    <row r="60" ht="31.5" customHeight="1">
      <c r="A60" s="56" t="n"/>
      <c r="B60" s="56" t="n"/>
      <c r="C60" s="12" t="n"/>
      <c r="D60" s="56" t="n"/>
      <c r="E60" s="12" t="n"/>
      <c r="F60" s="107" t="inlineStr">
        <is>
          <t>Water &amp; soil quality</t>
        </is>
      </c>
      <c r="G60" s="22">
        <f>'Metrics'!$C$199</f>
        <v/>
      </c>
      <c r="H60" s="69">
        <f>'Metrics'!$B$200</f>
        <v/>
      </c>
      <c r="I60" s="108" t="inlineStr">
        <is>
          <t>ATTAINS integrated-report category</t>
        </is>
      </c>
      <c r="J60" s="20" t="n"/>
      <c r="K60" s="5" t="inlineStr"/>
      <c r="L60" s="5">
        <f>'Metrics'!$C$194</f>
        <v/>
      </c>
      <c r="M60" s="71" t="inlineStr">
        <is>
          <t>EPA ATTAINS (at the reach or within 2 km)</t>
        </is>
      </c>
    </row>
    <row r="61" ht="15.75" customHeight="1">
      <c r="A61" s="56" t="n"/>
      <c r="B61" s="56" t="n"/>
      <c r="C61" s="12" t="n"/>
      <c r="D61" s="56" t="n"/>
      <c r="E61" s="12" t="n"/>
      <c r="F61" s="56" t="n"/>
      <c r="G61" s="12" t="n"/>
      <c r="H61" s="12" t="n"/>
      <c r="I61" s="108" t="inlineStr">
        <is>
          <t>CHEM integrity index, catchment</t>
        </is>
      </c>
      <c r="J61" s="6">
        <f>IF('EASI Score'!$J$57="","",'EASI Score'!$J$57)</f>
        <v/>
      </c>
      <c r="K61" s="5" t="inlineStr">
        <is>
          <t>index</t>
        </is>
      </c>
      <c r="L61" s="12" t="n"/>
      <c r="M61" s="71" t="inlineStr">
        <is>
          <t>StreamCat chemcat</t>
        </is>
      </c>
    </row>
    <row r="62" ht="15.75" customHeight="1">
      <c r="A62" s="56" t="n"/>
      <c r="B62" s="56" t="n"/>
      <c r="C62" s="12" t="n"/>
      <c r="D62" s="56" t="n"/>
      <c r="E62" s="12" t="n"/>
      <c r="F62" s="56" t="n"/>
      <c r="G62" s="12" t="n"/>
      <c r="H62" s="12" t="n"/>
      <c r="I62" s="109" t="inlineStr">
        <is>
          <t>CHEM integrity index, watershed</t>
        </is>
      </c>
      <c r="J62" s="106">
        <f>IF('EASI Score'!$J$58="","",'EASI Score'!$J$58)</f>
        <v/>
      </c>
      <c r="K62" s="59" t="inlineStr">
        <is>
          <t>index</t>
        </is>
      </c>
      <c r="L62" s="101" t="n"/>
      <c r="M62" s="60" t="inlineStr">
        <is>
          <t>StreamCat chemws</t>
        </is>
      </c>
    </row>
    <row r="63" ht="24" customHeight="1">
      <c r="A63" s="41" t="n"/>
      <c r="B63" s="41" t="n"/>
      <c r="C63" s="30" t="n"/>
      <c r="D63" s="41" t="n"/>
      <c r="E63" s="30" t="n"/>
      <c r="F63" s="41" t="n"/>
      <c r="G63" s="30" t="n"/>
      <c r="H63" s="30" t="n"/>
      <c r="I63" s="63" t="inlineStr">
        <is>
          <t>Override Score (Optional)</t>
        </is>
      </c>
      <c r="J63" s="64" t="n"/>
      <c r="K63" s="65" t="n"/>
      <c r="L63" s="65" t="n"/>
      <c r="M63" s="66" t="inlineStr">
        <is>
          <t>User-defined override</t>
        </is>
      </c>
    </row>
    <row r="64" ht="31.5" customHeight="1">
      <c r="A64" s="56" t="n"/>
      <c r="B64" s="110" t="inlineStr">
        <is>
          <t>Biological</t>
        </is>
      </c>
      <c r="C64" s="104">
        <f>IF('Results'!$E$29="","",'Results'!$E$29)</f>
        <v/>
      </c>
      <c r="D64" s="110" t="inlineStr">
        <is>
          <t>Biology</t>
        </is>
      </c>
      <c r="E64" s="92">
        <f>COUNT('EASI Score'!$H$64:$H$85)</f>
        <v/>
      </c>
      <c r="F64" s="110" t="inlineStr">
        <is>
          <t>Habitat provision</t>
        </is>
      </c>
      <c r="G64" s="22">
        <f>'Metrics'!$C$212</f>
        <v/>
      </c>
      <c r="H64" s="69">
        <f>'Metrics'!$B$213</f>
        <v/>
      </c>
      <c r="I64" s="111" t="inlineStr">
        <is>
          <t>Woody riparian cover in the 100 m corridor</t>
        </is>
      </c>
      <c r="J64" s="106">
        <f>IF('EASI Score'!$J$46="","",'EASI Score'!$J$46)</f>
        <v/>
      </c>
      <c r="K64" s="59" t="inlineStr">
        <is>
          <t>%</t>
        </is>
      </c>
      <c r="L64" s="59">
        <f>'Metrics'!$C$210</f>
        <v/>
      </c>
      <c r="M64" s="60" t="inlineStr">
        <is>
          <t>StreamCat forest + shrub + woody wetland at wsrp100</t>
        </is>
      </c>
    </row>
    <row r="65" ht="24" customHeight="1">
      <c r="A65" s="56" t="n"/>
      <c r="B65" s="56" t="n"/>
      <c r="C65" s="12" t="n"/>
      <c r="D65" s="56" t="n"/>
      <c r="E65" s="12" t="n"/>
      <c r="F65" s="41" t="n"/>
      <c r="G65" s="30" t="n"/>
      <c r="H65" s="30" t="n"/>
      <c r="I65" s="63" t="inlineStr">
        <is>
          <t>Override Score (Optional)</t>
        </is>
      </c>
      <c r="J65" s="64" t="n"/>
      <c r="K65" s="65" t="n"/>
      <c r="L65" s="65" t="n"/>
      <c r="M65" s="66" t="inlineStr">
        <is>
          <t>User-defined override</t>
        </is>
      </c>
    </row>
    <row r="66" ht="31.5" customHeight="1">
      <c r="A66" s="56" t="n"/>
      <c r="B66" s="56" t="n"/>
      <c r="C66" s="12" t="n"/>
      <c r="D66" s="56" t="n"/>
      <c r="E66" s="12" t="n"/>
      <c r="F66" s="110" t="inlineStr">
        <is>
          <t>Population support</t>
        </is>
      </c>
      <c r="G66" s="22">
        <f>'Metrics'!$C$225</f>
        <v/>
      </c>
      <c r="H66" s="69">
        <f>'Metrics'!$B$226</f>
        <v/>
      </c>
      <c r="I66" s="112" t="inlineStr">
        <is>
          <t>Predicted probability of Good benthic condition</t>
        </is>
      </c>
      <c r="J66" s="20" t="n"/>
      <c r="K66" s="5" t="inlineStr">
        <is>
          <t>probability</t>
        </is>
      </c>
      <c r="L66" s="5">
        <f>'Metrics'!$C$218</f>
        <v/>
      </c>
      <c r="M66" s="71" t="inlineStr">
        <is>
          <t>StreamCat prg_bmmi0809</t>
        </is>
      </c>
    </row>
    <row r="67" ht="15.75" customHeight="1">
      <c r="A67" s="56" t="n"/>
      <c r="B67" s="56" t="n"/>
      <c r="C67" s="12" t="n"/>
      <c r="D67" s="56" t="n"/>
      <c r="E67" s="12" t="n"/>
      <c r="F67" s="56" t="n"/>
      <c r="G67" s="12" t="n"/>
      <c r="H67" s="12" t="n"/>
      <c r="I67" s="112" t="inlineStr">
        <is>
          <t>HYD integrity index, catchment</t>
        </is>
      </c>
      <c r="J67" s="20" t="n"/>
      <c r="K67" s="5" t="inlineStr">
        <is>
          <t>index</t>
        </is>
      </c>
      <c r="L67" s="12" t="n"/>
      <c r="M67" s="71" t="inlineStr">
        <is>
          <t>StreamCat hydcat</t>
        </is>
      </c>
    </row>
    <row r="68" ht="15.75" customHeight="1">
      <c r="A68" s="56" t="n"/>
      <c r="B68" s="56" t="n"/>
      <c r="C68" s="12" t="n"/>
      <c r="D68" s="56" t="n"/>
      <c r="E68" s="12" t="n"/>
      <c r="F68" s="56" t="n"/>
      <c r="G68" s="12" t="n"/>
      <c r="H68" s="12" t="n"/>
      <c r="I68" s="112" t="inlineStr">
        <is>
          <t>SED integrity index, catchment</t>
        </is>
      </c>
      <c r="J68" s="20" t="n"/>
      <c r="K68" s="5" t="inlineStr">
        <is>
          <t>index</t>
        </is>
      </c>
      <c r="L68" s="12" t="n"/>
      <c r="M68" s="71" t="inlineStr">
        <is>
          <t>StreamCat sedcat</t>
        </is>
      </c>
    </row>
    <row r="69" ht="15.75" customHeight="1">
      <c r="A69" s="56" t="n"/>
      <c r="B69" s="56" t="n"/>
      <c r="C69" s="12" t="n"/>
      <c r="D69" s="56" t="n"/>
      <c r="E69" s="12" t="n"/>
      <c r="F69" s="56" t="n"/>
      <c r="G69" s="12" t="n"/>
      <c r="H69" s="12" t="n"/>
      <c r="I69" s="112" t="inlineStr">
        <is>
          <t>CONN integrity index, catchment</t>
        </is>
      </c>
      <c r="J69" s="20" t="n"/>
      <c r="K69" s="5" t="inlineStr">
        <is>
          <t>index</t>
        </is>
      </c>
      <c r="L69" s="12" t="n"/>
      <c r="M69" s="71" t="inlineStr">
        <is>
          <t>StreamCat conncat</t>
        </is>
      </c>
    </row>
    <row r="70" ht="15.75" customHeight="1">
      <c r="A70" s="56" t="n"/>
      <c r="B70" s="56" t="n"/>
      <c r="C70" s="12" t="n"/>
      <c r="D70" s="56" t="n"/>
      <c r="E70" s="12" t="n"/>
      <c r="F70" s="56" t="n"/>
      <c r="G70" s="12" t="n"/>
      <c r="H70" s="12" t="n"/>
      <c r="I70" s="112" t="inlineStr">
        <is>
          <t>TEMP integrity index, catchment</t>
        </is>
      </c>
      <c r="J70" s="20" t="n"/>
      <c r="K70" s="5" t="inlineStr">
        <is>
          <t>index</t>
        </is>
      </c>
      <c r="L70" s="12" t="n"/>
      <c r="M70" s="71" t="inlineStr">
        <is>
          <t>StreamCat tempcat</t>
        </is>
      </c>
    </row>
    <row r="71" ht="15.75" customHeight="1">
      <c r="A71" s="56" t="n"/>
      <c r="B71" s="56" t="n"/>
      <c r="C71" s="12" t="n"/>
      <c r="D71" s="56" t="n"/>
      <c r="E71" s="12" t="n"/>
      <c r="F71" s="56" t="n"/>
      <c r="G71" s="12" t="n"/>
      <c r="H71" s="12" t="n"/>
      <c r="I71" s="112" t="inlineStr">
        <is>
          <t>HABT integrity index, catchment</t>
        </is>
      </c>
      <c r="J71" s="20" t="n"/>
      <c r="K71" s="5" t="inlineStr">
        <is>
          <t>index</t>
        </is>
      </c>
      <c r="L71" s="12" t="n"/>
      <c r="M71" s="71" t="inlineStr">
        <is>
          <t>StreamCat habtcat</t>
        </is>
      </c>
    </row>
    <row r="72" ht="15.75" customHeight="1">
      <c r="A72" s="56" t="n"/>
      <c r="B72" s="56" t="n"/>
      <c r="C72" s="12" t="n"/>
      <c r="D72" s="56" t="n"/>
      <c r="E72" s="12" t="n"/>
      <c r="F72" s="56" t="n"/>
      <c r="G72" s="12" t="n"/>
      <c r="H72" s="12" t="n"/>
      <c r="I72" s="112" t="inlineStr">
        <is>
          <t>CHEM integrity index, catchment</t>
        </is>
      </c>
      <c r="J72" s="6">
        <f>IF('EASI Score'!$J$57="","",'EASI Score'!$J$57)</f>
        <v/>
      </c>
      <c r="K72" s="5" t="inlineStr">
        <is>
          <t>index</t>
        </is>
      </c>
      <c r="L72" s="12" t="n"/>
      <c r="M72" s="71" t="inlineStr">
        <is>
          <t>StreamCat chemcat</t>
        </is>
      </c>
    </row>
    <row r="73" ht="15.75" customHeight="1">
      <c r="A73" s="56" t="n"/>
      <c r="B73" s="56" t="n"/>
      <c r="C73" s="12" t="n"/>
      <c r="D73" s="56" t="n"/>
      <c r="E73" s="12" t="n"/>
      <c r="F73" s="56" t="n"/>
      <c r="G73" s="12" t="n"/>
      <c r="H73" s="12" t="n"/>
      <c r="I73" s="112" t="inlineStr">
        <is>
          <t>HYD integrity index, watershed</t>
        </is>
      </c>
      <c r="J73" s="20" t="n"/>
      <c r="K73" s="5" t="inlineStr">
        <is>
          <t>index</t>
        </is>
      </c>
      <c r="L73" s="12" t="n"/>
      <c r="M73" s="71" t="inlineStr">
        <is>
          <t>StreamCat hydws</t>
        </is>
      </c>
    </row>
    <row r="74" ht="15.75" customHeight="1">
      <c r="A74" s="56" t="n"/>
      <c r="B74" s="56" t="n"/>
      <c r="C74" s="12" t="n"/>
      <c r="D74" s="56" t="n"/>
      <c r="E74" s="12" t="n"/>
      <c r="F74" s="56" t="n"/>
      <c r="G74" s="12" t="n"/>
      <c r="H74" s="12" t="n"/>
      <c r="I74" s="112" t="inlineStr">
        <is>
          <t>SED integrity index, watershed</t>
        </is>
      </c>
      <c r="J74" s="20" t="n"/>
      <c r="K74" s="5" t="inlineStr">
        <is>
          <t>index</t>
        </is>
      </c>
      <c r="L74" s="12" t="n"/>
      <c r="M74" s="71" t="inlineStr">
        <is>
          <t>StreamCat sedws</t>
        </is>
      </c>
    </row>
    <row r="75" ht="15.75" customHeight="1">
      <c r="A75" s="56" t="n"/>
      <c r="B75" s="56" t="n"/>
      <c r="C75" s="12" t="n"/>
      <c r="D75" s="56" t="n"/>
      <c r="E75" s="12" t="n"/>
      <c r="F75" s="56" t="n"/>
      <c r="G75" s="12" t="n"/>
      <c r="H75" s="12" t="n"/>
      <c r="I75" s="112" t="inlineStr">
        <is>
          <t>CONN integrity index, watershed</t>
        </is>
      </c>
      <c r="J75" s="20" t="n"/>
      <c r="K75" s="5" t="inlineStr">
        <is>
          <t>index</t>
        </is>
      </c>
      <c r="L75" s="12" t="n"/>
      <c r="M75" s="71" t="inlineStr">
        <is>
          <t>StreamCat connws</t>
        </is>
      </c>
    </row>
    <row r="76" ht="15.75" customHeight="1">
      <c r="A76" s="56" t="n"/>
      <c r="B76" s="56" t="n"/>
      <c r="C76" s="12" t="n"/>
      <c r="D76" s="56" t="n"/>
      <c r="E76" s="12" t="n"/>
      <c r="F76" s="56" t="n"/>
      <c r="G76" s="12" t="n"/>
      <c r="H76" s="12" t="n"/>
      <c r="I76" s="112" t="inlineStr">
        <is>
          <t>TEMP integrity index, watershed</t>
        </is>
      </c>
      <c r="J76" s="20" t="n"/>
      <c r="K76" s="5" t="inlineStr">
        <is>
          <t>index</t>
        </is>
      </c>
      <c r="L76" s="12" t="n"/>
      <c r="M76" s="71" t="inlineStr">
        <is>
          <t>StreamCat tempws</t>
        </is>
      </c>
    </row>
    <row r="77" ht="15.75" customHeight="1">
      <c r="A77" s="56" t="n"/>
      <c r="B77" s="56" t="n"/>
      <c r="C77" s="12" t="n"/>
      <c r="D77" s="56" t="n"/>
      <c r="E77" s="12" t="n"/>
      <c r="F77" s="56" t="n"/>
      <c r="G77" s="12" t="n"/>
      <c r="H77" s="12" t="n"/>
      <c r="I77" s="112" t="inlineStr">
        <is>
          <t>HABT integrity index, watershed</t>
        </is>
      </c>
      <c r="J77" s="20" t="n"/>
      <c r="K77" s="5" t="inlineStr">
        <is>
          <t>index</t>
        </is>
      </c>
      <c r="L77" s="12" t="n"/>
      <c r="M77" s="71" t="inlineStr">
        <is>
          <t>StreamCat habtws</t>
        </is>
      </c>
    </row>
    <row r="78" ht="15.75" customHeight="1">
      <c r="A78" s="56" t="n"/>
      <c r="B78" s="56" t="n"/>
      <c r="C78" s="12" t="n"/>
      <c r="D78" s="56" t="n"/>
      <c r="E78" s="12" t="n"/>
      <c r="F78" s="56" t="n"/>
      <c r="G78" s="12" t="n"/>
      <c r="H78" s="12" t="n"/>
      <c r="I78" s="112" t="inlineStr">
        <is>
          <t>CHEM integrity index, watershed</t>
        </is>
      </c>
      <c r="J78" s="6">
        <f>IF('EASI Score'!$J$58="","",'EASI Score'!$J$58)</f>
        <v/>
      </c>
      <c r="K78" s="5" t="inlineStr">
        <is>
          <t>index</t>
        </is>
      </c>
      <c r="L78" s="12" t="n"/>
      <c r="M78" s="71" t="inlineStr">
        <is>
          <t>StreamCat chemws</t>
        </is>
      </c>
    </row>
    <row r="79" ht="15.75" customHeight="1">
      <c r="A79" s="56" t="n"/>
      <c r="B79" s="56" t="n"/>
      <c r="C79" s="12" t="n"/>
      <c r="D79" s="56" t="n"/>
      <c r="E79" s="12" t="n"/>
      <c r="F79" s="56" t="n"/>
      <c r="G79" s="12" t="n"/>
      <c r="H79" s="12" t="n"/>
      <c r="I79" s="112" t="inlineStr">
        <is>
          <t>ICI (product of the six catchment indices)</t>
        </is>
      </c>
      <c r="J79" s="113">
        <f>IF('Metrics'!$B$219="","",'Metrics'!$B$219)</f>
        <v/>
      </c>
      <c r="K79" s="5" t="inlineStr">
        <is>
          <t>index</t>
        </is>
      </c>
      <c r="L79" s="12" t="n"/>
      <c r="M79" s="114" t="inlineStr">
        <is>
          <t>Computed from the entries above</t>
        </is>
      </c>
    </row>
    <row r="80" ht="15.75" customHeight="1">
      <c r="A80" s="56" t="n"/>
      <c r="B80" s="56" t="n"/>
      <c r="C80" s="12" t="n"/>
      <c r="D80" s="56" t="n"/>
      <c r="E80" s="12" t="n"/>
      <c r="F80" s="56" t="n"/>
      <c r="G80" s="12" t="n"/>
      <c r="H80" s="12" t="n"/>
      <c r="I80" s="111" t="inlineStr">
        <is>
          <t>IWI (product of the six watershed indices)</t>
        </is>
      </c>
      <c r="J80" s="115">
        <f>IF('Metrics'!$B$220="","",'Metrics'!$B$220)</f>
        <v/>
      </c>
      <c r="K80" s="59" t="inlineStr">
        <is>
          <t>index</t>
        </is>
      </c>
      <c r="L80" s="101" t="n"/>
      <c r="M80" s="77" t="inlineStr">
        <is>
          <t>Computed from the entries above</t>
        </is>
      </c>
    </row>
    <row r="81" ht="24" customHeight="1">
      <c r="A81" s="56" t="n"/>
      <c r="B81" s="56" t="n"/>
      <c r="C81" s="12" t="n"/>
      <c r="D81" s="56" t="n"/>
      <c r="E81" s="12" t="n"/>
      <c r="F81" s="41" t="n"/>
      <c r="G81" s="30" t="n"/>
      <c r="H81" s="30" t="n"/>
      <c r="I81" s="63" t="inlineStr">
        <is>
          <t>Override Score (Optional)</t>
        </is>
      </c>
      <c r="J81" s="64" t="n"/>
      <c r="K81" s="65" t="n"/>
      <c r="L81" s="65" t="n"/>
      <c r="M81" s="66" t="inlineStr">
        <is>
          <t>User-defined override</t>
        </is>
      </c>
    </row>
    <row r="82" ht="31.5" customHeight="1">
      <c r="A82" s="56" t="n"/>
      <c r="B82" s="56" t="n"/>
      <c r="C82" s="12" t="n"/>
      <c r="D82" s="56" t="n"/>
      <c r="E82" s="12" t="n"/>
      <c r="F82" s="110" t="inlineStr">
        <is>
          <t>Community dynamics</t>
        </is>
      </c>
      <c r="G82" s="22">
        <f>'Metrics'!$C$235</f>
        <v/>
      </c>
      <c r="H82" s="69">
        <f>'Metrics'!$B$236</f>
        <v/>
      </c>
      <c r="I82" s="111" t="inlineStr">
        <is>
          <t>Established non-native taxa recorded in the HUC12</t>
        </is>
      </c>
      <c r="J82" s="58" t="n"/>
      <c r="K82" s="59" t="inlineStr">
        <is>
          <t>count</t>
        </is>
      </c>
      <c r="L82" s="59">
        <f>'Metrics'!$C$233</f>
        <v/>
      </c>
      <c r="M82" s="60" t="inlineStr">
        <is>
          <t>USGS NAS</t>
        </is>
      </c>
    </row>
    <row r="83" ht="24" customHeight="1">
      <c r="A83" s="56" t="n"/>
      <c r="B83" s="56" t="n"/>
      <c r="C83" s="12" t="n"/>
      <c r="D83" s="56" t="n"/>
      <c r="E83" s="12" t="n"/>
      <c r="F83" s="41" t="n"/>
      <c r="G83" s="30" t="n"/>
      <c r="H83" s="30" t="n"/>
      <c r="I83" s="63" t="inlineStr">
        <is>
          <t>Override Score (Optional)</t>
        </is>
      </c>
      <c r="J83" s="64" t="n"/>
      <c r="K83" s="65" t="n"/>
      <c r="L83" s="65" t="n"/>
      <c r="M83" s="66" t="inlineStr">
        <is>
          <t>User-defined override</t>
        </is>
      </c>
    </row>
    <row r="84" ht="15.75" customHeight="1">
      <c r="A84" s="56" t="n"/>
      <c r="B84" s="56" t="n"/>
      <c r="C84" s="12" t="n"/>
      <c r="D84" s="56" t="n"/>
      <c r="E84" s="12" t="n"/>
      <c r="F84" s="110" t="inlineStr">
        <is>
          <t>Watershed connectivity</t>
        </is>
      </c>
      <c r="G84" s="22">
        <f>'Metrics'!$C$245</f>
        <v/>
      </c>
      <c r="H84" s="69">
        <f>'Metrics'!$B$246</f>
        <v/>
      </c>
      <c r="I84" s="111" t="inlineStr">
        <is>
          <t>Mapped dams within one mile of the site</t>
        </is>
      </c>
      <c r="J84" s="58" t="n"/>
      <c r="K84" s="59" t="inlineStr">
        <is>
          <t>count</t>
        </is>
      </c>
      <c r="L84" s="59">
        <f>'Metrics'!$C$243</f>
        <v/>
      </c>
      <c r="M84" s="60" t="inlineStr">
        <is>
          <t>USACE NID</t>
        </is>
      </c>
    </row>
    <row r="85" ht="24" customHeight="1">
      <c r="A85" s="41" t="n"/>
      <c r="B85" s="41" t="n"/>
      <c r="C85" s="30" t="n"/>
      <c r="D85" s="41" t="n"/>
      <c r="E85" s="30" t="n"/>
      <c r="F85" s="41" t="n"/>
      <c r="G85" s="30" t="n"/>
      <c r="H85" s="30" t="n"/>
      <c r="I85" s="63" t="inlineStr">
        <is>
          <t>Override Score (Optional)</t>
        </is>
      </c>
      <c r="J85" s="64" t="n"/>
      <c r="K85" s="65" t="n"/>
      <c r="L85" s="65" t="n"/>
      <c r="M85" s="66" t="inlineStr">
        <is>
          <t>User-defined override</t>
        </is>
      </c>
    </row>
    <row r="87">
      <c r="A87" s="116" t="inlineStr">
        <is>
          <t>Monthly flow helper (optional): the twelve EROM mean monthly flows in cfs, QE_01 to QE_12. Copy the computed variability into the Low flow row above.</t>
        </is>
      </c>
    </row>
    <row r="88">
      <c r="A88" s="117" t="inlineStr">
        <is>
          <t>Month</t>
        </is>
      </c>
      <c r="B88" s="118" t="inlineStr">
        <is>
          <t>QE_01</t>
        </is>
      </c>
      <c r="C88" s="118" t="inlineStr">
        <is>
          <t>QE_02</t>
        </is>
      </c>
      <c r="D88" s="118" t="inlineStr">
        <is>
          <t>QE_03</t>
        </is>
      </c>
      <c r="E88" s="118" t="inlineStr">
        <is>
          <t>QE_04</t>
        </is>
      </c>
      <c r="F88" s="118" t="inlineStr">
        <is>
          <t>QE_05</t>
        </is>
      </c>
      <c r="G88" s="118" t="inlineStr">
        <is>
          <t>QE_06</t>
        </is>
      </c>
      <c r="H88" s="118" t="inlineStr">
        <is>
          <t>QE_07</t>
        </is>
      </c>
      <c r="I88" s="118" t="inlineStr">
        <is>
          <t>QE_08</t>
        </is>
      </c>
      <c r="J88" s="118" t="inlineStr">
        <is>
          <t>QE_09</t>
        </is>
      </c>
      <c r="K88" s="118" t="inlineStr">
        <is>
          <t>QE_10</t>
        </is>
      </c>
      <c r="L88" s="118" t="inlineStr">
        <is>
          <t>QE_11</t>
        </is>
      </c>
      <c r="M88" s="119" t="inlineStr">
        <is>
          <t>QE_12</t>
        </is>
      </c>
    </row>
    <row r="89">
      <c r="A89" s="120" t="inlineStr">
        <is>
          <t>Flow (cfs)</t>
        </is>
      </c>
      <c r="B89" s="20" t="n"/>
      <c r="C89" s="20" t="n"/>
      <c r="D89" s="20" t="n"/>
      <c r="E89" s="20" t="n"/>
      <c r="F89" s="20" t="n"/>
      <c r="G89" s="20" t="n"/>
      <c r="H89" s="20" t="n"/>
      <c r="I89" s="20" t="n"/>
      <c r="J89" s="20" t="n"/>
      <c r="K89" s="20" t="n"/>
      <c r="L89" s="20" t="n"/>
      <c r="M89" s="121" t="n"/>
    </row>
    <row r="90" ht="30" customHeight="1">
      <c r="A90" s="122" t="inlineStr">
        <is>
          <t>Flow variability (CV)</t>
        </is>
      </c>
      <c r="B90" s="123">
        <f>IF(COUNT('EASI Score'!$B$89:$M$89)&lt;12,"",IF(AVERAGE('EASI Score'!$B$89:$M$89)&lt;=0,"",ROUND(_xlfn.STDEV.P('EASI Score'!$B$89:$M$89)/AVERAGE('EASI Score'!$B$89:$M$89),6)))</f>
        <v/>
      </c>
      <c r="C90" s="124" t="inlineStr">
        <is>
          <t>All twelve flows are required and the mean must be positive. Enter the result in the Monthly flow variability cell of Low flow and baseflow dynamics.</t>
        </is>
      </c>
      <c r="D90" s="30" t="n"/>
      <c r="E90" s="30" t="n"/>
      <c r="F90" s="30" t="n"/>
      <c r="G90" s="30" t="n"/>
      <c r="H90" s="30" t="n"/>
      <c r="I90" s="30" t="n"/>
      <c r="J90" s="30" t="n"/>
      <c r="K90" s="30" t="n"/>
      <c r="L90" s="30" t="n"/>
      <c r="M90" s="31" t="n"/>
    </row>
    <row r="92">
      <c r="A92" s="125" t="inlineStr">
        <is>
          <t>Other Metrics/Notes:</t>
        </is>
      </c>
      <c r="B92" s="126" t="n"/>
      <c r="C92" s="126" t="n"/>
      <c r="D92" s="126" t="n"/>
      <c r="E92" s="126" t="n"/>
      <c r="F92" s="126" t="n"/>
      <c r="G92" s="126" t="n"/>
      <c r="H92" s="126" t="n"/>
      <c r="I92" s="126" t="n"/>
      <c r="J92" s="126" t="n"/>
      <c r="K92" s="126" t="n"/>
      <c r="L92" s="126" t="n"/>
      <c r="M92" s="127" t="n"/>
    </row>
    <row r="93">
      <c r="A93" s="128" t="n"/>
      <c r="B93" s="129" t="n"/>
      <c r="C93" s="129" t="n"/>
      <c r="D93" s="129" t="n"/>
      <c r="E93" s="129" t="n"/>
      <c r="F93" s="129" t="n"/>
      <c r="G93" s="129" t="n"/>
      <c r="H93" s="129" t="n"/>
      <c r="I93" s="129" t="n"/>
      <c r="J93" s="129" t="n"/>
      <c r="K93" s="129" t="n"/>
      <c r="L93" s="129" t="n"/>
      <c r="M93" s="130" t="n"/>
    </row>
    <row r="94">
      <c r="A94" s="128" t="n"/>
      <c r="B94" s="129" t="n"/>
      <c r="C94" s="129" t="n"/>
      <c r="D94" s="129" t="n"/>
      <c r="E94" s="129" t="n"/>
      <c r="F94" s="129" t="n"/>
      <c r="G94" s="129" t="n"/>
      <c r="H94" s="129" t="n"/>
      <c r="I94" s="129" t="n"/>
      <c r="J94" s="129" t="n"/>
      <c r="K94" s="129" t="n"/>
      <c r="L94" s="129" t="n"/>
      <c r="M94" s="130" t="n"/>
    </row>
    <row r="95">
      <c r="A95" s="128" t="n"/>
      <c r="B95" s="129" t="n"/>
      <c r="C95" s="129" t="n"/>
      <c r="D95" s="129" t="n"/>
      <c r="E95" s="129" t="n"/>
      <c r="F95" s="129" t="n"/>
      <c r="G95" s="129" t="n"/>
      <c r="H95" s="129" t="n"/>
      <c r="I95" s="129" t="n"/>
      <c r="J95" s="129" t="n"/>
      <c r="K95" s="129" t="n"/>
      <c r="L95" s="129" t="n"/>
      <c r="M95" s="130" t="n"/>
    </row>
    <row r="96">
      <c r="A96" s="128" t="n"/>
      <c r="B96" s="129" t="n"/>
      <c r="C96" s="129" t="n"/>
      <c r="D96" s="129" t="n"/>
      <c r="E96" s="129" t="n"/>
      <c r="F96" s="129" t="n"/>
      <c r="G96" s="129" t="n"/>
      <c r="H96" s="129" t="n"/>
      <c r="I96" s="129" t="n"/>
      <c r="J96" s="129" t="n"/>
      <c r="K96" s="129" t="n"/>
      <c r="L96" s="129" t="n"/>
      <c r="M96" s="130" t="n"/>
    </row>
    <row r="97">
      <c r="A97" s="128" t="n"/>
      <c r="B97" s="129" t="n"/>
      <c r="C97" s="129" t="n"/>
      <c r="D97" s="129" t="n"/>
      <c r="E97" s="129" t="n"/>
      <c r="F97" s="129" t="n"/>
      <c r="G97" s="129" t="n"/>
      <c r="H97" s="129" t="n"/>
      <c r="I97" s="129" t="n"/>
      <c r="J97" s="129" t="n"/>
      <c r="K97" s="129" t="n"/>
      <c r="L97" s="129" t="n"/>
      <c r="M97" s="130" t="n"/>
    </row>
    <row r="98">
      <c r="A98" s="128" t="n"/>
      <c r="B98" s="129" t="n"/>
      <c r="C98" s="129" t="n"/>
      <c r="D98" s="129" t="n"/>
      <c r="E98" s="129" t="n"/>
      <c r="F98" s="129" t="n"/>
      <c r="G98" s="129" t="n"/>
      <c r="H98" s="129" t="n"/>
      <c r="I98" s="129" t="n"/>
      <c r="J98" s="129" t="n"/>
      <c r="K98" s="129" t="n"/>
      <c r="L98" s="129" t="n"/>
      <c r="M98" s="130" t="n"/>
    </row>
    <row r="99">
      <c r="A99" s="128" t="n"/>
      <c r="B99" s="129" t="n"/>
      <c r="C99" s="129" t="n"/>
      <c r="D99" s="129" t="n"/>
      <c r="E99" s="129" t="n"/>
      <c r="F99" s="129" t="n"/>
      <c r="G99" s="129" t="n"/>
      <c r="H99" s="129" t="n"/>
      <c r="I99" s="129" t="n"/>
      <c r="J99" s="129" t="n"/>
      <c r="K99" s="129" t="n"/>
      <c r="L99" s="129" t="n"/>
      <c r="M99" s="130" t="n"/>
    </row>
    <row r="100">
      <c r="A100" s="128" t="n"/>
      <c r="B100" s="129" t="n"/>
      <c r="C100" s="129" t="n"/>
      <c r="D100" s="129" t="n"/>
      <c r="E100" s="129" t="n"/>
      <c r="F100" s="129" t="n"/>
      <c r="G100" s="129" t="n"/>
      <c r="H100" s="129" t="n"/>
      <c r="I100" s="129" t="n"/>
      <c r="J100" s="129" t="n"/>
      <c r="K100" s="129" t="n"/>
      <c r="L100" s="129" t="n"/>
      <c r="M100" s="130" t="n"/>
    </row>
    <row r="101">
      <c r="A101" s="131" t="n"/>
      <c r="B101" s="132" t="n"/>
      <c r="C101" s="132" t="n"/>
      <c r="D101" s="132" t="n"/>
      <c r="E101" s="132" t="n"/>
      <c r="F101" s="132" t="n"/>
      <c r="G101" s="132" t="n"/>
      <c r="H101" s="132" t="n"/>
      <c r="I101" s="132" t="n"/>
      <c r="J101" s="132" t="n"/>
      <c r="K101" s="132" t="n"/>
      <c r="L101" s="132" t="n"/>
      <c r="M101" s="133" t="n"/>
    </row>
  </sheetData>
  <sheetProtection selectLockedCells="0" selectUnlockedCells="0" sheet="1" objects="0" insertRows="1" insertHyperlinks="1" autoFilter="1" scenarios="0" formatColumns="1" deleteColumns="1" insertColumns="1" pivotTables="1" deleteRows="1" formatCells="1" formatRows="1" sort="1" password="CA09"/>
  <mergeCells count="148">
    <mergeCell ref="F44:F45"/>
    <mergeCell ref="F84:F85"/>
    <mergeCell ref="H82:H83"/>
    <mergeCell ref="O29:Q29"/>
    <mergeCell ref="F5:H5"/>
    <mergeCell ref="F60:F63"/>
    <mergeCell ref="E8:E20"/>
    <mergeCell ref="H66:H81"/>
    <mergeCell ref="G82:G83"/>
    <mergeCell ref="P6:P7"/>
    <mergeCell ref="O31:Q31"/>
    <mergeCell ref="R6:R7"/>
    <mergeCell ref="O24:O27"/>
    <mergeCell ref="V20:W20"/>
    <mergeCell ref="Y21:Z21"/>
    <mergeCell ref="Z9:Z11"/>
    <mergeCell ref="F17:F20"/>
    <mergeCell ref="H17:H20"/>
    <mergeCell ref="H11:H14"/>
    <mergeCell ref="H49:H54"/>
    <mergeCell ref="O16:O19"/>
    <mergeCell ref="B6:B7"/>
    <mergeCell ref="R5:T5"/>
    <mergeCell ref="F64:F65"/>
    <mergeCell ref="K3:M3"/>
    <mergeCell ref="H15:H16"/>
    <mergeCell ref="B46:B63"/>
    <mergeCell ref="D46:D63"/>
    <mergeCell ref="H46:H48"/>
    <mergeCell ref="Y18:Z18"/>
    <mergeCell ref="G44:G45"/>
    <mergeCell ref="G84:G85"/>
    <mergeCell ref="G2:I2"/>
    <mergeCell ref="G60:G63"/>
    <mergeCell ref="I6:I7"/>
    <mergeCell ref="G21:G22"/>
    <mergeCell ref="K6:K7"/>
    <mergeCell ref="G28:G30"/>
    <mergeCell ref="C6:C7"/>
    <mergeCell ref="H23:H24"/>
    <mergeCell ref="G11:G14"/>
    <mergeCell ref="O5:Q5"/>
    <mergeCell ref="G23:G24"/>
    <mergeCell ref="F66:F81"/>
    <mergeCell ref="W12:W14"/>
    <mergeCell ref="C8:C45"/>
    <mergeCell ref="G55:G59"/>
    <mergeCell ref="G36:G39"/>
    <mergeCell ref="E46:E63"/>
    <mergeCell ref="O20:O23"/>
    <mergeCell ref="W9:W11"/>
    <mergeCell ref="H40:H43"/>
    <mergeCell ref="F36:F39"/>
    <mergeCell ref="V19:W19"/>
    <mergeCell ref="G4:I4"/>
    <mergeCell ref="G64:G65"/>
    <mergeCell ref="B3:E3"/>
    <mergeCell ref="G8:G10"/>
    <mergeCell ref="G31:G35"/>
    <mergeCell ref="K4:M4"/>
    <mergeCell ref="C90:M90"/>
    <mergeCell ref="F25:F27"/>
    <mergeCell ref="D64:D85"/>
    <mergeCell ref="H25:H27"/>
    <mergeCell ref="B64:B85"/>
    <mergeCell ref="L6:L7"/>
    <mergeCell ref="F55:F59"/>
    <mergeCell ref="D8:D20"/>
    <mergeCell ref="R29:T29"/>
    <mergeCell ref="G66:G81"/>
    <mergeCell ref="O8:O11"/>
    <mergeCell ref="Z12:Z14"/>
    <mergeCell ref="F49:F54"/>
    <mergeCell ref="R31:T31"/>
    <mergeCell ref="V21:W21"/>
    <mergeCell ref="V17:Z17"/>
    <mergeCell ref="C64:C85"/>
    <mergeCell ref="F40:F43"/>
    <mergeCell ref="E64:E85"/>
    <mergeCell ref="G17:G20"/>
    <mergeCell ref="G3:I3"/>
    <mergeCell ref="A6:A7"/>
    <mergeCell ref="F21:F22"/>
    <mergeCell ref="Y20:Z20"/>
    <mergeCell ref="G6:G7"/>
    <mergeCell ref="G15:G16"/>
    <mergeCell ref="F23:F24"/>
    <mergeCell ref="Q6:Q7"/>
    <mergeCell ref="G46:G48"/>
    <mergeCell ref="S6:S7"/>
    <mergeCell ref="H8:H10"/>
    <mergeCell ref="E31:E45"/>
    <mergeCell ref="Y22:Z22"/>
    <mergeCell ref="H84:H85"/>
    <mergeCell ref="A1:M1"/>
    <mergeCell ref="H60:H63"/>
    <mergeCell ref="D21:D30"/>
    <mergeCell ref="O12:O15"/>
    <mergeCell ref="B2:E2"/>
    <mergeCell ref="I5:M5"/>
    <mergeCell ref="A87:M87"/>
    <mergeCell ref="T6:T7"/>
    <mergeCell ref="B5:C5"/>
    <mergeCell ref="B8:B45"/>
    <mergeCell ref="D5:E5"/>
    <mergeCell ref="H55:H59"/>
    <mergeCell ref="V22:W22"/>
    <mergeCell ref="F11:F14"/>
    <mergeCell ref="D6:D7"/>
    <mergeCell ref="F6:F7"/>
    <mergeCell ref="C46:C63"/>
    <mergeCell ref="G40:G43"/>
    <mergeCell ref="F15:F16"/>
    <mergeCell ref="R30:T30"/>
    <mergeCell ref="H44:H45"/>
    <mergeCell ref="D31:D45"/>
    <mergeCell ref="O32:Q32"/>
    <mergeCell ref="H6:H7"/>
    <mergeCell ref="F46:F48"/>
    <mergeCell ref="F28:F30"/>
    <mergeCell ref="J6:J7"/>
    <mergeCell ref="H64:H65"/>
    <mergeCell ref="H21:H22"/>
    <mergeCell ref="H28:H30"/>
    <mergeCell ref="V5:W5"/>
    <mergeCell ref="F31:F35"/>
    <mergeCell ref="K2:M2"/>
    <mergeCell ref="B4:E4"/>
    <mergeCell ref="E21:E30"/>
    <mergeCell ref="R32:T32"/>
    <mergeCell ref="G25:G27"/>
    <mergeCell ref="A92:M101"/>
    <mergeCell ref="Y5:Z5"/>
    <mergeCell ref="M6:M7"/>
    <mergeCell ref="Z6:Z8"/>
    <mergeCell ref="Y19:Z19"/>
    <mergeCell ref="E6:E7"/>
    <mergeCell ref="H36:H39"/>
    <mergeCell ref="W6:W8"/>
    <mergeCell ref="F82:F83"/>
    <mergeCell ref="G49:G54"/>
    <mergeCell ref="O28:Q28"/>
    <mergeCell ref="H31:H35"/>
    <mergeCell ref="A8:A85"/>
    <mergeCell ref="O30:Q30"/>
    <mergeCell ref="O6:O7"/>
    <mergeCell ref="V18:W18"/>
    <mergeCell ref="F8:F10"/>
  </mergeCells>
  <conditionalFormatting sqref="G8:G85">
    <cfRule type="expression" priority="1" dxfId="0">
      <formula>$G8="Good"</formula>
    </cfRule>
    <cfRule type="expression" priority="2" dxfId="1">
      <formula>$G8="Fair"</formula>
    </cfRule>
    <cfRule type="expression" priority="3" dxfId="2">
      <formula>$G8="Poor"</formula>
    </cfRule>
  </conditionalFormatting>
  <conditionalFormatting sqref="L8:L85">
    <cfRule type="expression" priority="4" dxfId="0">
      <formula>$L8="Good"</formula>
    </cfRule>
    <cfRule type="expression" priority="5" dxfId="1">
      <formula>$L8="Fair"</formula>
    </cfRule>
    <cfRule type="expression" priority="6" dxfId="2">
      <formula>$L8="Poor"</formula>
    </cfRule>
  </conditionalFormatting>
  <conditionalFormatting sqref="H8:H85">
    <cfRule type="expression" priority="7" dxfId="0">
      <formula>AND(ISNUMBER($H8),$H8&gt;10)</formula>
    </cfRule>
    <cfRule type="expression" priority="8" dxfId="1">
      <formula>AND(ISNUMBER($H8),$H8&gt;5,$H8&lt;=10)</formula>
    </cfRule>
    <cfRule type="expression" priority="9" dxfId="2">
      <formula>AND(ISNUMBER($H8),$H8&lt;=5)</formula>
    </cfRule>
  </conditionalFormatting>
  <conditionalFormatting sqref="A8:A85">
    <cfRule type="expression" priority="10" dxfId="0">
      <formula>AND(ISNUMBER($A8),$A8&gt;0.69)</formula>
    </cfRule>
    <cfRule type="expression" priority="11" dxfId="1">
      <formula>AND(ISNUMBER($A8),$A8&gt;0.39,$A8&lt;=0.69)</formula>
    </cfRule>
    <cfRule type="expression" priority="12" dxfId="2">
      <formula>AND(ISNUMBER($A8),$A8&lt;=0.39)</formula>
    </cfRule>
  </conditionalFormatting>
  <conditionalFormatting sqref="C8:C85">
    <cfRule type="expression" priority="13" dxfId="0">
      <formula>AND(ISNUMBER($C8),$C8&gt;0.69)</formula>
    </cfRule>
    <cfRule type="expression" priority="14" dxfId="1">
      <formula>AND(ISNUMBER($C8),$C8&gt;0.39,$C8&lt;=0.69)</formula>
    </cfRule>
    <cfRule type="expression" priority="15" dxfId="2">
      <formula>AND(ISNUMBER($C8),$C8&lt;=0.39)</formula>
    </cfRule>
  </conditionalFormatting>
  <conditionalFormatting sqref="Q8:Q27">
    <cfRule type="expression" priority="16" dxfId="0">
      <formula>AND(ISNUMBER($Q8),$Q8&gt;10)</formula>
    </cfRule>
    <cfRule type="expression" priority="17" dxfId="1">
      <formula>AND(ISNUMBER($Q8),$Q8&gt;5,$Q8&lt;=10)</formula>
    </cfRule>
    <cfRule type="expression" priority="18" dxfId="2">
      <formula>AND(ISNUMBER($Q8),$Q8&lt;=5)</formula>
    </cfRule>
  </conditionalFormatting>
  <conditionalFormatting sqref="R28:T29">
    <cfRule type="expression" priority="19" dxfId="0">
      <formula>AND(ISNUMBER($R28),$R28&gt;0.69)</formula>
    </cfRule>
    <cfRule type="expression" priority="20" dxfId="1">
      <formula>AND(ISNUMBER($R28),$R28&gt;0.39,$R28&lt;=0.69)</formula>
    </cfRule>
    <cfRule type="expression" priority="21" dxfId="2">
      <formula>AND(ISNUMBER($R28),$R28&lt;=0.39)</formula>
    </cfRule>
  </conditionalFormatting>
  <dataValidations count="76">
    <dataValidation sqref="K2" showDropDown="0" showInputMessage="1" showErrorMessage="0" allowBlank="1" promptTitle="COMID" prompt="NHDPlus V2 reach identifier of the assessed reach (from the EASI report)." type="custom">
      <formula1>TRUE</formula1>
    </dataValidation>
    <dataValidation sqref="K3" showDropDown="0" showInputMessage="1" showErrorMessage="1" allowBlank="1" errorTitle="Entry refused" error="Pick one of the nine NARS aggregate ecoregion codes, or leave the cell blank." promptTitle="NARS-9 ecoregion" prompt="Code of the EPA NARS nine-region ecoregion containing the site (CPL, NAP, NPL, SAP, SPL, TPL, UMW, WMT, XER). It selects the regional reference curves and the nutrient thresholds. Leave blank if unknown: the national curves apply and nutrients fall back t" type="list" errorStyle="stop">
      <formula1>"CPL,NAP,NPL,SAP,SPL,TPL,UMW,WMT,XER"</formula1>
    </dataValidation>
    <dataValidation sqref="B4" showDropDown="0" showInputMessage="1" showErrorMessage="1" allowBlank="1" errorTitle="Entry refused" error="Enter the whole-number NHDPlus V2 feature code of the reach, or leave the cell blank." promptTitle="NHD feature code" prompt="From NHDPlus V2. Codes 33600, 33601 and 33603 are canals and ditches, which rate Channel evolution Poor." type="whole" errorStyle="stop" operator="between">
      <formula1>0</formula1>
      <formula2>99999</formula2>
    </dataValidation>
    <dataValidation sqref="G4" showDropDown="0" showInputMessage="1" showErrorMessage="1" allowBlank="1" errorTitle="Entry refused" error="Pick lt_0.5, 0.5_to_2, ge_2 or national, or leave the cell blank." promptTitle="Slope class override" prompt="Normally derived from the channel slope below. Set only to force a class (lt_0.5, 0.5_to_2, ge_2 or national)." type="list" errorStyle="stop">
      <formula1>"lt_0.5,0.5_to_2,ge_2,national"</formula1>
    </dataValidation>
    <dataValidation sqref="J8" showDropDown="0" showInputMessage="1" showErrorMessage="1" allowBlank="1" errorTitle="Entry refused" error="Enter a number from 0 to 100, or leave the cell blank when the evidence is unavailable." promptTitle="Impervious cover of the watershe" prompt="Used by Catchment hydrology and Light and thermal regime." type="decimal" errorStyle="stop" operator="between">
      <formula1>0</formula1>
      <formula2>100</formula2>
    </dataValidation>
    <dataValidation sqref="J9" showDropDown="0" showInputMessage="1" showErrorMessage="1" allowBlank="1" errorTitle="Entry refused" error="Enter a number from 0 to 100, or leave the cell blank when the evidence is unavailable." promptTitle="Agricultural cover of the waters" prompt="The application rounds the sum to two decimals. Used by Catchment hydrology, Sediment continuity and Bed composition." type="decimal" errorStyle="stop" operator="between">
      <formula1>0</formula1>
      <formula2>100</formula2>
    </dataValidation>
    <dataValidation sqref="J10" showDropDown="0" showInputMessage="1" showErrorMessage="1" allowBlank="1" errorTitle="Entry refused" error="Pick Good, Fair or Poor, or leave the cell blank." promptTitle="Override Score (Optional)" prompt="Optional. Pick Good, Fair or Poor to override this function's computed rating and score, as a rating changed on the EASI Assessment page does. Leave blank to keep the computed rating." type="list" errorStyle="stop">
      <formula1>"Good,Fair,Poor"</formula1>
    </dataValidation>
    <dataValidation sqref="J11" showDropDown="0" showInputMessage="0" showErrorMessage="1" allowBlank="1" errorTitle="Entry refused" error="Enter a number from 0 to 100, or leave the cell blank when the evidence is unavailable." type="decimal" errorStyle="stop" operator="between">
      <formula1>0</formula1>
      <formula2>100</formula2>
    </dataValidation>
    <dataValidation sqref="J12" showDropDown="0" showInputMessage="0" showErrorMessage="1" allowBlank="1" errorTitle="Entry refused" error="Enter a number from 0 to 100, or leave the cell blank when the evidence is unavailable." type="decimal" errorStyle="stop" operator="between">
      <formula1>0</formula1>
      <formula2>100</formula2>
    </dataValidation>
    <dataValidation sqref="J14" showDropDown="0" showInputMessage="1" showErrorMessage="1" allowBlank="1" errorTitle="Entry refused" error="Pick Good, Fair or Poor, or leave the cell blank." promptTitle="Override Score (Optional)" prompt="Optional. Pick Good, Fair or Poor to override this function's computed rating and score, as a rating changed on the EASI Assessment page does. Leave blank to keep the computed rating." type="list" errorStyle="stop">
      <formula1>"Good,Fair,Poor"</formula1>
    </dataValidation>
    <dataValidation sqref="J15" showDropDown="0" showInputMessage="1" showErrorMessage="1" allowBlank="1" errorTitle="Entry refused" error="Enter a number from 0 to 1000000.0, or leave the cell blank when the evidence is unavailable." promptTitle="Road density of the watershed" prompt="Used by Reach inflow and Sediment continuity." type="decimal" errorStyle="stop" operator="between">
      <formula1>0</formula1>
      <formula2>1000000.0</formula2>
    </dataValidation>
    <dataValidation sqref="J16" showDropDown="0" showInputMessage="1" showErrorMessage="1" allowBlank="1" errorTitle="Entry refused" error="Pick Good, Fair or Poor, or leave the cell blank." promptTitle="Override Score (Optional)" prompt="Optional. Pick Good, Fair or Poor to override this function's computed rating and score, as a rating changed on the EASI Assessment page does. Leave blank to keep the computed rating." type="list" errorStyle="stop">
      <formula1>"Good,Fair,Poor"</formula1>
    </dataValidation>
    <dataValidation sqref="J17" showDropDown="0" showInputMessage="1" showErrorMessage="1" allowBlank="1" errorTitle="Entry refused" error="Enter a number from 0 to 1000000000000.0, or leave the cell blank when the evidence is unavailable." promptTitle="Normalized dam storage upstream" prompt="A true zero is valid evidence. Leave blank when unknown." type="decimal" errorStyle="stop" operator="between">
      <formula1>0</formula1>
      <formula2>1000000000000.0</formula2>
    </dataValidation>
    <dataValidation sqref="J18" showDropDown="0" showInputMessage="1" showErrorMessage="1" allowBlank="1" errorTitle="Entry refused" error="Enter a number from 0 to 1000000.0, or leave the cell blank when the evidence is unavailable." promptTitle="Mean annual runoff of the waters" prompt="Must be positive for the degree of regulation." type="decimal" errorStyle="stop" operator="between">
      <formula1>0</formula1>
      <formula2>1000000.0</formula2>
    </dataValidation>
    <dataValidation sqref="J20" showDropDown="0" showInputMessage="1" showErrorMessage="1" allowBlank="1" errorTitle="Entry refused" error="Pick Good, Fair or Poor, or leave the cell blank." promptTitle="Override Score (Optional)" prompt="Optional. Pick Good, Fair or Poor to override this function's computed rating and score, as a rating changed on the EASI Assessment page does. Leave blank to keep the computed rating." type="list" errorStyle="stop">
      <formula1>"Good,Fair,Poor"</formula1>
    </dataValidation>
    <dataValidation sqref="J21" showDropDown="0" showInputMessage="1" showErrorMessage="1" allowBlank="1" errorTitle="Entry refused" error="Enter a number from 0 to 1000000.0, or leave the cell blank when the evidence is unavailable." promptTitle="Monthly flow variability (CV of " prompt="Population standard deviation over the mean of the twelve EROM mean monthly flows, rounded to six decimals. Enter the value from the EASI report or compute it in the helper below the table." type="decimal" errorStyle="stop" operator="between">
      <formula1>0</formula1>
      <formula2>1000000.0</formula2>
    </dataValidation>
    <dataValidation sqref="J22" showDropDown="0" showInputMessage="1" showErrorMessage="1" allowBlank="1" errorTitle="Entry refused" error="Pick Good, Fair or Poor, or leave the cell blank." promptTitle="Override Score (Optional)" prompt="Optional. Pick Good, Fair or Poor to override this function's computed rating and score, as a rating changed on the EASI Assessment page does. Leave blank to keep the computed rating." type="list" errorStyle="stop">
      <formula1>"Good,Fair,Poor"</formula1>
    </dataValidation>
    <dataValidation sqref="J23" showDropDown="0" showInputMessage="1" showErrorMessage="1" allowBlank="1" errorTitle="Entry refused" error="Enter a number from 0 to 1000.0, or leave the cell blank when the evidence is unavailable." promptTitle="Bank-height ratio (reach median)" prompt="Used by High flow dynamics, Channel evolution and Channel and floodplain dynamics." type="decimal" errorStyle="stop" operator="between">
      <formula1>0</formula1>
      <formula2>1000.0</formula2>
    </dataValidation>
    <dataValidation sqref="J24" showDropDown="0" showInputMessage="1" showErrorMessage="1" allowBlank="1" errorTitle="Entry refused" error="Pick Good, Fair or Poor, or leave the cell blank." promptTitle="Override Score (Optional)" prompt="Optional. Pick Good, Fair or Poor to override this function's computed rating and score, as a rating changed on the EASI Assessment page does. Leave blank to keep the computed rating." type="list" errorStyle="stop">
      <formula1>"Good,Fair,Poor"</formula1>
    </dataValidation>
    <dataValidation sqref="J25" showDropDown="0" showInputMessage="1" showErrorMessage="1" allowBlank="1" errorTitle="Entry refused" error="Enter a number from 0 to 1000.0, or leave the cell blank when the evidence is unavailable." promptTitle="Entrenchment ratio (reach median" prompt="Used by Floodplain connectivity and Channel evolution." type="decimal" errorStyle="stop" operator="between">
      <formula1>0</formula1>
      <formula2>1000.0</formula2>
    </dataValidation>
    <dataValidation sqref="J26" showDropDown="0" showInputMessage="1" showErrorMessage="1" allowBlank="1" errorTitle="Entry refused" error="Enter a number from 0 to 10, or leave the cell blank when the evidence is unavailable." promptTitle="Channel slope" prompt="Used by Hyporheic connectivity and to pick the entrenchment slope class." type="decimal" errorStyle="stop" operator="between">
      <formula1>0</formula1>
      <formula2>10</formula2>
    </dataValidation>
    <dataValidation sqref="J27" showDropDown="0" showInputMessage="1" showErrorMessage="1" allowBlank="1" errorTitle="Entry refused" error="Pick Good, Fair or Poor, or leave the cell blank." promptTitle="Override Score (Optional)" prompt="Optional. Pick Good, Fair or Poor to override this function's computed rating and score, as a rating changed on the EASI Assessment page does. Leave blank to keep the computed rating." type="list" errorStyle="stop">
      <formula1>"Good,Fair,Poor"</formula1>
    </dataValidation>
    <dataValidation sqref="J29" showDropDown="0" showInputMessage="0" showErrorMessage="1" allowBlank="1" errorTitle="Entry refused" error="Enter a number from 1 to 100, or leave the cell blank when the evidence is unavailable." type="decimal" errorStyle="stop" operator="between">
      <formula1>1</formula1>
      <formula2>100</formula2>
    </dataValidation>
    <dataValidation sqref="J30" showDropDown="0" showInputMessage="1" showErrorMessage="1" allowBlank="1" errorTitle="Entry refused" error="Pick Good, Fair or Poor, or leave the cell blank." promptTitle="Override Score (Optional)" prompt="Optional. Pick Good, Fair or Poor to override this function's computed rating and score, as a rating changed on the EASI Assessment page does. Leave blank to keep the computed rating." type="list" errorStyle="stop">
      <formula1>"Good,Fair,Poor"</formula1>
    </dataValidation>
    <dataValidation sqref="J33" showDropDown="0" showInputMessage="1" showErrorMessage="1" allowBlank="1" errorTitle="Entry refused" error="Pick Good, Fair or Poor, or leave the cell blank." promptTitle="Observed channel-evolution class" prompt="Good: Stable or recovered Stage I/VI condition. Fair: Moderate adjustment or recovery, generally Stages III-V. Poor: Severe incision or destructive adjustment, generally Stage II or severe III-IV. From a field visit or report. Needs the note below." type="list" errorStyle="stop">
      <formula1>"Good,Fair,Poor"</formula1>
    </dataValidation>
    <dataValidation sqref="J34" showDropDown="0" showInputMessage="1" showErrorMessage="0" allowBlank="1" promptTitle="Observed channel-evolution indic" prompt="Required for the observed class to apply. Record what was seen (headcuts, bars, width or depth change, bank erosion, recovery features) with the source and the date." type="custom">
      <formula1>TRUE</formula1>
    </dataValidation>
    <dataValidation sqref="J35" showDropDown="0" showInputMessage="1" showErrorMessage="1" allowBlank="1" errorTitle="Entry refused" error="Pick Good, Fair or Poor, or leave the cell blank." promptTitle="Override Score (Optional)" prompt="Optional. Pick Good, Fair or Poor to override this function's computed rating and score, as a rating changed on the EASI Assessment page does. Complete observed entries above take precedence. Leave blank to keep the computed rating." type="list" errorStyle="stop">
      <formula1>"Good,Fair,Poor"</formula1>
    </dataValidation>
    <dataValidation sqref="J37" showDropDown="0" showInputMessage="1" showErrorMessage="1" allowBlank="1" errorTitle="Entry refused" error="Enter a percentage from 0 to 100, or leave the cell blank." promptTitle="Observed eroding bank" prompt="Percent of bank length eroding, from a field visit or verified imagery. Good &lt;5%, Fair 5-&lt;60%, Poor ≥60%. Both bank entries are required and the worse governs." type="decimal" errorStyle="stop" operator="between">
      <formula1>0</formula1>
      <formula2>100</formula2>
    </dataValidation>
    <dataValidation sqref="J38" showDropDown="0" showInputMessage="1" showErrorMessage="1" allowBlank="1" errorTitle="Entry refused" error="Enter a percentage from 0 to 100, or leave the cell blank." promptTitle="Observed armored bank" prompt="Percent of bank length artificially armored. Good 0%, Fair &gt;0-&lt;50%, Poor ≥50%. Both bank entries are required and the worse governs." type="decimal" errorStyle="stop" operator="between">
      <formula1>0</formula1>
      <formula2>100</formula2>
    </dataValidation>
    <dataValidation sqref="J39" showDropDown="0" showInputMessage="1" showErrorMessage="1" allowBlank="1" errorTitle="Entry refused" error="Pick Good, Fair or Poor, or leave the cell blank." promptTitle="Override Score (Optional)" prompt="Optional. Pick Good, Fair or Poor to override this function's computed rating and score, as a rating changed on the EASI Assessment page does. Complete observed entries above take precedence. Leave blank to keep the computed rating." type="list" errorStyle="stop">
      <formula1>"Good,Fair,Poor"</formula1>
    </dataValidation>
    <dataValidation sqref="J41" showDropDown="0" showInputMessage="0" showErrorMessage="1" allowBlank="1" errorTitle="Entry refused" error="Enter a number from 0 to 1, or leave the cell blank when the evidence is unavailable." type="decimal" errorStyle="stop" operator="between">
      <formula1>0</formula1>
      <formula2>1</formula2>
    </dataValidation>
    <dataValidation sqref="J43" showDropDown="0" showInputMessage="1" showErrorMessage="1" allowBlank="1" errorTitle="Entry refused" error="Pick Good, Fair or Poor, or leave the cell blank." promptTitle="Override Score (Optional)" prompt="Optional. Pick Good, Fair or Poor to override this function's computed rating and score, as a rating changed on the EASI Assessment page does. Leave blank to keep the computed rating." type="list" errorStyle="stop">
      <formula1>"Good,Fair,Poor"</formula1>
    </dataValidation>
    <dataValidation sqref="J45" showDropDown="0" showInputMessage="1" showErrorMessage="1" allowBlank="1" errorTitle="Entry refused" error="Pick Good, Fair or Poor, or leave the cell blank." promptTitle="Override Score (Optional)" prompt="Optional. Pick Good, Fair or Poor to override this function's computed rating and score, as a rating changed on the EASI Assessment page does. Leave blank to keep the computed rating." type="list" errorStyle="stop">
      <formula1>"Good,Fair,Poor"</formula1>
    </dataValidation>
    <dataValidation sqref="J46" showDropDown="0" showInputMessage="1" showErrorMessage="1" allowBlank="1" errorTitle="Entry refused" error="Enter a number from 0 to 100, or leave the cell blank when the evidence is unavailable." promptTitle="Woody riparian cover in the 100 " prompt="Conifer, deciduous and mixed forest, shrub and woody wetland at wsrp100, rounded to one decimal. Used by Light and thermal regime and Habitat provision." type="decimal" errorStyle="stop" operator="between">
      <formula1>0</formula1>
      <formula2>100</formula2>
    </dataValidation>
    <dataValidation sqref="J48" showDropDown="0" showInputMessage="1" showErrorMessage="1" allowBlank="1" errorTitle="Entry refused" error="Pick Good, Fair or Poor, or leave the cell blank." promptTitle="Override Score (Optional)" prompt="Optional. Pick Good, Fair or Poor to override this function's computed rating and score, as a rating changed on the EASI Assessment page does. Leave blank to keep the computed rating." type="list" errorStyle="stop">
      <formula1>"Good,Fair,Poor"</formula1>
    </dataValidation>
    <dataValidation sqref="J49" showDropDown="0" showInputMessage="0" showErrorMessage="1" allowBlank="1" errorTitle="Entry refused" error="Enter a number from 0 to 100, or leave the cell blank when the evidence is unavailable." type="decimal" errorStyle="stop" operator="between">
      <formula1>0</formula1>
      <formula2>100</formula2>
    </dataValidation>
    <dataValidation sqref="J50" showDropDown="0" showInputMessage="0" showErrorMessage="1" allowBlank="1" errorTitle="Entry refused" error="Enter a number from 0 to 100, or leave the cell blank when the evidence is unavailable." type="decimal" errorStyle="stop" operator="between">
      <formula1>0</formula1>
      <formula2>100</formula2>
    </dataValidation>
    <dataValidation sqref="J51" showDropDown="0" showInputMessage="0" showErrorMessage="1" allowBlank="1" errorTitle="Entry refused" error="Enter a number from 0 to 100, or leave the cell blank when the evidence is unavailable." type="decimal" errorStyle="stop" operator="between">
      <formula1>0</formula1>
      <formula2>100</formula2>
    </dataValidation>
    <dataValidation sqref="J52" showDropDown="0" showInputMessage="0" showErrorMessage="1" allowBlank="1" errorTitle="Entry refused" error="Enter a number from 0 to 100, or leave the cell blank when the evidence is unavailable." type="decimal" errorStyle="stop" operator="between">
      <formula1>0</formula1>
      <formula2>100</formula2>
    </dataValidation>
    <dataValidation sqref="J54" showDropDown="0" showInputMessage="1" showErrorMessage="1" allowBlank="1" errorTitle="Entry refused" error="Pick Good, Fair or Poor, or leave the cell blank." promptTitle="Override Score (Optional)" prompt="Optional. Pick Good, Fair or Poor to override this function's computed rating and score, as a rating changed on the EASI Assessment page does. Leave blank to keep the computed rating." type="list" errorStyle="stop">
      <formula1>"Good,Fair,Poor"</formula1>
    </dataValidation>
    <dataValidation sqref="J55" showDropDown="0" showInputMessage="1" showErrorMessage="1" allowBlank="1" errorTitle="Entry refused" error="Enter a number from 0 to 10000.0, or leave the cell blank when the evidence is unavailable." promptTitle="Total nitrogen (median of statio" prompt="Leave blank when there are no qualifying observations." type="decimal" errorStyle="stop" operator="between">
      <formula1>0</formula1>
      <formula2>10000.0</formula2>
    </dataValidation>
    <dataValidation sqref="J56" showDropDown="0" showInputMessage="0" showErrorMessage="1" allowBlank="1" errorTitle="Entry refused" error="Enter a number from 0 to 10000.0, or leave the cell blank when the evidence is unavailable." type="decimal" errorStyle="stop" operator="between">
      <formula1>0</formula1>
      <formula2>10000.0</formula2>
    </dataValidation>
    <dataValidation sqref="J57" showDropDown="0" showInputMessage="1" showErrorMessage="1" allowBlank="1" errorTitle="Entry refused" error="Enter a number from 0 to 1, or leave the cell blank when the evidence is unavailable." promptTitle="CHEM integrity index, catchment" prompt="Fallback for Nutrient cycling and Water and soil quality; a component of the ICI product." type="decimal" errorStyle="stop" operator="between">
      <formula1>0</formula1>
      <formula2>1</formula2>
    </dataValidation>
    <dataValidation sqref="J58" showDropDown="0" showInputMessage="1" showErrorMessage="1" allowBlank="1" errorTitle="Entry refused" error="Enter a number from 0 to 1, or leave the cell blank when the evidence is unavailable." promptTitle="CHEM integrity index, watershed" prompt="Fallback for Nutrient cycling and Water and soil quality; a component of the IWI product." type="decimal" errorStyle="stop" operator="between">
      <formula1>0</formula1>
      <formula2>1</formula2>
    </dataValidation>
    <dataValidation sqref="J59" showDropDown="0" showInputMessage="1" showErrorMessage="1" allowBlank="1" errorTitle="Entry refused" error="Pick Good, Fair or Poor, or leave the cell blank." promptTitle="Override Score (Optional)" prompt="Optional. Pick Good, Fair or Poor to override this function's computed rating and score, as a rating changed on the EASI Assessment page does. Leave blank to keep the computed rating." type="list" errorStyle="stop">
      <formula1>"Good,Fair,Poor"</formula1>
    </dataValidation>
    <dataValidation sqref="J60" showDropDown="0" showInputMessage="1" showErrorMessage="1" allowBlank="1" errorTitle="Entry refused" error="Pick 1, 2, 3, 4A, 4B, 4C or 5, or leave the cell blank." promptTitle="ATTAINS category" prompt="1, 2, 3, 4A, 4B, 4C or 5. Category 3 and a blank fall back to the CHEM index." type="list" errorStyle="stop">
      <formula1>"1,2,3,4A,4B,4C,5"</formula1>
    </dataValidation>
    <dataValidation sqref="J63" showDropDown="0" showInputMessage="1" showErrorMessage="1" allowBlank="1" errorTitle="Entry refused" error="Pick Good, Fair or Poor, or leave the cell blank." promptTitle="Override Score (Optional)" prompt="Optional. Pick Good, Fair or Poor to override this function's computed rating and score, as a rating changed on the EASI Assessment page does. Leave blank to keep the computed rating." type="list" errorStyle="stop">
      <formula1>"Good,Fair,Poor"</formula1>
    </dataValidation>
    <dataValidation sqref="J65" showDropDown="0" showInputMessage="1" showErrorMessage="1" allowBlank="1" errorTitle="Entry refused" error="Pick Good, Fair or Poor, or leave the cell blank." promptTitle="Override Score (Optional)" prompt="Optional. Pick Good, Fair or Poor to override this function's computed rating and score, as a rating changed on the EASI Assessment page does. Leave blank to keep the computed rating." type="list" errorStyle="stop">
      <formula1>"Good,Fair,Poor"</formula1>
    </dataValidation>
    <dataValidation sqref="J66" showDropDown="0" showInputMessage="1" showErrorMessage="1" allowBlank="1" errorTitle="Entry refused" error="Enter a number from 0 to 1, or leave the cell blank when the evidence is unavailable." promptTitle="Predicted probability of Good be" prompt="Population support uses the model probability directly. Leave it blank to fall back to the twelve integrity indices (ICI and IWI products)." type="decimal" errorStyle="stop" operator="between">
      <formula1>0</formula1>
      <formula2>1</formula2>
    </dataValidation>
    <dataValidation sqref="J67" showDropDown="0" showInputMessage="0" showErrorMessage="1" allowBlank="1" errorTitle="Entry refused" error="Enter a number from 0 to 1, or leave the cell blank when the evidence is unavailable." type="decimal" errorStyle="stop" operator="between">
      <formula1>0</formula1>
      <formula2>1</formula2>
    </dataValidation>
    <dataValidation sqref="J68" showDropDown="0" showInputMessage="0" showErrorMessage="1" allowBlank="1" errorTitle="Entry refused" error="Enter a number from 0 to 1, or leave the cell blank when the evidence is unavailable." type="decimal" errorStyle="stop" operator="between">
      <formula1>0</formula1>
      <formula2>1</formula2>
    </dataValidation>
    <dataValidation sqref="J69" showDropDown="0" showInputMessage="0" showErrorMessage="1" allowBlank="1" errorTitle="Entry refused" error="Enter a number from 0 to 1, or leave the cell blank when the evidence is unavailable." type="decimal" errorStyle="stop" operator="between">
      <formula1>0</formula1>
      <formula2>1</formula2>
    </dataValidation>
    <dataValidation sqref="J70" showDropDown="0" showInputMessage="0" showErrorMessage="1" allowBlank="1" errorTitle="Entry refused" error="Enter a number from 0 to 1, or leave the cell blank when the evidence is unavailable." type="decimal" errorStyle="stop" operator="between">
      <formula1>0</formula1>
      <formula2>1</formula2>
    </dataValidation>
    <dataValidation sqref="J71" showDropDown="0" showInputMessage="0" showErrorMessage="1" allowBlank="1" errorTitle="Entry refused" error="Enter a number from 0 to 1, or leave the cell blank when the evidence is unavailable." type="decimal" errorStyle="stop" operator="between">
      <formula1>0</formula1>
      <formula2>1</formula2>
    </dataValidation>
    <dataValidation sqref="J73" showDropDown="0" showInputMessage="0" showErrorMessage="1" allowBlank="1" errorTitle="Entry refused" error="Enter a number from 0 to 1, or leave the cell blank when the evidence is unavailable." type="decimal" errorStyle="stop" operator="between">
      <formula1>0</formula1>
      <formula2>1</formula2>
    </dataValidation>
    <dataValidation sqref="J74" showDropDown="0" showInputMessage="0" showErrorMessage="1" allowBlank="1" errorTitle="Entry refused" error="Enter a number from 0 to 1, or leave the cell blank when the evidence is unavailable." type="decimal" errorStyle="stop" operator="between">
      <formula1>0</formula1>
      <formula2>1</formula2>
    </dataValidation>
    <dataValidation sqref="J75" showDropDown="0" showInputMessage="0" showErrorMessage="1" allowBlank="1" errorTitle="Entry refused" error="Enter a number from 0 to 1, or leave the cell blank when the evidence is unavailable." type="decimal" errorStyle="stop" operator="between">
      <formula1>0</formula1>
      <formula2>1</formula2>
    </dataValidation>
    <dataValidation sqref="J76" showDropDown="0" showInputMessage="0" showErrorMessage="1" allowBlank="1" errorTitle="Entry refused" error="Enter a number from 0 to 1, or leave the cell blank when the evidence is unavailable." type="decimal" errorStyle="stop" operator="between">
      <formula1>0</formula1>
      <formula2>1</formula2>
    </dataValidation>
    <dataValidation sqref="J77" showDropDown="0" showInputMessage="0" showErrorMessage="1" allowBlank="1" errorTitle="Entry refused" error="Enter a number from 0 to 1, or leave the cell blank when the evidence is unavailable." type="decimal" errorStyle="stop" operator="between">
      <formula1>0</formula1>
      <formula2>1</formula2>
    </dataValidation>
    <dataValidation sqref="J81" showDropDown="0" showInputMessage="1" showErrorMessage="1" allowBlank="1" errorTitle="Entry refused" error="Pick Good, Fair or Poor, or leave the cell blank." promptTitle="Override Score (Optional)" prompt="Optional. Pick Good, Fair or Poor to override this function's computed rating and score, as a rating changed on the EASI Assessment page does. Leave blank to keep the computed rating." type="list" errorStyle="stop">
      <formula1>"Good,Fair,Poor"</formula1>
    </dataValidation>
    <dataValidation sqref="J82" showDropDown="0" showInputMessage="1" showErrorMessage="1" allowBlank="1" errorTitle="Entry refused" error="Enter a whole number from 0 to 100000, or leave the cell blank when the evidence is unavailable." promptTitle="Established non-native taxa reco" prompt="A successful empty query is zero. Leave blank when the query was unavailable." type="whole" errorStyle="stop" operator="between">
      <formula1>0</formula1>
      <formula2>100000</formula2>
    </dataValidation>
    <dataValidation sqref="J83" showDropDown="0" showInputMessage="1" showErrorMessage="1" allowBlank="1" errorTitle="Entry refused" error="Pick Good, Fair or Poor, or leave the cell blank." promptTitle="Override Score (Optional)" prompt="Optional. Pick Good, Fair or Poor to override this function's computed rating and score, as a rating changed on the EASI Assessment page does. Leave blank to keep the computed rating." type="list" errorStyle="stop">
      <formula1>"Good,Fair,Poor"</formula1>
    </dataValidation>
    <dataValidation sqref="J84" showDropDown="0" showInputMessage="0" showErrorMessage="1" allowBlank="1" errorTitle="Entry refused" error="Enter a whole number from 0 to 100000, or leave the cell blank when the evidence is unavailable." type="whole" errorStyle="stop" operator="between">
      <formula1>0</formula1>
      <formula2>100000</formula2>
    </dataValidation>
    <dataValidation sqref="J85" showDropDown="0" showInputMessage="1" showErrorMessage="1" allowBlank="1" errorTitle="Entry refused" error="Pick Good, Fair or Poor, or leave the cell blank." promptTitle="Override Score (Optional)" prompt="Optional. Pick Good, Fair or Poor to override this function's computed rating and score, as a rating changed on the EASI Assessment page does. Leave blank to keep the computed rating." type="list" errorStyle="stop">
      <formula1>"Good,Fair,Poor"</formula1>
    </dataValidation>
    <dataValidation sqref="B89" showDropDown="0" showInputMessage="0" showErrorMessage="1" allowBlank="1" errorTitle="Entry refused" error="Enter the EROM mean monthly flow in cfs, or leave the cell blank." type="decimal" errorStyle="stop" operator="between">
      <formula1>0</formula1>
      <formula2>1000000000.0</formula2>
    </dataValidation>
    <dataValidation sqref="C89" showDropDown="0" showInputMessage="0" showErrorMessage="1" allowBlank="1" errorTitle="Entry refused" error="Enter the EROM mean monthly flow in cfs, or leave the cell blank." type="decimal" errorStyle="stop" operator="between">
      <formula1>0</formula1>
      <formula2>1000000000.0</formula2>
    </dataValidation>
    <dataValidation sqref="D89" showDropDown="0" showInputMessage="0" showErrorMessage="1" allowBlank="1" errorTitle="Entry refused" error="Enter the EROM mean monthly flow in cfs, or leave the cell blank." type="decimal" errorStyle="stop" operator="between">
      <formula1>0</formula1>
      <formula2>1000000000.0</formula2>
    </dataValidation>
    <dataValidation sqref="E89" showDropDown="0" showInputMessage="0" showErrorMessage="1" allowBlank="1" errorTitle="Entry refused" error="Enter the EROM mean monthly flow in cfs, or leave the cell blank." type="decimal" errorStyle="stop" operator="between">
      <formula1>0</formula1>
      <formula2>1000000000.0</formula2>
    </dataValidation>
    <dataValidation sqref="F89" showDropDown="0" showInputMessage="0" showErrorMessage="1" allowBlank="1" errorTitle="Entry refused" error="Enter the EROM mean monthly flow in cfs, or leave the cell blank." type="decimal" errorStyle="stop" operator="between">
      <formula1>0</formula1>
      <formula2>1000000000.0</formula2>
    </dataValidation>
    <dataValidation sqref="G89" showDropDown="0" showInputMessage="0" showErrorMessage="1" allowBlank="1" errorTitle="Entry refused" error="Enter the EROM mean monthly flow in cfs, or leave the cell blank." type="decimal" errorStyle="stop" operator="between">
      <formula1>0</formula1>
      <formula2>1000000000.0</formula2>
    </dataValidation>
    <dataValidation sqref="H89" showDropDown="0" showInputMessage="0" showErrorMessage="1" allowBlank="1" errorTitle="Entry refused" error="Enter the EROM mean monthly flow in cfs, or leave the cell blank." type="decimal" errorStyle="stop" operator="between">
      <formula1>0</formula1>
      <formula2>1000000000.0</formula2>
    </dataValidation>
    <dataValidation sqref="I89" showDropDown="0" showInputMessage="0" showErrorMessage="1" allowBlank="1" errorTitle="Entry refused" error="Enter the EROM mean monthly flow in cfs, or leave the cell blank." type="decimal" errorStyle="stop" operator="between">
      <formula1>0</formula1>
      <formula2>1000000000.0</formula2>
    </dataValidation>
    <dataValidation sqref="J89" showDropDown="0" showInputMessage="0" showErrorMessage="1" allowBlank="1" errorTitle="Entry refused" error="Enter the EROM mean monthly flow in cfs, or leave the cell blank." type="decimal" errorStyle="stop" operator="between">
      <formula1>0</formula1>
      <formula2>1000000000.0</formula2>
    </dataValidation>
    <dataValidation sqref="K89" showDropDown="0" showInputMessage="0" showErrorMessage="1" allowBlank="1" errorTitle="Entry refused" error="Enter the EROM mean monthly flow in cfs, or leave the cell blank." type="decimal" errorStyle="stop" operator="between">
      <formula1>0</formula1>
      <formula2>1000000000.0</formula2>
    </dataValidation>
    <dataValidation sqref="L89" showDropDown="0" showInputMessage="0" showErrorMessage="1" allowBlank="1" errorTitle="Entry refused" error="Enter the EROM mean monthly flow in cfs, or leave the cell blank." type="decimal" errorStyle="stop" operator="between">
      <formula1>0</formula1>
      <formula2>1000000000.0</formula2>
    </dataValidation>
    <dataValidation sqref="M89" showDropDown="0" showInputMessage="0" showErrorMessage="1" allowBlank="1" errorTitle="Entry refused" error="Enter the EROM mean monthly flow in cfs, or leave the cell blank." type="decimal" errorStyle="stop" operator="between">
      <formula1>0</formula1>
      <formula2>1000000000.0</formula2>
    </dataValidation>
  </dataValidations>
  <pageMargins left="0.75" right="0.75" top="1" bottom="1" header="0.5" footer="0.5"/>
  <pageSetup orientation="landscape" fitToHeight="0"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E247"/>
  <sheetViews>
    <sheetView showGridLines="0" tabSelected="0" workbookViewId="0">
      <selection activeCell="A1" sqref="A1"/>
    </sheetView>
  </sheetViews>
  <sheetFormatPr baseColWidth="8" defaultRowHeight="15"/>
  <cols>
    <col width="52" customWidth="1" min="1" max="1"/>
    <col width="18" customWidth="1" min="2" max="2"/>
    <col width="12" customWidth="1" min="3" max="3"/>
    <col width="12" customWidth="1" min="4" max="4"/>
    <col width="70" customWidth="1" min="5" max="5"/>
  </cols>
  <sheetData>
    <row r="1">
      <c r="A1" s="134" t="inlineStr">
        <is>
          <t>EASI calculator: metric scoring</t>
        </is>
      </c>
    </row>
    <row r="2">
      <c r="A2" s="8" t="inlineStr">
        <is>
          <t>Read only. One block per function: the inputs it reads, the route that applied, the rating, the index anchor and the function score. Ratings follow the application's catalog exactly. The entries live on the EASI Score sheet.</t>
        </is>
      </c>
    </row>
    <row r="4">
      <c r="A4" s="135" t="inlineStr">
        <is>
          <t>1. Catchment hydrology</t>
        </is>
      </c>
      <c r="B4" s="8" t="inlineStr">
        <is>
          <t>Catchment hydrology (land-cover pressure) (catchment-land-cover-pressure, worst_index)</t>
        </is>
      </c>
    </row>
    <row r="5">
      <c r="A5" s="136" t="inlineStr">
        <is>
          <t>Item</t>
        </is>
      </c>
      <c r="B5" s="136" t="inlineStr">
        <is>
          <t>Value</t>
        </is>
      </c>
      <c r="C5" s="136" t="inlineStr">
        <is>
          <t>Rating</t>
        </is>
      </c>
      <c r="D5" s="136" t="inlineStr">
        <is>
          <t>Index</t>
        </is>
      </c>
      <c r="E5" s="136" t="inlineStr">
        <is>
          <t>Note</t>
        </is>
      </c>
    </row>
    <row r="6">
      <c r="A6" t="inlineStr">
        <is>
          <t>Watershed impervious cover</t>
        </is>
      </c>
      <c r="B6" s="137">
        <f>IF('EASI Score'!$J$8="","",'EASI Score'!$J$8)</f>
        <v/>
      </c>
      <c r="C6" s="137">
        <f>IF(NOT(ISNUMBER('EASI Score'!$J$8)),"",IF('EASI Score'!$J$8&lt;10,"Good",IF(AND('EASI Score'!$J$8&gt;=10,'EASI Score'!$J$8&lt;=25),"Fair",IF('EASI Score'!$J$8&gt;25,"Poor",""))))</f>
        <v/>
      </c>
      <c r="D6" s="138">
        <f>IF('Metrics'!$C$6="Good",'Reference'!$B$6,IF('Metrics'!$C$6="Fair",'Reference'!$B$7,IF('Metrics'!$C$6="Poor",'Reference'!$B$8,"")))</f>
        <v/>
      </c>
    </row>
    <row r="7">
      <c r="A7" t="inlineStr">
        <is>
          <t>Watershed agricultural cover</t>
        </is>
      </c>
      <c r="B7" s="137">
        <f>IF('EASI Score'!$J$9="","",'EASI Score'!$J$9)</f>
        <v/>
      </c>
      <c r="C7" s="137">
        <f>IF(NOT(ISNUMBER('EASI Score'!$J$9)),"",IF('EASI Score'!$J$9&lt;30,"Good",IF(AND('EASI Score'!$J$9&gt;=30,'EASI Score'!$J$9&lt;=50),"Fair",IF('EASI Score'!$J$9&gt;50,"Poor",""))))</f>
        <v/>
      </c>
      <c r="D7" s="138">
        <f>IF('Metrics'!$C$7="Good",'Reference'!$B$6,IF('Metrics'!$C$7="Fair",'Reference'!$B$7,IF('Metrics'!$C$7="Poor",'Reference'!$B$8,"")))</f>
        <v/>
      </c>
    </row>
    <row r="8">
      <c r="A8" t="inlineStr">
        <is>
          <t>Governing input</t>
        </is>
      </c>
      <c r="B8" s="137">
        <f>IF('Metrics'!$B$9="","",INDEX('Metrics'!$A$6:$A$7,MATCH('Metrics'!$B$9,'Metrics'!$D$6:$D$7,0)))</f>
        <v/>
      </c>
    </row>
    <row r="9">
      <c r="A9" t="inlineStr">
        <is>
          <t>Combined rating index (the more limiting input)</t>
        </is>
      </c>
      <c r="B9" s="138">
        <f>IF(COUNT('Metrics'!$D$6:$D$7)=0,"",MIN('Metrics'!$D$6:$D$7))</f>
        <v/>
      </c>
    </row>
    <row r="10">
      <c r="A10" t="inlineStr">
        <is>
          <t>Route that applied</t>
        </is>
      </c>
      <c r="B10" s="137">
        <f>IF(OR('EASI Score'!$J$10="Good",'EASI Score'!$J$10="Fair",'EASI Score'!$J$10="Poor"),"override score","automatic method")</f>
        <v/>
      </c>
    </row>
    <row r="11">
      <c r="A11" t="inlineStr">
        <is>
          <t>Computed rating (before the override score)</t>
        </is>
      </c>
      <c r="C11" s="137">
        <f>IF(NOT(ISNUMBER('Metrics'!$B$9)),"",IF('Metrics'!$B$9='Reference'!$B$6,"Good",IF('Metrics'!$B$9='Reference'!$B$7,"Fair",IF('Metrics'!$B$9='Reference'!$B$8,"Poor",""))))</f>
        <v/>
      </c>
    </row>
    <row r="12">
      <c r="A12" t="inlineStr">
        <is>
          <t>Override score (optional entry on the EASI Score sheet)</t>
        </is>
      </c>
      <c r="B12" s="137">
        <f>IF('EASI Score'!$J$10="","",'EASI Score'!$J$10)</f>
        <v/>
      </c>
      <c r="E12" s="139" t="inlineStr">
        <is>
          <t>Replaces the computed rating, as a rating changed in the web application does.</t>
        </is>
      </c>
    </row>
    <row r="13">
      <c r="A13" t="inlineStr">
        <is>
          <t>Function rating</t>
        </is>
      </c>
      <c r="C13" s="140">
        <f>IF(OR('EASI Score'!$J$10="Good",'EASI Score'!$J$10="Fair",'EASI Score'!$J$10="Poor"),'EASI Score'!$J$10,'Metrics'!$C$11)</f>
        <v/>
      </c>
      <c r="D13" s="138">
        <f>IF('Metrics'!$C$13="Good",'Reference'!$B$6,IF('Metrics'!$C$13="Fair",'Reference'!$B$7,IF('Metrics'!$C$13="Poor",'Reference'!$B$8,"")))</f>
        <v/>
      </c>
      <c r="E13" s="139" t="inlineStr">
        <is>
          <t>Partial rating allowed when one input is missing.</t>
        </is>
      </c>
    </row>
    <row r="14">
      <c r="A14" t="inlineStr">
        <is>
          <t>Function score (0 to 15)</t>
        </is>
      </c>
      <c r="B14" s="140">
        <f>IF('Metrics'!$C$13="Good",'Reference'!$C$6,IF('Metrics'!$C$13="Fair",'Reference'!$C$7,IF('Metrics'!$C$13="Poor",'Reference'!$C$8,"")))</f>
        <v/>
      </c>
    </row>
    <row r="15">
      <c r="A15" t="inlineStr">
        <is>
          <t>Status</t>
        </is>
      </c>
      <c r="B15" s="137">
        <f>IF(OR('EASI Score'!$J$10="Good",'EASI Score'!$J$10="Fair",'EASI Score'!$J$10="Poor"),"override score",IF(COUNT('Metrics'!$D$6:$D$7)=0,"not rated",IF(COUNT('Metrics'!$D$6:$D$7)&lt;2,"partial","complete")))</f>
        <v/>
      </c>
    </row>
    <row r="17">
      <c r="A17" s="135" t="inlineStr">
        <is>
          <t>2. Surface water storage</t>
        </is>
      </c>
      <c r="B17" s="8" t="inlineStr">
        <is>
          <t>Wetland extent (watershed-wetland-extent, sum_capped)</t>
        </is>
      </c>
    </row>
    <row r="18">
      <c r="A18" s="136" t="inlineStr">
        <is>
          <t>Item</t>
        </is>
      </c>
      <c r="B18" s="136" t="inlineStr">
        <is>
          <t>Value</t>
        </is>
      </c>
      <c r="C18" s="136" t="inlineStr">
        <is>
          <t>Rating</t>
        </is>
      </c>
      <c r="D18" s="136" t="inlineStr">
        <is>
          <t>Index</t>
        </is>
      </c>
      <c r="E18" s="136" t="inlineStr">
        <is>
          <t>Note</t>
        </is>
      </c>
    </row>
    <row r="19">
      <c r="A19" t="inlineStr">
        <is>
          <t>Woody wetland cover</t>
        </is>
      </c>
      <c r="B19" s="137">
        <f>IF('EASI Score'!$J$11="","",'EASI Score'!$J$11)</f>
        <v/>
      </c>
    </row>
    <row r="20">
      <c r="A20" t="inlineStr">
        <is>
          <t>Herbaceous wetland cover</t>
        </is>
      </c>
      <c r="B20" s="137">
        <f>IF('EASI Score'!$J$12="","",'EASI Score'!$J$12)</f>
        <v/>
      </c>
    </row>
    <row r="21">
      <c r="A21" t="inlineStr">
        <is>
          <t>Combined value (sum capped at 100)</t>
        </is>
      </c>
      <c r="B21" s="137">
        <f>IF(AND(ISNUMBER('EASI Score'!$J$11),ISNUMBER('EASI Score'!$J$12)),ROUND(MIN('EASI Score'!$J$11+'EASI Score'!$J$12,100),12),"")</f>
        <v/>
      </c>
    </row>
    <row r="22">
      <c r="A22" t="inlineStr">
        <is>
          <t>Route that applied</t>
        </is>
      </c>
      <c r="B22" s="137">
        <f>IF(OR('EASI Score'!$J$14="Good",'EASI Score'!$J$14="Fair",'EASI Score'!$J$14="Poor"),"override score","automatic method")</f>
        <v/>
      </c>
    </row>
    <row r="23">
      <c r="A23" t="inlineStr">
        <is>
          <t>Computed rating (before the override score)</t>
        </is>
      </c>
      <c r="C23" s="137">
        <f>IF(NOT(ISNUMBER('Metrics'!$B$21)),"",IF('Metrics'!$B$21&lt;1,"Poor",IF(AND('Metrics'!$B$21&gt;=1,'Metrics'!$B$21&lt;=5),"Fair",IF('Metrics'!$B$21&gt;5,"Good",""))))</f>
        <v/>
      </c>
    </row>
    <row r="24">
      <c r="A24" t="inlineStr">
        <is>
          <t>Override score (optional entry on the EASI Score sheet)</t>
        </is>
      </c>
      <c r="B24" s="137">
        <f>IF('EASI Score'!$J$14="","",'EASI Score'!$J$14)</f>
        <v/>
      </c>
      <c r="E24" s="139" t="inlineStr">
        <is>
          <t>Replaces the computed rating, as a rating changed in the web application does.</t>
        </is>
      </c>
    </row>
    <row r="25">
      <c r="A25" t="inlineStr">
        <is>
          <t>Function rating</t>
        </is>
      </c>
      <c r="C25" s="140">
        <f>IF(OR('EASI Score'!$J$14="Good",'EASI Score'!$J$14="Fair",'EASI Score'!$J$14="Poor"),'EASI Score'!$J$14,'Metrics'!$C$23)</f>
        <v/>
      </c>
      <c r="D25" s="138">
        <f>IF('Metrics'!$C$25="Good",'Reference'!$B$6,IF('Metrics'!$C$25="Fair",'Reference'!$B$7,IF('Metrics'!$C$25="Poor",'Reference'!$B$8,"")))</f>
        <v/>
      </c>
      <c r="E25" s="139" t="inlineStr">
        <is>
          <t>All classes are required. A missing class is unknown, not zero.</t>
        </is>
      </c>
    </row>
    <row r="26">
      <c r="A26" t="inlineStr">
        <is>
          <t>Function score (0 to 15)</t>
        </is>
      </c>
      <c r="B26" s="140">
        <f>IF('Metrics'!$C$25="Good",'Reference'!$C$6,IF('Metrics'!$C$25="Fair",'Reference'!$C$7,IF('Metrics'!$C$25="Poor",'Reference'!$C$8,"")))</f>
        <v/>
      </c>
    </row>
    <row r="27">
      <c r="A27" t="inlineStr">
        <is>
          <t>Status</t>
        </is>
      </c>
      <c r="B27" s="137">
        <f>IF(OR('EASI Score'!$J$14="Good",'EASI Score'!$J$14="Fair",'EASI Score'!$J$14="Poor"),"override score",IF('Metrics'!$C$25="","not rated","complete"))</f>
        <v/>
      </c>
    </row>
    <row r="29">
      <c r="A29" s="135" t="inlineStr">
        <is>
          <t>3. Reach inflow</t>
        </is>
      </c>
      <c r="B29" s="8" t="inlineStr">
        <is>
          <t>Road-density proxy for concentrated inflow pressure (road-density-inflow-pressure, threshold)</t>
        </is>
      </c>
    </row>
    <row r="30">
      <c r="A30" s="136" t="inlineStr">
        <is>
          <t>Item</t>
        </is>
      </c>
      <c r="B30" s="136" t="inlineStr">
        <is>
          <t>Value</t>
        </is>
      </c>
      <c r="C30" s="136" t="inlineStr">
        <is>
          <t>Rating</t>
        </is>
      </c>
      <c r="D30" s="136" t="inlineStr">
        <is>
          <t>Index</t>
        </is>
      </c>
      <c r="E30" s="136" t="inlineStr">
        <is>
          <t>Note</t>
        </is>
      </c>
    </row>
    <row r="31">
      <c r="A31" t="inlineStr">
        <is>
          <t>Watershed road density</t>
        </is>
      </c>
      <c r="B31" s="137">
        <f>IF('EASI Score'!$J$15="","",'EASI Score'!$J$15)</f>
        <v/>
      </c>
    </row>
    <row r="32">
      <c r="A32" t="inlineStr">
        <is>
          <t>Route that applied</t>
        </is>
      </c>
      <c r="B32" s="137">
        <f>IF(OR('EASI Score'!$J$16="Good",'EASI Score'!$J$16="Fair",'EASI Score'!$J$16="Poor"),"override score","automatic method")</f>
        <v/>
      </c>
    </row>
    <row r="33">
      <c r="A33" t="inlineStr">
        <is>
          <t>Computed rating (before the override score)</t>
        </is>
      </c>
      <c r="C33" s="137">
        <f>IF(NOT(ISNUMBER('EASI Score'!$J$15)),"",IF('EASI Score'!$J$15&lt;1,"Good",IF(AND('EASI Score'!$J$15&gt;=1,'EASI Score'!$J$15&lt;3),"Fair",IF('EASI Score'!$J$15&gt;=3,"Poor",""))))</f>
        <v/>
      </c>
    </row>
    <row r="34">
      <c r="A34" t="inlineStr">
        <is>
          <t>Override score (optional entry on the EASI Score sheet)</t>
        </is>
      </c>
      <c r="B34" s="137">
        <f>IF('EASI Score'!$J$16="","",'EASI Score'!$J$16)</f>
        <v/>
      </c>
      <c r="E34" s="139" t="inlineStr">
        <is>
          <t>Replaces the computed rating, as a rating changed in the web application does.</t>
        </is>
      </c>
    </row>
    <row r="35">
      <c r="A35" t="inlineStr">
        <is>
          <t>Function rating</t>
        </is>
      </c>
      <c r="C35" s="140">
        <f>IF(OR('EASI Score'!$J$16="Good",'EASI Score'!$J$16="Fair",'EASI Score'!$J$16="Poor"),'EASI Score'!$J$16,'Metrics'!$C$33)</f>
        <v/>
      </c>
      <c r="D35" s="138">
        <f>IF('Metrics'!$C$35="Good",'Reference'!$B$6,IF('Metrics'!$C$35="Fair",'Reference'!$B$7,IF('Metrics'!$C$35="Poor",'Reference'!$B$8,"")))</f>
        <v/>
      </c>
    </row>
    <row r="36">
      <c r="A36" t="inlineStr">
        <is>
          <t>Function score (0 to 15)</t>
        </is>
      </c>
      <c r="B36" s="140">
        <f>IF('Metrics'!$C$35="Good",'Reference'!$C$6,IF('Metrics'!$C$35="Fair",'Reference'!$C$7,IF('Metrics'!$C$35="Poor",'Reference'!$C$8,"")))</f>
        <v/>
      </c>
    </row>
    <row r="37">
      <c r="A37" t="inlineStr">
        <is>
          <t>Status</t>
        </is>
      </c>
      <c r="B37" s="137">
        <f>IF(OR('EASI Score'!$J$16="Good",'EASI Score'!$J$16="Fair",'EASI Score'!$J$16="Poor"),"override score",IF('Metrics'!$C$35="","not rated","complete"))</f>
        <v/>
      </c>
    </row>
    <row r="39">
      <c r="A39" s="135" t="inlineStr">
        <is>
          <t>4. Streamflow regime</t>
        </is>
      </c>
      <c r="B39" s="8" t="inlineStr">
        <is>
          <t>Flow alteration (degree of regulation) (degree-of-regulation, ratio)</t>
        </is>
      </c>
    </row>
    <row r="40">
      <c r="A40" s="136" t="inlineStr">
        <is>
          <t>Item</t>
        </is>
      </c>
      <c r="B40" s="136" t="inlineStr">
        <is>
          <t>Value</t>
        </is>
      </c>
      <c r="C40" s="136" t="inlineStr">
        <is>
          <t>Rating</t>
        </is>
      </c>
      <c r="D40" s="136" t="inlineStr">
        <is>
          <t>Index</t>
        </is>
      </c>
      <c r="E40" s="136" t="inlineStr">
        <is>
          <t>Note</t>
        </is>
      </c>
    </row>
    <row r="41">
      <c r="A41" t="inlineStr">
        <is>
          <t>Upstream normalized storage</t>
        </is>
      </c>
      <c r="B41" s="137">
        <f>IF('EASI Score'!$J$17="","",'EASI Score'!$J$17)</f>
        <v/>
      </c>
    </row>
    <row r="42">
      <c r="A42" t="inlineStr">
        <is>
          <t>Annual runoff</t>
        </is>
      </c>
      <c r="B42" s="137">
        <f>IF('EASI Score'!$J$18="","",'EASI Score'!$J$18)</f>
        <v/>
      </c>
    </row>
    <row r="43">
      <c r="A43" t="inlineStr">
        <is>
          <t>Degree of regulation (%)</t>
        </is>
      </c>
      <c r="B43" s="137">
        <f>IF(AND(ISNUMBER('EASI Score'!$J$17),ISNUMBER('EASI Score'!$J$18),'EASI Score'!$J$18&lt;&gt;0,'EASI Score'!$J$18&gt;0),ROUND((100*'EASI Score'!$J$17)/(1000*'EASI Score'!$J$18),12),"")</f>
        <v/>
      </c>
    </row>
    <row r="44">
      <c r="A44" t="inlineStr">
        <is>
          <t>Route that applied</t>
        </is>
      </c>
      <c r="B44" s="137">
        <f>IF(OR('EASI Score'!$J$20="Good",'EASI Score'!$J$20="Fair",'EASI Score'!$J$20="Poor"),"override score","automatic method")</f>
        <v/>
      </c>
    </row>
    <row r="45">
      <c r="A45" t="inlineStr">
        <is>
          <t>Computed rating (before the override score)</t>
        </is>
      </c>
      <c r="C45" s="137">
        <f>IF(NOT(ISNUMBER('Metrics'!$B$43)),"",IF('Metrics'!$B$43&lt;2,"Good",IF(AND('Metrics'!$B$43&gt;=2,'Metrics'!$B$43&lt;=15),"Fair",IF('Metrics'!$B$43&gt;15,"Poor",""))))</f>
        <v/>
      </c>
    </row>
    <row r="46">
      <c r="A46" t="inlineStr">
        <is>
          <t>Override score (optional entry on the EASI Score sheet)</t>
        </is>
      </c>
      <c r="B46" s="137">
        <f>IF('EASI Score'!$J$20="","",'EASI Score'!$J$20)</f>
        <v/>
      </c>
      <c r="E46" s="139" t="inlineStr">
        <is>
          <t>Replaces the computed rating, as a rating changed in the web application does.</t>
        </is>
      </c>
    </row>
    <row r="47">
      <c r="A47" t="inlineStr">
        <is>
          <t>Function rating</t>
        </is>
      </c>
      <c r="C47" s="140">
        <f>IF(OR('EASI Score'!$J$20="Good",'EASI Score'!$J$20="Fair",'EASI Score'!$J$20="Poor"),'EASI Score'!$J$20,'Metrics'!$C$45)</f>
        <v/>
      </c>
      <c r="D47" s="138">
        <f>IF('Metrics'!$C$47="Good",'Reference'!$B$6,IF('Metrics'!$C$47="Fair",'Reference'!$B$7,IF('Metrics'!$C$47="Poor",'Reference'!$B$8,"")))</f>
        <v/>
      </c>
    </row>
    <row r="48">
      <c r="A48" t="inlineStr">
        <is>
          <t>Function score (0 to 15)</t>
        </is>
      </c>
      <c r="B48" s="140">
        <f>IF('Metrics'!$C$47="Good",'Reference'!$C$6,IF('Metrics'!$C$47="Fair",'Reference'!$C$7,IF('Metrics'!$C$47="Poor",'Reference'!$C$8,"")))</f>
        <v/>
      </c>
    </row>
    <row r="49">
      <c r="A49" t="inlineStr">
        <is>
          <t>Status</t>
        </is>
      </c>
      <c r="B49" s="137">
        <f>IF(OR('EASI Score'!$J$20="Good",'EASI Score'!$J$20="Fair",'EASI Score'!$J$20="Poor"),"override score",IF('Metrics'!$C$47="","not rated","complete"))</f>
        <v/>
      </c>
    </row>
    <row r="51">
      <c r="A51" s="135" t="inlineStr">
        <is>
          <t>5. Low flow and baseflow dynamics</t>
        </is>
      </c>
      <c r="B51" s="8" t="inlineStr">
        <is>
          <t>Low-flow condition (erom-flow-variability, threshold)</t>
        </is>
      </c>
    </row>
    <row r="52">
      <c r="A52" s="136" t="inlineStr">
        <is>
          <t>Item</t>
        </is>
      </c>
      <c r="B52" s="136" t="inlineStr">
        <is>
          <t>Value</t>
        </is>
      </c>
      <c r="C52" s="136" t="inlineStr">
        <is>
          <t>Rating</t>
        </is>
      </c>
      <c r="D52" s="136" t="inlineStr">
        <is>
          <t>Index</t>
        </is>
      </c>
      <c r="E52" s="136" t="inlineStr">
        <is>
          <t>Note</t>
        </is>
      </c>
    </row>
    <row r="53">
      <c r="A53" t="inlineStr">
        <is>
          <t>Monthly flow variability</t>
        </is>
      </c>
      <c r="B53" s="137">
        <f>IF('EASI Score'!$J$21="","",'EASI Score'!$J$21)</f>
        <v/>
      </c>
    </row>
    <row r="54">
      <c r="A54" t="inlineStr">
        <is>
          <t>Expected NHD flow regime (context only)</t>
        </is>
      </c>
      <c r="B54" s="137">
        <f>IF('EASI Score'!$B$4="","",'EASI Score'!$B$4)</f>
        <v/>
      </c>
    </row>
    <row r="55">
      <c r="A55" s="8" t="inlineStr">
        <is>
          <t>Reference curve used (flow-variability, nars9, national fallback)</t>
        </is>
      </c>
      <c r="B55" s="137">
        <f>IFERROR(MATCH("flow-variability|"&amp;'EASI Score'!$K$3,'Reference'!$A$90:$A$123,0),MATCH("flow-variability|national",'Reference'!$A$90:$A$123,0))</f>
        <v/>
      </c>
      <c r="E55" s="141">
        <f>INDEX('Reference'!$A$90:$A$123,'Metrics'!$B$55)</f>
        <v/>
      </c>
    </row>
    <row r="56">
      <c r="A56" s="8" t="inlineStr">
        <is>
          <t>Curve index (interpolated, 0 to 1; Good at or above 0.69, Fair at or above 0.39)</t>
        </is>
      </c>
      <c r="B56" s="142">
        <f>IF(NOT(ISNUMBER('EASI Score'!$J$21)),"",MAX(0,MIN(1,IF('EASI Score'!$J$21&lt;=INDEX('Reference'!$G$90:$G$123,'Metrics'!$B$55),INDEX('Reference'!$H$90:$H$123,'Metrics'!$B$55),IF('EASI Score'!$J$21&gt;=INDEX('Reference'!$O$90:$O$123,'Metrics'!$B$55),INDEX('Reference'!$P$90:$P$123,'Metrics'!$B$55),IF('EASI Score'!$J$21&lt;=INDEX('Reference'!$I$90:$I$123,'Metrics'!$B$55),INDEX('Reference'!$H$90:$H$123,'Metrics'!$B$55)+(('EASI Score'!$J$21-INDEX('Reference'!$G$90:$G$123,'Metrics'!$B$55))/(INDEX('Reference'!$I$90:$I$123,'Metrics'!$B$55)-INDEX('Reference'!$G$90:$G$123,'Metrics'!$B$55)))*(INDEX('Reference'!$J$90:$J$123,'Metrics'!$B$55)-INDEX('Reference'!$H$90:$H$123,'Metrics'!$B$55)),IF('EASI Score'!$J$21&lt;=INDEX('Reference'!$K$90:$K$123,'Metrics'!$B$55),INDEX('Reference'!$J$90:$J$123,'Metrics'!$B$55)+(('EASI Score'!$J$21-INDEX('Reference'!$I$90:$I$123,'Metrics'!$B$55))/(INDEX('Reference'!$K$90:$K$123,'Metrics'!$B$55)-INDEX('Reference'!$I$90:$I$123,'Metrics'!$B$55)))*(INDEX('Reference'!$L$90:$L$123,'Metrics'!$B$55)-INDEX('Reference'!$J$90:$J$123,'Metrics'!$B$55)),IF('EASI Score'!$J$21&lt;=INDEX('Reference'!$M$90:$M$123,'Metrics'!$B$55),INDEX('Reference'!$L$90:$L$123,'Metrics'!$B$55)+(('EASI Score'!$J$21-INDEX('Reference'!$K$90:$K$123,'Metrics'!$B$55))/(INDEX('Reference'!$M$90:$M$123,'Metrics'!$B$55)-INDEX('Reference'!$K$90:$K$123,'Metrics'!$B$55)))*(INDEX('Reference'!$N$90:$N$123,'Metrics'!$B$55)-INDEX('Reference'!$L$90:$L$123,'Metrics'!$B$55)),INDEX('Reference'!$N$90:$N$123,'Metrics'!$B$55)+(('EASI Score'!$J$21-INDEX('Reference'!$M$90:$M$123,'Metrics'!$B$55))/(INDEX('Reference'!$O$90:$O$123,'Metrics'!$B$55)-INDEX('Reference'!$M$90:$M$123,'Metrics'!$B$55)))*(INDEX('Reference'!$P$90:$P$123,'Metrics'!$B$55)-INDEX('Reference'!$N$90:$N$123,'Metrics'!$B$55))))))))))</f>
        <v/>
      </c>
    </row>
    <row r="57">
      <c r="A57" t="inlineStr">
        <is>
          <t>Route that applied</t>
        </is>
      </c>
      <c r="B57" s="137">
        <f>IF(OR('EASI Score'!$J$22="Good",'EASI Score'!$J$22="Fair",'EASI Score'!$J$22="Poor"),"override score","automatic method")</f>
        <v/>
      </c>
    </row>
    <row r="58">
      <c r="A58" t="inlineStr">
        <is>
          <t>Computed rating (before the override score)</t>
        </is>
      </c>
      <c r="C58" s="137">
        <f>IF(NOT(ISNUMBER('Metrics'!$B$56)),"",IF('Metrics'!$B$56&gt;=0.69,"Good",IF('Metrics'!$B$56&gt;=0.39,"Fair","Poor")))</f>
        <v/>
      </c>
    </row>
    <row r="59">
      <c r="A59" t="inlineStr">
        <is>
          <t>Override score (optional entry on the EASI Score sheet)</t>
        </is>
      </c>
      <c r="B59" s="137">
        <f>IF('EASI Score'!$J$22="","",'EASI Score'!$J$22)</f>
        <v/>
      </c>
      <c r="E59" s="139" t="inlineStr">
        <is>
          <t>Replaces the computed rating, as a rating changed in the web application does.</t>
        </is>
      </c>
    </row>
    <row r="60">
      <c r="A60" t="inlineStr">
        <is>
          <t>Function rating</t>
        </is>
      </c>
      <c r="C60" s="140">
        <f>IF(OR('EASI Score'!$J$22="Good",'EASI Score'!$J$22="Fair",'EASI Score'!$J$22="Poor"),'EASI Score'!$J$22,'Metrics'!$C$58)</f>
        <v/>
      </c>
      <c r="D60" s="138">
        <f>IF('Metrics'!$C$60="Good",'Reference'!$B$6,IF('Metrics'!$C$60="Fair",'Reference'!$B$7,IF('Metrics'!$C$60="Poor",'Reference'!$B$8,"")))</f>
        <v/>
      </c>
      <c r="E60" s="139" t="inlineStr">
        <is>
          <t>Unvalidated screening proxy: monthly flow variability, lower is better, rated on the regional curve with the national fallback.</t>
        </is>
      </c>
    </row>
    <row r="61">
      <c r="A61" t="inlineStr">
        <is>
          <t>Function score (0 to 15)</t>
        </is>
      </c>
      <c r="B61" s="140">
        <f>IF('Metrics'!$C$60="Good",'Reference'!$C$6,IF('Metrics'!$C$60="Fair",'Reference'!$C$7,IF('Metrics'!$C$60="Poor",'Reference'!$C$8,"")))</f>
        <v/>
      </c>
    </row>
    <row r="62">
      <c r="A62" t="inlineStr">
        <is>
          <t>Status</t>
        </is>
      </c>
      <c r="B62" s="137">
        <f>IF(OR('EASI Score'!$J$22="Good",'EASI Score'!$J$22="Fair",'EASI Score'!$J$22="Poor"),"override score",IF('Metrics'!$C$60="","not rated","complete"))</f>
        <v/>
      </c>
    </row>
    <row r="64">
      <c r="A64" s="135" t="inlineStr">
        <is>
          <t>6. High flow dynamics</t>
        </is>
      </c>
      <c r="B64" s="8" t="inlineStr">
        <is>
          <t>Floodplain engagement (bank-height ratio) (bank-height-ratio, threshold)</t>
        </is>
      </c>
    </row>
    <row r="65">
      <c r="A65" s="136" t="inlineStr">
        <is>
          <t>Item</t>
        </is>
      </c>
      <c r="B65" s="136" t="inlineStr">
        <is>
          <t>Value</t>
        </is>
      </c>
      <c r="C65" s="136" t="inlineStr">
        <is>
          <t>Rating</t>
        </is>
      </c>
      <c r="D65" s="136" t="inlineStr">
        <is>
          <t>Index</t>
        </is>
      </c>
      <c r="E65" s="136" t="inlineStr">
        <is>
          <t>Note</t>
        </is>
      </c>
    </row>
    <row r="66">
      <c r="A66" t="inlineStr">
        <is>
          <t>Bank-height ratio</t>
        </is>
      </c>
      <c r="B66" s="137">
        <f>IF('EASI Score'!$J$23="","",'EASI Score'!$J$23)</f>
        <v/>
      </c>
    </row>
    <row r="67">
      <c r="A67" t="inlineStr">
        <is>
          <t>Route that applied</t>
        </is>
      </c>
      <c r="B67" s="137">
        <f>IF(OR('EASI Score'!$J$24="Good",'EASI Score'!$J$24="Fair",'EASI Score'!$J$24="Poor"),"override score","automatic method")</f>
        <v/>
      </c>
    </row>
    <row r="68">
      <c r="A68" t="inlineStr">
        <is>
          <t>Computed rating (before the override score)</t>
        </is>
      </c>
      <c r="C68" s="137">
        <f>IF(NOT(ISNUMBER('EASI Score'!$J$23)),"",IF('EASI Score'!$J$23&lt;=1.3,"Good",IF(AND('EASI Score'!$J$23&gt;1.3,'EASI Score'!$J$23&lt;=1.5),"Fair",IF('EASI Score'!$J$23&gt;1.5,"Poor",""))))</f>
        <v/>
      </c>
    </row>
    <row r="69">
      <c r="A69" t="inlineStr">
        <is>
          <t>Override score (optional entry on the EASI Score sheet)</t>
        </is>
      </c>
      <c r="B69" s="137">
        <f>IF('EASI Score'!$J$24="","",'EASI Score'!$J$24)</f>
        <v/>
      </c>
      <c r="E69" s="139" t="inlineStr">
        <is>
          <t>Replaces the computed rating, as a rating changed in the web application does.</t>
        </is>
      </c>
    </row>
    <row r="70">
      <c r="A70" t="inlineStr">
        <is>
          <t>Function rating</t>
        </is>
      </c>
      <c r="C70" s="140">
        <f>IF(OR('EASI Score'!$J$24="Good",'EASI Score'!$J$24="Fair",'EASI Score'!$J$24="Poor"),'EASI Score'!$J$24,'Metrics'!$C$68)</f>
        <v/>
      </c>
      <c r="D70" s="138">
        <f>IF('Metrics'!$C$70="Good",'Reference'!$B$6,IF('Metrics'!$C$70="Fair",'Reference'!$B$7,IF('Metrics'!$C$70="Poor",'Reference'!$B$8,"")))</f>
        <v/>
      </c>
      <c r="E70" s="139" t="inlineStr">
        <is>
          <t>Values below 1.0 warrant a check of the cross-section geometry.</t>
        </is>
      </c>
    </row>
    <row r="71">
      <c r="A71" t="inlineStr">
        <is>
          <t>Function score (0 to 15)</t>
        </is>
      </c>
      <c r="B71" s="140">
        <f>IF('Metrics'!$C$70="Good",'Reference'!$C$6,IF('Metrics'!$C$70="Fair",'Reference'!$C$7,IF('Metrics'!$C$70="Poor",'Reference'!$C$8,"")))</f>
        <v/>
      </c>
    </row>
    <row r="72">
      <c r="A72" t="inlineStr">
        <is>
          <t>Status</t>
        </is>
      </c>
      <c r="B72" s="137">
        <f>IF(OR('EASI Score'!$J$24="Good",'EASI Score'!$J$24="Fair",'EASI Score'!$J$24="Poor"),"override score",IF('Metrics'!$C$70="","not rated","complete"))</f>
        <v/>
      </c>
    </row>
    <row r="74">
      <c r="A74" s="135" t="inlineStr">
        <is>
          <t>7. Floodplain connectivity</t>
        </is>
      </c>
      <c r="B74" s="8" t="inlineStr">
        <is>
          <t>Floodplain access (entrenchment ratio) (entrenchment-ratio, threshold)</t>
        </is>
      </c>
    </row>
    <row r="75">
      <c r="A75" s="136" t="inlineStr">
        <is>
          <t>Item</t>
        </is>
      </c>
      <c r="B75" s="136" t="inlineStr">
        <is>
          <t>Value</t>
        </is>
      </c>
      <c r="C75" s="136" t="inlineStr">
        <is>
          <t>Rating</t>
        </is>
      </c>
      <c r="D75" s="136" t="inlineStr">
        <is>
          <t>Index</t>
        </is>
      </c>
      <c r="E75" s="136" t="inlineStr">
        <is>
          <t>Note</t>
        </is>
      </c>
    </row>
    <row r="76">
      <c r="A76" t="inlineStr">
        <is>
          <t>Entrenchment ratio</t>
        </is>
      </c>
      <c r="B76" s="137">
        <f>IF('EASI Score'!$J$25="","",'EASI Score'!$J$25)</f>
        <v/>
      </c>
    </row>
    <row r="77">
      <c r="A77" s="8" t="inlineStr">
        <is>
          <t>Reference curve used (entrenchment, slope_class, national fallback)</t>
        </is>
      </c>
      <c r="B77" s="137">
        <f>IFERROR(MATCH("entrenchment|"&amp;'EASI Score'!$K$4,'Reference'!$A$90:$A$123,0),MATCH("entrenchment|national",'Reference'!$A$90:$A$123,0))</f>
        <v/>
      </c>
      <c r="E77" s="141">
        <f>INDEX('Reference'!$A$90:$A$123,'Metrics'!$B$77)</f>
        <v/>
      </c>
    </row>
    <row r="78">
      <c r="A78" s="8" t="inlineStr">
        <is>
          <t>Curve index (interpolated, 0 to 1; Good at or above 0.69, Fair at or above 0.39)</t>
        </is>
      </c>
      <c r="B78" s="142">
        <f>IF(NOT(ISNUMBER('EASI Score'!$J$25)),"",MAX(0,MIN(1,IF('EASI Score'!$J$25&lt;=INDEX('Reference'!$G$90:$G$123,'Metrics'!$B$77),INDEX('Reference'!$H$90:$H$123,'Metrics'!$B$77),IF('EASI Score'!$J$25&gt;=INDEX('Reference'!$O$90:$O$123,'Metrics'!$B$77),INDEX('Reference'!$P$90:$P$123,'Metrics'!$B$77),IF('EASI Score'!$J$25&lt;=INDEX('Reference'!$I$90:$I$123,'Metrics'!$B$77),INDEX('Reference'!$H$90:$H$123,'Metrics'!$B$77)+(('EASI Score'!$J$25-INDEX('Reference'!$G$90:$G$123,'Metrics'!$B$77))/(INDEX('Reference'!$I$90:$I$123,'Metrics'!$B$77)-INDEX('Reference'!$G$90:$G$123,'Metrics'!$B$77)))*(INDEX('Reference'!$J$90:$J$123,'Metrics'!$B$77)-INDEX('Reference'!$H$90:$H$123,'Metrics'!$B$77)),IF('EASI Score'!$J$25&lt;=INDEX('Reference'!$K$90:$K$123,'Metrics'!$B$77),INDEX('Reference'!$J$90:$J$123,'Metrics'!$B$77)+(('EASI Score'!$J$25-INDEX('Reference'!$I$90:$I$123,'Metrics'!$B$77))/(INDEX('Reference'!$K$90:$K$123,'Metrics'!$B$77)-INDEX('Reference'!$I$90:$I$123,'Metrics'!$B$77)))*(INDEX('Reference'!$L$90:$L$123,'Metrics'!$B$77)-INDEX('Reference'!$J$90:$J$123,'Metrics'!$B$77)),IF('EASI Score'!$J$25&lt;=INDEX('Reference'!$M$90:$M$123,'Metrics'!$B$77),INDEX('Reference'!$L$90:$L$123,'Metrics'!$B$77)+(('EASI Score'!$J$25-INDEX('Reference'!$K$90:$K$123,'Metrics'!$B$77))/(INDEX('Reference'!$M$90:$M$123,'Metrics'!$B$77)-INDEX('Reference'!$K$90:$K$123,'Metrics'!$B$77)))*(INDEX('Reference'!$N$90:$N$123,'Metrics'!$B$77)-INDEX('Reference'!$L$90:$L$123,'Metrics'!$B$77)),INDEX('Reference'!$N$90:$N$123,'Metrics'!$B$77)+(('EASI Score'!$J$25-INDEX('Reference'!$M$90:$M$123,'Metrics'!$B$77))/(INDEX('Reference'!$O$90:$O$123,'Metrics'!$B$77)-INDEX('Reference'!$M$90:$M$123,'Metrics'!$B$77)))*(INDEX('Reference'!$P$90:$P$123,'Metrics'!$B$77)-INDEX('Reference'!$N$90:$N$123,'Metrics'!$B$77))))))))))</f>
        <v/>
      </c>
    </row>
    <row r="79">
      <c r="A79" t="inlineStr">
        <is>
          <t>Route that applied</t>
        </is>
      </c>
      <c r="B79" s="137">
        <f>IF(OR('EASI Score'!$J$27="Good",'EASI Score'!$J$27="Fair",'EASI Score'!$J$27="Poor"),"override score","automatic method")</f>
        <v/>
      </c>
    </row>
    <row r="80">
      <c r="A80" t="inlineStr">
        <is>
          <t>Computed rating (before the override score)</t>
        </is>
      </c>
      <c r="C80" s="137">
        <f>IF(NOT(ISNUMBER('Metrics'!$B$78)),"",IF('Metrics'!$B$78&gt;=0.69,"Good",IF('Metrics'!$B$78&gt;=0.39,"Fair","Poor")))</f>
        <v/>
      </c>
    </row>
    <row r="81">
      <c r="A81" t="inlineStr">
        <is>
          <t>Override score (optional entry on the EASI Score sheet)</t>
        </is>
      </c>
      <c r="B81" s="137">
        <f>IF('EASI Score'!$J$27="","",'EASI Score'!$J$27)</f>
        <v/>
      </c>
      <c r="E81" s="139" t="inlineStr">
        <is>
          <t>Replaces the computed rating, as a rating changed in the web application does.</t>
        </is>
      </c>
    </row>
    <row r="82">
      <c r="A82" t="inlineStr">
        <is>
          <t>Function rating</t>
        </is>
      </c>
      <c r="C82" s="140">
        <f>IF(OR('EASI Score'!$J$27="Good",'EASI Score'!$J$27="Fair",'EASI Score'!$J$27="Poor"),'EASI Score'!$J$27,'Metrics'!$C$80)</f>
        <v/>
      </c>
      <c r="D82" s="138">
        <f>IF('Metrics'!$C$82="Good",'Reference'!$B$6,IF('Metrics'!$C$82="Fair",'Reference'!$B$7,IF('Metrics'!$C$82="Poor",'Reference'!$B$8,"")))</f>
        <v/>
      </c>
      <c r="E82" s="139" t="inlineStr">
        <is>
          <t>Rated on the slope-class curve, national fallback when the slope is unknown.</t>
        </is>
      </c>
    </row>
    <row r="83">
      <c r="A83" t="inlineStr">
        <is>
          <t>Function score (0 to 15)</t>
        </is>
      </c>
      <c r="B83" s="140">
        <f>IF('Metrics'!$C$82="Good",'Reference'!$C$6,IF('Metrics'!$C$82="Fair",'Reference'!$C$7,IF('Metrics'!$C$82="Poor",'Reference'!$C$8,"")))</f>
        <v/>
      </c>
    </row>
    <row r="84">
      <c r="A84" t="inlineStr">
        <is>
          <t>Status</t>
        </is>
      </c>
      <c r="B84" s="137">
        <f>IF(OR('EASI Score'!$J$27="Good",'EASI Score'!$J$27="Fair",'EASI Score'!$J$27="Poor"),"override score",IF('Metrics'!$C$82="","not rated","complete"))</f>
        <v/>
      </c>
    </row>
    <row r="86">
      <c r="A86" s="135" t="inlineStr">
        <is>
          <t>8. Hyporheic connectivity</t>
        </is>
      </c>
      <c r="B86" s="8" t="inlineStr">
        <is>
          <t>Hyporheic-exchange potential (channel gradient or sinuosity) (hyporheic-exchange-potential, best_index)</t>
        </is>
      </c>
    </row>
    <row r="87">
      <c r="A87" s="136" t="inlineStr">
        <is>
          <t>Item</t>
        </is>
      </c>
      <c r="B87" s="136" t="inlineStr">
        <is>
          <t>Value</t>
        </is>
      </c>
      <c r="C87" s="136" t="inlineStr">
        <is>
          <t>Rating</t>
        </is>
      </c>
      <c r="D87" s="136" t="inlineStr">
        <is>
          <t>Index</t>
        </is>
      </c>
      <c r="E87" s="136" t="inlineStr">
        <is>
          <t>Note</t>
        </is>
      </c>
    </row>
    <row r="88">
      <c r="A88" t="inlineStr">
        <is>
          <t>Channel slope</t>
        </is>
      </c>
      <c r="B88" s="137">
        <f>IF('EASI Score'!$J$26="","",'EASI Score'!$J$26)</f>
        <v/>
      </c>
      <c r="C88" s="137">
        <f>IF(NOT(ISNUMBER('EASI Score'!$J$26)),"",IF('EASI Score'!$J$26&lt;0.003,"Poor",IF(AND('EASI Score'!$J$26&gt;=0.003,'EASI Score'!$J$26&lt;0.006),"Fair",IF('EASI Score'!$J$26&gt;=0.006,"Good",""))))</f>
        <v/>
      </c>
      <c r="D88" s="138">
        <f>IF('Metrics'!$C$88="Good",'Reference'!$B$6,IF('Metrics'!$C$88="Fair",'Reference'!$B$7,IF('Metrics'!$C$88="Poor",'Reference'!$B$8,"")))</f>
        <v/>
      </c>
    </row>
    <row r="89">
      <c r="A89" t="inlineStr">
        <is>
          <t>Reach sinuosity</t>
        </is>
      </c>
      <c r="B89" s="137">
        <f>IF('EASI Score'!$J$29="","",'EASI Score'!$J$29)</f>
        <v/>
      </c>
      <c r="C89" s="137">
        <f>IF(NOT(ISNUMBER('EASI Score'!$J$29)),"",IF('EASI Score'!$J$29&lt;1.05,"Poor",IF(AND('EASI Score'!$J$29&gt;=1.05,'EASI Score'!$J$29&lt;1.2),"Fair",IF('EASI Score'!$J$29&gt;=1.2,"Good",""))))</f>
        <v/>
      </c>
      <c r="D89" s="138">
        <f>IF('Metrics'!$C$89="Good",'Reference'!$B$6,IF('Metrics'!$C$89="Fair",'Reference'!$B$7,IF('Metrics'!$C$89="Poor",'Reference'!$B$8,"")))</f>
        <v/>
      </c>
    </row>
    <row r="90">
      <c r="A90" t="inlineStr">
        <is>
          <t>Governing input</t>
        </is>
      </c>
      <c r="B90" s="137">
        <f>IF('Metrics'!$B$91="","",INDEX('Metrics'!$A$88:$A$89,MATCH('Metrics'!$B$91,'Metrics'!$D$88:$D$89,0)))</f>
        <v/>
      </c>
    </row>
    <row r="91">
      <c r="A91" t="inlineStr">
        <is>
          <t>Combined rating index (the better pathway)</t>
        </is>
      </c>
      <c r="B91" s="138">
        <f>IF(COUNT('Metrics'!$D$88:$D$89)=0,"",MAX('Metrics'!$D$88:$D$89))</f>
        <v/>
      </c>
    </row>
    <row r="92">
      <c r="A92" t="inlineStr">
        <is>
          <t>Route that applied</t>
        </is>
      </c>
      <c r="B92" s="137">
        <f>IF(OR('EASI Score'!$J$30="Good",'EASI Score'!$J$30="Fair",'EASI Score'!$J$30="Poor"),"override score","automatic method")</f>
        <v/>
      </c>
    </row>
    <row r="93">
      <c r="A93" t="inlineStr">
        <is>
          <t>Computed rating (before the override score)</t>
        </is>
      </c>
      <c r="C93" s="137">
        <f>IF(NOT(ISNUMBER('Metrics'!$B$91)),"",IF('Metrics'!$B$91='Reference'!$B$6,"Good",IF('Metrics'!$B$91='Reference'!$B$7,"Fair",IF('Metrics'!$B$91='Reference'!$B$8,"Poor",""))))</f>
        <v/>
      </c>
    </row>
    <row r="94">
      <c r="A94" t="inlineStr">
        <is>
          <t>Override score (optional entry on the EASI Score sheet)</t>
        </is>
      </c>
      <c r="B94" s="137">
        <f>IF('EASI Score'!$J$30="","",'EASI Score'!$J$30)</f>
        <v/>
      </c>
      <c r="E94" s="139" t="inlineStr">
        <is>
          <t>Replaces the computed rating, as a rating changed in the web application does.</t>
        </is>
      </c>
    </row>
    <row r="95">
      <c r="A95" t="inlineStr">
        <is>
          <t>Function rating</t>
        </is>
      </c>
      <c r="C95" s="140">
        <f>IF(OR('EASI Score'!$J$30="Good",'EASI Score'!$J$30="Fair",'EASI Score'!$J$30="Poor"),'EASI Score'!$J$30,'Metrics'!$C$93)</f>
        <v/>
      </c>
      <c r="D95" s="138">
        <f>IF('Metrics'!$C$95="Good",'Reference'!$B$6,IF('Metrics'!$C$95="Fair",'Reference'!$B$7,IF('Metrics'!$C$95="Poor",'Reference'!$B$8,"")))</f>
        <v/>
      </c>
      <c r="E95" s="139" t="inlineStr">
        <is>
          <t>One valid pathway gives a partial rating.</t>
        </is>
      </c>
    </row>
    <row r="96">
      <c r="A96" t="inlineStr">
        <is>
          <t>Function score (0 to 15)</t>
        </is>
      </c>
      <c r="B96" s="140">
        <f>IF('Metrics'!$C$95="Good",'Reference'!$C$6,IF('Metrics'!$C$95="Fair",'Reference'!$C$7,IF('Metrics'!$C$95="Poor",'Reference'!$C$8,"")))</f>
        <v/>
      </c>
    </row>
    <row r="97">
      <c r="A97" t="inlineStr">
        <is>
          <t>Status</t>
        </is>
      </c>
      <c r="B97" s="137">
        <f>IF(OR('EASI Score'!$J$30="Good",'EASI Score'!$J$30="Fair",'EASI Score'!$J$30="Poor"),"override score",IF(COUNT('Metrics'!$D$88:$D$89)=0,"not rated",IF(COUNT('Metrics'!$D$88:$D$89)&lt;2,"partial","complete")))</f>
        <v/>
      </c>
    </row>
    <row r="99">
      <c r="A99" s="135" t="inlineStr">
        <is>
          <t>9. Channel evolution</t>
        </is>
      </c>
      <c r="B99" s="8" t="inlineStr">
        <is>
          <t>Channel evolution (channel-adjustment-susceptibility, worst_index)</t>
        </is>
      </c>
    </row>
    <row r="100">
      <c r="A100" s="136" t="inlineStr">
        <is>
          <t>Item</t>
        </is>
      </c>
      <c r="B100" s="136" t="inlineStr">
        <is>
          <t>Value</t>
        </is>
      </c>
      <c r="C100" s="136" t="inlineStr">
        <is>
          <t>Rating</t>
        </is>
      </c>
      <c r="D100" s="136" t="inlineStr">
        <is>
          <t>Index</t>
        </is>
      </c>
      <c r="E100" s="136" t="inlineStr">
        <is>
          <t>Note</t>
        </is>
      </c>
    </row>
    <row r="101">
      <c r="A101" t="inlineStr">
        <is>
          <t>Bank-height ratio</t>
        </is>
      </c>
      <c r="B101" s="137">
        <f>IF('EASI Score'!$J$23="","",'EASI Score'!$J$23)</f>
        <v/>
      </c>
      <c r="C101" s="137">
        <f>IF(NOT(ISNUMBER('EASI Score'!$J$23)),"",IF('EASI Score'!$J$23&lt;=1.3,"Good",IF(AND('EASI Score'!$J$23&gt;1.3,'EASI Score'!$J$23&lt;=1.5),"Fair",IF('EASI Score'!$J$23&gt;1.5,"Poor",""))))</f>
        <v/>
      </c>
      <c r="D101" s="138">
        <f>IF('Metrics'!$C$101="Good",'Reference'!$B$6,IF('Metrics'!$C$101="Fair",'Reference'!$B$7,IF('Metrics'!$C$101="Poor",'Reference'!$B$8,"")))</f>
        <v/>
      </c>
    </row>
    <row r="102">
      <c r="A102" s="8" t="inlineStr">
        <is>
          <t>Reference curve used (entrenchment, slope_class, national fallback)</t>
        </is>
      </c>
      <c r="B102" s="137">
        <f>IFERROR(MATCH("entrenchment|"&amp;'EASI Score'!$K$4,'Reference'!$A$90:$A$123,0),MATCH("entrenchment|national",'Reference'!$A$90:$A$123,0))</f>
        <v/>
      </c>
      <c r="E102" s="141">
        <f>INDEX('Reference'!$A$90:$A$123,'Metrics'!$B$102)</f>
        <v/>
      </c>
    </row>
    <row r="103">
      <c r="A103" s="8" t="inlineStr">
        <is>
          <t>Curve index (interpolated, 0 to 1; Good at or above 0.69, Fair at or above 0.39)</t>
        </is>
      </c>
      <c r="B103" s="142">
        <f>IF(NOT(ISNUMBER('EASI Score'!$J$25)),"",MAX(0,MIN(1,IF('EASI Score'!$J$25&lt;=INDEX('Reference'!$G$90:$G$123,'Metrics'!$B$102),INDEX('Reference'!$H$90:$H$123,'Metrics'!$B$102),IF('EASI Score'!$J$25&gt;=INDEX('Reference'!$O$90:$O$123,'Metrics'!$B$102),INDEX('Reference'!$P$90:$P$123,'Metrics'!$B$102),IF('EASI Score'!$J$25&lt;=INDEX('Reference'!$I$90:$I$123,'Metrics'!$B$102),INDEX('Reference'!$H$90:$H$123,'Metrics'!$B$102)+(('EASI Score'!$J$25-INDEX('Reference'!$G$90:$G$123,'Metrics'!$B$102))/(INDEX('Reference'!$I$90:$I$123,'Metrics'!$B$102)-INDEX('Reference'!$G$90:$G$123,'Metrics'!$B$102)))*(INDEX('Reference'!$J$90:$J$123,'Metrics'!$B$102)-INDEX('Reference'!$H$90:$H$123,'Metrics'!$B$102)),IF('EASI Score'!$J$25&lt;=INDEX('Reference'!$K$90:$K$123,'Metrics'!$B$102),INDEX('Reference'!$J$90:$J$123,'Metrics'!$B$102)+(('EASI Score'!$J$25-INDEX('Reference'!$I$90:$I$123,'Metrics'!$B$102))/(INDEX('Reference'!$K$90:$K$123,'Metrics'!$B$102)-INDEX('Reference'!$I$90:$I$123,'Metrics'!$B$102)))*(INDEX('Reference'!$L$90:$L$123,'Metrics'!$B$102)-INDEX('Reference'!$J$90:$J$123,'Metrics'!$B$102)),IF('EASI Score'!$J$25&lt;=INDEX('Reference'!$M$90:$M$123,'Metrics'!$B$102),INDEX('Reference'!$L$90:$L$123,'Metrics'!$B$102)+(('EASI Score'!$J$25-INDEX('Reference'!$K$90:$K$123,'Metrics'!$B$102))/(INDEX('Reference'!$M$90:$M$123,'Metrics'!$B$102)-INDEX('Reference'!$K$90:$K$123,'Metrics'!$B$102)))*(INDEX('Reference'!$N$90:$N$123,'Metrics'!$B$102)-INDEX('Reference'!$L$90:$L$123,'Metrics'!$B$102)),INDEX('Reference'!$N$90:$N$123,'Metrics'!$B$102)+(('EASI Score'!$J$25-INDEX('Reference'!$M$90:$M$123,'Metrics'!$B$102))/(INDEX('Reference'!$O$90:$O$123,'Metrics'!$B$102)-INDEX('Reference'!$M$90:$M$123,'Metrics'!$B$102)))*(INDEX('Reference'!$P$90:$P$123,'Metrics'!$B$102)-INDEX('Reference'!$N$90:$N$123,'Metrics'!$B$102))))))))))</f>
        <v/>
      </c>
    </row>
    <row r="104">
      <c r="A104" t="inlineStr">
        <is>
          <t>Entrenchment ratio</t>
        </is>
      </c>
      <c r="B104" s="137">
        <f>IF('EASI Score'!$J$25="","",'EASI Score'!$J$25)</f>
        <v/>
      </c>
      <c r="C104" s="137">
        <f>IF(NOT(ISNUMBER('Metrics'!$B$103)),"",IF('Metrics'!$B$103&gt;=0.69,"Good",IF('Metrics'!$B$103&gt;=0.39,"Fair","Poor")))</f>
        <v/>
      </c>
      <c r="D104" s="138">
        <f>IF('Metrics'!$C$104="Good",'Reference'!$B$6,IF('Metrics'!$C$104="Fair",'Reference'!$B$7,IF('Metrics'!$C$104="Poor",'Reference'!$B$8,"")))</f>
        <v/>
      </c>
    </row>
    <row r="105">
      <c r="A105" t="inlineStr">
        <is>
          <t>Automatic proxy index (worse of BHR and ER, both required)</t>
        </is>
      </c>
      <c r="B105" s="138">
        <f>IF(COUNT('Metrics'!$D$101:$D$104)&lt;2,"",MIN('Metrics'!$D$101:$D$104))</f>
        <v/>
      </c>
    </row>
    <row r="106">
      <c r="A106" t="inlineStr">
        <is>
          <t>Route that applied</t>
        </is>
      </c>
      <c r="B106" s="137">
        <f>IF(AND(OR('EASI Score'!$J$35="Good",'EASI Score'!$J$35="Fair",'EASI Score'!$J$35="Poor"),NOT(AND(OR('EASI Score'!$J$33="Good",'EASI Score'!$J$33="Fair",'EASI Score'!$J$33="Poor"),LEN(TRIM('EASI Score'!$J$34&amp;""))&gt;0))),"override score",IF(AND(OR('EASI Score'!$J$33="Good",'EASI Score'!$J$33="Fair",'EASI Score'!$J$33="Poor"),LEN(TRIM('EASI Score'!$J$34&amp;""))&gt;0),"observed channel class",IF(OR('EASI Score'!$B$4=33600,'EASI Score'!$B$4=33601,'EASI Score'!$B$4=33603),"canal or ditch (FCODE)",IF('Metrics'!$B$105="","not rated","automatic proxy"))))</f>
        <v/>
      </c>
    </row>
    <row r="107">
      <c r="A107" t="inlineStr">
        <is>
          <t>Computed rating (before the override score)</t>
        </is>
      </c>
      <c r="C107" s="137">
        <f>IF(AND(OR('EASI Score'!$J$33="Good",'EASI Score'!$J$33="Fair",'EASI Score'!$J$33="Poor"),LEN(TRIM('EASI Score'!$J$34&amp;""))&gt;0),'EASI Score'!$J$33,IF(OR('EASI Score'!$B$4=33600,'EASI Score'!$B$4=33601,'EASI Score'!$B$4=33603),"Poor",IF(NOT(ISNUMBER('Metrics'!$B$105)),"",IF('Metrics'!$B$105='Reference'!$B$6,"Good",IF('Metrics'!$B$105='Reference'!$B$7,"Fair",IF('Metrics'!$B$105='Reference'!$B$8,"Poor",""))))))</f>
        <v/>
      </c>
    </row>
    <row r="108">
      <c r="A108" t="inlineStr">
        <is>
          <t>Override score (optional entry on the EASI Score sheet)</t>
        </is>
      </c>
      <c r="B108" s="137">
        <f>IF('EASI Score'!$J$35="","",'EASI Score'!$J$35)</f>
        <v/>
      </c>
      <c r="E108" s="139" t="inlineStr">
        <is>
          <t>Replaces the computed rating, as a rating changed in the web application does. Complete observed entries take precedence.</t>
        </is>
      </c>
    </row>
    <row r="109">
      <c r="A109" t="inlineStr">
        <is>
          <t>Function rating</t>
        </is>
      </c>
      <c r="C109" s="140">
        <f>IF(AND(OR('EASI Score'!$J$35="Good",'EASI Score'!$J$35="Fair",'EASI Score'!$J$35="Poor"),NOT(AND(OR('EASI Score'!$J$33="Good",'EASI Score'!$J$33="Fair",'EASI Score'!$J$33="Poor"),LEN(TRIM('EASI Score'!$J$34&amp;""))&gt;0))),'EASI Score'!$J$35,'Metrics'!$C$107)</f>
        <v/>
      </c>
      <c r="D109" s="138">
        <f>IF('Metrics'!$C$109="Good",'Reference'!$B$6,IF('Metrics'!$C$109="Fair",'Reference'!$B$7,IF('Metrics'!$C$109="Poor",'Reference'!$B$8,"")))</f>
        <v/>
      </c>
      <c r="E109" s="139" t="inlineStr">
        <is>
          <t>Observed class with a note replaces the proxy; canal and ditch feature codes rate Poor.</t>
        </is>
      </c>
    </row>
    <row r="110">
      <c r="A110" t="inlineStr">
        <is>
          <t>Function score (0 to 15)</t>
        </is>
      </c>
      <c r="B110" s="140">
        <f>IF('Metrics'!$C$109="Good",'Reference'!$C$6,IF('Metrics'!$C$109="Fair",'Reference'!$C$7,IF('Metrics'!$C$109="Poor",'Reference'!$C$8,"")))</f>
        <v/>
      </c>
    </row>
    <row r="111">
      <c r="A111" t="inlineStr">
        <is>
          <t>Status</t>
        </is>
      </c>
      <c r="B111" s="137">
        <f>IF(AND(OR('EASI Score'!$J$35="Good",'EASI Score'!$J$35="Fair",'EASI Score'!$J$35="Poor"),NOT(AND(OR('EASI Score'!$J$33="Good",'EASI Score'!$J$33="Fair",'EASI Score'!$J$33="Poor"),LEN(TRIM('EASI Score'!$J$34&amp;""))&gt;0))),"override score",IF('Metrics'!$C$109="","not rated","complete"))</f>
        <v/>
      </c>
    </row>
    <row r="113">
      <c r="A113" s="135" t="inlineStr">
        <is>
          <t>10. Channel and floodplain dynamics</t>
        </is>
      </c>
      <c r="B113" s="8" t="inlineStr">
        <is>
          <t>Bank erosion and armoring (bhr-bank-instability-susceptibility, threshold)</t>
        </is>
      </c>
    </row>
    <row r="114">
      <c r="A114" s="136" t="inlineStr">
        <is>
          <t>Item</t>
        </is>
      </c>
      <c r="B114" s="136" t="inlineStr">
        <is>
          <t>Value</t>
        </is>
      </c>
      <c r="C114" s="136" t="inlineStr">
        <is>
          <t>Rating</t>
        </is>
      </c>
      <c r="D114" s="136" t="inlineStr">
        <is>
          <t>Index</t>
        </is>
      </c>
      <c r="E114" s="136" t="inlineStr">
        <is>
          <t>Note</t>
        </is>
      </c>
    </row>
    <row r="115">
      <c r="A115" t="inlineStr">
        <is>
          <t>Bank-height ratio</t>
        </is>
      </c>
      <c r="B115" s="137">
        <f>IF('EASI Score'!$J$23="","",'EASI Score'!$J$23)</f>
        <v/>
      </c>
    </row>
    <row r="116">
      <c r="A116" t="inlineStr">
        <is>
          <t>Observed eroding bank (%)</t>
        </is>
      </c>
      <c r="B116" s="137">
        <f>IF('EASI Score'!$J$37="","",'EASI Score'!$J$37)</f>
        <v/>
      </c>
      <c r="C116" s="137">
        <f>IF(NOT(ISNUMBER('EASI Score'!$J$37)),"",IF('EASI Score'!$J$37&lt;5,"Good",IF(AND('EASI Score'!$J$37&gt;=5,'EASI Score'!$J$37&lt;60),"Fair",IF('EASI Score'!$J$37&gt;=60,"Poor",""))))</f>
        <v/>
      </c>
      <c r="D116" s="138">
        <f>IF('Metrics'!$C$116="Good",'Reference'!$B$6,IF('Metrics'!$C$116="Fair",'Reference'!$B$7,IF('Metrics'!$C$116="Poor",'Reference'!$B$8,"")))</f>
        <v/>
      </c>
    </row>
    <row r="117">
      <c r="A117" t="inlineStr">
        <is>
          <t>Observed armored bank (%)</t>
        </is>
      </c>
      <c r="B117" s="137">
        <f>IF('EASI Score'!$J$38="","",'EASI Score'!$J$38)</f>
        <v/>
      </c>
      <c r="C117" s="137">
        <f>IF(NOT(ISNUMBER('EASI Score'!$J$38)),"",IF('EASI Score'!$J$38&lt;=0,"Good",IF(AND('EASI Score'!$J$38&gt;0,'EASI Score'!$J$38&lt;50),"Fair",IF('EASI Score'!$J$38&gt;=50,"Poor",""))))</f>
        <v/>
      </c>
      <c r="D117" s="138">
        <f>IF('Metrics'!$C$117="Good",'Reference'!$B$6,IF('Metrics'!$C$117="Fair",'Reference'!$B$7,IF('Metrics'!$C$117="Poor",'Reference'!$B$8,"")))</f>
        <v/>
      </c>
    </row>
    <row r="118">
      <c r="A118" t="inlineStr">
        <is>
          <t>Route that applied</t>
        </is>
      </c>
      <c r="B118" s="137">
        <f>IF(AND(OR('EASI Score'!$J$39="Good",'EASI Score'!$J$39="Fair",'EASI Score'!$J$39="Poor"),NOT(AND(ISNUMBER('EASI Score'!$J$37),ISNUMBER('EASI Score'!$J$38)))),"override score",IF(AND(ISNUMBER('EASI Score'!$J$37),ISNUMBER('EASI Score'!$J$38)),"observed bank condition",IF(IF(NOT(ISNUMBER('EASI Score'!$J$23)),"",IF('EASI Score'!$J$23&lt;=1.3,"Good",IF(AND('EASI Score'!$J$23&gt;1.3,'EASI Score'!$J$23&lt;=1.5),"Fair",IF('EASI Score'!$J$23&gt;1.5,"Poor",""))))="","not rated","automatic proxy")))</f>
        <v/>
      </c>
    </row>
    <row r="119">
      <c r="A119" t="inlineStr">
        <is>
          <t>Computed rating (before the override score)</t>
        </is>
      </c>
      <c r="C119" s="137">
        <f>IF(AND(ISNUMBER('EASI Score'!$J$37),ISNUMBER('EASI Score'!$J$38)),IF(NOT(ISNUMBER(MIN('Metrics'!$D$116,'Metrics'!$D$117))),"",IF(MIN('Metrics'!$D$116,'Metrics'!$D$117)='Reference'!$B$6,"Good",IF(MIN('Metrics'!$D$116,'Metrics'!$D$117)='Reference'!$B$7,"Fair",IF(MIN('Metrics'!$D$116,'Metrics'!$D$117)='Reference'!$B$8,"Poor","")))),IF(NOT(ISNUMBER('EASI Score'!$J$23)),"",IF('EASI Score'!$J$23&lt;=1.3,"Good",IF(AND('EASI Score'!$J$23&gt;1.3,'EASI Score'!$J$23&lt;=1.5),"Fair",IF('EASI Score'!$J$23&gt;1.5,"Poor","")))))</f>
        <v/>
      </c>
    </row>
    <row r="120">
      <c r="A120" t="inlineStr">
        <is>
          <t>Override score (optional entry on the EASI Score sheet)</t>
        </is>
      </c>
      <c r="B120" s="137">
        <f>IF('EASI Score'!$J$39="","",'EASI Score'!$J$39)</f>
        <v/>
      </c>
      <c r="E120" s="139" t="inlineStr">
        <is>
          <t>Replaces the computed rating, as a rating changed in the web application does. Complete observed entries take precedence.</t>
        </is>
      </c>
    </row>
    <row r="121">
      <c r="A121" t="inlineStr">
        <is>
          <t>Function rating</t>
        </is>
      </c>
      <c r="C121" s="140">
        <f>IF(AND(OR('EASI Score'!$J$39="Good",'EASI Score'!$J$39="Fair",'EASI Score'!$J$39="Poor"),NOT(AND(ISNUMBER('EASI Score'!$J$37),ISNUMBER('EASI Score'!$J$38)))),'EASI Score'!$J$39,'Metrics'!$C$119)</f>
        <v/>
      </c>
      <c r="D121" s="138">
        <f>IF('Metrics'!$C$121="Good",'Reference'!$B$6,IF('Metrics'!$C$121="Fair",'Reference'!$B$7,IF('Metrics'!$C$121="Poor",'Reference'!$B$8,"")))</f>
        <v/>
      </c>
      <c r="E121" s="139" t="inlineStr">
        <is>
          <t>Both observed bank percentages replace the BHR proxy; the worse component governs.</t>
        </is>
      </c>
    </row>
    <row r="122">
      <c r="A122" t="inlineStr">
        <is>
          <t>Function score (0 to 15)</t>
        </is>
      </c>
      <c r="B122" s="140">
        <f>IF('Metrics'!$C$121="Good",'Reference'!$C$6,IF('Metrics'!$C$121="Fair",'Reference'!$C$7,IF('Metrics'!$C$121="Poor",'Reference'!$C$8,"")))</f>
        <v/>
      </c>
    </row>
    <row r="123">
      <c r="A123" t="inlineStr">
        <is>
          <t>Status</t>
        </is>
      </c>
      <c r="B123" s="137">
        <f>IF(AND(OR('EASI Score'!$J$39="Good",'EASI Score'!$J$39="Fair",'EASI Score'!$J$39="Poor"),NOT(AND(ISNUMBER('EASI Score'!$J$37),ISNUMBER('EASI Score'!$J$38)))),"override score",IF('Metrics'!$C$121="","not rated","complete"))</f>
        <v/>
      </c>
    </row>
    <row r="125">
      <c r="A125" s="135" t="inlineStr">
        <is>
          <t>11. Sediment continuity</t>
        </is>
      </c>
      <c r="B125" s="8" t="inlineStr">
        <is>
          <t>Sediment-supply potential (sediment-supply-potential, worst_index)</t>
        </is>
      </c>
    </row>
    <row r="126">
      <c r="A126" s="136" t="inlineStr">
        <is>
          <t>Item</t>
        </is>
      </c>
      <c r="B126" s="136" t="inlineStr">
        <is>
          <t>Value</t>
        </is>
      </c>
      <c r="C126" s="136" t="inlineStr">
        <is>
          <t>Rating</t>
        </is>
      </c>
      <c r="D126" s="136" t="inlineStr">
        <is>
          <t>Index</t>
        </is>
      </c>
      <c r="E126" s="136" t="inlineStr">
        <is>
          <t>Note</t>
        </is>
      </c>
    </row>
    <row r="127">
      <c r="A127" t="inlineStr">
        <is>
          <t>Agricultural cover</t>
        </is>
      </c>
      <c r="B127" s="137">
        <f>IF('EASI Score'!$J$9="","",'EASI Score'!$J$9)</f>
        <v/>
      </c>
      <c r="C127" s="137">
        <f>IF(NOT(ISNUMBER('EASI Score'!$J$9)),"",IF('EASI Score'!$J$9&lt;30,"Good",IF(AND('EASI Score'!$J$9&gt;=30,'EASI Score'!$J$9&lt;=50),"Fair",IF('EASI Score'!$J$9&gt;50,"Poor",""))))</f>
        <v/>
      </c>
      <c r="D127" s="138">
        <f>IF('Metrics'!$C$127="Good",'Reference'!$B$6,IF('Metrics'!$C$127="Fair",'Reference'!$B$7,IF('Metrics'!$C$127="Poor",'Reference'!$B$8,"")))</f>
        <v/>
      </c>
    </row>
    <row r="128">
      <c r="A128" t="inlineStr">
        <is>
          <t>Soil erodibility K-factor</t>
        </is>
      </c>
      <c r="B128" s="137">
        <f>IF('EASI Score'!$J$41="","",'EASI Score'!$J$41)</f>
        <v/>
      </c>
      <c r="C128" s="137">
        <f>IF(NOT(ISNUMBER('EASI Score'!$J$41)),"",IF('EASI Score'!$J$41&lt;0.25,"Good",IF(AND('EASI Score'!$J$41&gt;=0.25,'EASI Score'!$J$41&lt;=0.4),"Fair",IF('EASI Score'!$J$41&gt;0.4,"Poor",""))))</f>
        <v/>
      </c>
      <c r="D128" s="138">
        <f>IF('Metrics'!$C$128="Good",'Reference'!$B$6,IF('Metrics'!$C$128="Fair",'Reference'!$B$7,IF('Metrics'!$C$128="Poor",'Reference'!$B$8,"")))</f>
        <v/>
      </c>
    </row>
    <row r="129">
      <c r="A129" t="inlineStr">
        <is>
          <t>Road density</t>
        </is>
      </c>
      <c r="B129" s="137">
        <f>IF('EASI Score'!$J$15="","",'EASI Score'!$J$15)</f>
        <v/>
      </c>
      <c r="C129" s="137">
        <f>IF(NOT(ISNUMBER('EASI Score'!$J$15)),"",IF('EASI Score'!$J$15&lt;1.24,"Good",IF(AND('EASI Score'!$J$15&gt;=1.24,'EASI Score'!$J$15&lt;1.86),"Fair",IF('EASI Score'!$J$15&gt;=1.86,"Poor",""))))</f>
        <v/>
      </c>
      <c r="D129" s="138">
        <f>IF('Metrics'!$C$129="Good",'Reference'!$B$6,IF('Metrics'!$C$129="Fair",'Reference'!$B$7,IF('Metrics'!$C$129="Poor",'Reference'!$B$8,"")))</f>
        <v/>
      </c>
    </row>
    <row r="130">
      <c r="A130" t="inlineStr">
        <is>
          <t>Governing input</t>
        </is>
      </c>
      <c r="B130" s="137">
        <f>IF('Metrics'!$B$131="","",INDEX('Metrics'!$A$127:$A$129,MATCH('Metrics'!$B$131,'Metrics'!$D$127:$D$129,0)))</f>
        <v/>
      </c>
    </row>
    <row r="131">
      <c r="A131" t="inlineStr">
        <is>
          <t>Combined rating index (the more limiting input)</t>
        </is>
      </c>
      <c r="B131" s="138">
        <f>IF(COUNT('Metrics'!$D$127:$D$129)&lt;3,"",MIN('Metrics'!$D$127:$D$129))</f>
        <v/>
      </c>
    </row>
    <row r="132">
      <c r="A132" t="inlineStr">
        <is>
          <t>Route that applied</t>
        </is>
      </c>
      <c r="B132" s="137">
        <f>IF(OR('EASI Score'!$J$43="Good",'EASI Score'!$J$43="Fair",'EASI Score'!$J$43="Poor"),"override score","automatic method")</f>
        <v/>
      </c>
    </row>
    <row r="133">
      <c r="A133" t="inlineStr">
        <is>
          <t>Computed rating (before the override score)</t>
        </is>
      </c>
      <c r="C133" s="137">
        <f>IF(NOT(ISNUMBER('Metrics'!$B$131)),"",IF('Metrics'!$B$131='Reference'!$B$6,"Good",IF('Metrics'!$B$131='Reference'!$B$7,"Fair",IF('Metrics'!$B$131='Reference'!$B$8,"Poor",""))))</f>
        <v/>
      </c>
    </row>
    <row r="134">
      <c r="A134" t="inlineStr">
        <is>
          <t>Override score (optional entry on the EASI Score sheet)</t>
        </is>
      </c>
      <c r="B134" s="137">
        <f>IF('EASI Score'!$J$43="","",'EASI Score'!$J$43)</f>
        <v/>
      </c>
      <c r="E134" s="139" t="inlineStr">
        <is>
          <t>Replaces the computed rating, as a rating changed in the web application does.</t>
        </is>
      </c>
    </row>
    <row r="135">
      <c r="A135" t="inlineStr">
        <is>
          <t>Function rating</t>
        </is>
      </c>
      <c r="C135" s="140">
        <f>IF(OR('EASI Score'!$J$43="Good",'EASI Score'!$J$43="Fair",'EASI Score'!$J$43="Poor"),'EASI Score'!$J$43,'Metrics'!$C$133)</f>
        <v/>
      </c>
      <c r="D135" s="138">
        <f>IF('Metrics'!$C$135="Good",'Reference'!$B$6,IF('Metrics'!$C$135="Fair",'Reference'!$B$7,IF('Metrics'!$C$135="Poor",'Reference'!$B$8,"")))</f>
        <v/>
      </c>
      <c r="E135" s="139" t="inlineStr">
        <is>
          <t>All three inputs are required.</t>
        </is>
      </c>
    </row>
    <row r="136">
      <c r="A136" t="inlineStr">
        <is>
          <t>Function score (0 to 15)</t>
        </is>
      </c>
      <c r="B136" s="140">
        <f>IF('Metrics'!$C$135="Good",'Reference'!$C$6,IF('Metrics'!$C$135="Fair",'Reference'!$C$7,IF('Metrics'!$C$135="Poor",'Reference'!$C$8,"")))</f>
        <v/>
      </c>
    </row>
    <row r="137">
      <c r="A137" t="inlineStr">
        <is>
          <t>Status</t>
        </is>
      </c>
      <c r="B137" s="137">
        <f>IF(OR('EASI Score'!$J$43="Good",'EASI Score'!$J$43="Fair",'EASI Score'!$J$43="Poor"),"override score",IF(COUNT('Metrics'!$D$127:$D$129)&lt;3,"not rated","complete"))</f>
        <v/>
      </c>
    </row>
    <row r="139">
      <c r="A139" s="135" t="inlineStr">
        <is>
          <t>12. Bed composition and large wood</t>
        </is>
      </c>
      <c r="B139" s="8" t="inlineStr">
        <is>
          <t>Substrate condition (watershed-agriculture-share, threshold)</t>
        </is>
      </c>
    </row>
    <row r="140">
      <c r="A140" s="136" t="inlineStr">
        <is>
          <t>Item</t>
        </is>
      </c>
      <c r="B140" s="136" t="inlineStr">
        <is>
          <t>Value</t>
        </is>
      </c>
      <c r="C140" s="136" t="inlineStr">
        <is>
          <t>Rating</t>
        </is>
      </c>
      <c r="D140" s="136" t="inlineStr">
        <is>
          <t>Index</t>
        </is>
      </c>
      <c r="E140" s="136" t="inlineStr">
        <is>
          <t>Note</t>
        </is>
      </c>
    </row>
    <row r="141">
      <c r="A141" t="inlineStr">
        <is>
          <t>Watershed agricultural cover</t>
        </is>
      </c>
      <c r="B141" s="137">
        <f>IF('EASI Score'!$J$9="","",'EASI Score'!$J$9)</f>
        <v/>
      </c>
    </row>
    <row r="142">
      <c r="A142" t="inlineStr">
        <is>
          <t>Route that applied</t>
        </is>
      </c>
      <c r="B142" s="137">
        <f>IF(OR('EASI Score'!$J$45="Good",'EASI Score'!$J$45="Fair",'EASI Score'!$J$45="Poor"),"override score","automatic method")</f>
        <v/>
      </c>
    </row>
    <row r="143">
      <c r="A143" t="inlineStr">
        <is>
          <t>Computed rating (before the override score)</t>
        </is>
      </c>
      <c r="C143" s="137">
        <f>IF(NOT(ISNUMBER('EASI Score'!$J$9)),"",IF('EASI Score'!$J$9&lt;30,"Good",IF(AND('EASI Score'!$J$9&gt;=30,'EASI Score'!$J$9&lt;=50),"Fair",IF('EASI Score'!$J$9&gt;50,"Poor",""))))</f>
        <v/>
      </c>
    </row>
    <row r="144">
      <c r="A144" t="inlineStr">
        <is>
          <t>Override score (optional entry on the EASI Score sheet)</t>
        </is>
      </c>
      <c r="B144" s="137">
        <f>IF('EASI Score'!$J$45="","",'EASI Score'!$J$45)</f>
        <v/>
      </c>
      <c r="E144" s="139" t="inlineStr">
        <is>
          <t>Replaces the computed rating, as a rating changed in the web application does.</t>
        </is>
      </c>
    </row>
    <row r="145">
      <c r="A145" t="inlineStr">
        <is>
          <t>Function rating</t>
        </is>
      </c>
      <c r="C145" s="140">
        <f>IF(OR('EASI Score'!$J$45="Good",'EASI Score'!$J$45="Fair",'EASI Score'!$J$45="Poor"),'EASI Score'!$J$45,'Metrics'!$C$143)</f>
        <v/>
      </c>
      <c r="D145" s="138">
        <f>IF('Metrics'!$C$145="Good",'Reference'!$B$6,IF('Metrics'!$C$145="Fair",'Reference'!$B$7,IF('Metrics'!$C$145="Poor",'Reference'!$B$8,"")))</f>
        <v/>
      </c>
      <c r="E145" s="139" t="inlineStr">
        <is>
          <t>Pressure proxy sharing the agriculture input of Catchment hydrology; not a bed measurement.</t>
        </is>
      </c>
    </row>
    <row r="146">
      <c r="A146" t="inlineStr">
        <is>
          <t>Function score (0 to 15)</t>
        </is>
      </c>
      <c r="B146" s="140">
        <f>IF('Metrics'!$C$145="Good",'Reference'!$C$6,IF('Metrics'!$C$145="Fair",'Reference'!$C$7,IF('Metrics'!$C$145="Poor",'Reference'!$C$8,"")))</f>
        <v/>
      </c>
    </row>
    <row r="147">
      <c r="A147" t="inlineStr">
        <is>
          <t>Status</t>
        </is>
      </c>
      <c r="B147" s="137">
        <f>IF(OR('EASI Score'!$J$45="Good",'EASI Score'!$J$45="Fair",'EASI Score'!$J$45="Poor"),"override score",IF('Metrics'!$C$145="","not rated","complete"))</f>
        <v/>
      </c>
    </row>
    <row r="149">
      <c r="A149" s="135" t="inlineStr">
        <is>
          <t>13. Light &amp; thermal regime</t>
        </is>
      </c>
      <c r="B149" s="8" t="inlineStr">
        <is>
          <t>Thermal-regulation vulnerability (thermal-regulation-vulnerability, worst_index)</t>
        </is>
      </c>
    </row>
    <row r="150">
      <c r="A150" s="136" t="inlineStr">
        <is>
          <t>Item</t>
        </is>
      </c>
      <c r="B150" s="136" t="inlineStr">
        <is>
          <t>Value</t>
        </is>
      </c>
      <c r="C150" s="136" t="inlineStr">
        <is>
          <t>Rating</t>
        </is>
      </c>
      <c r="D150" s="136" t="inlineStr">
        <is>
          <t>Index</t>
        </is>
      </c>
      <c r="E150" s="136" t="inlineStr">
        <is>
          <t>Note</t>
        </is>
      </c>
    </row>
    <row r="151">
      <c r="A151" s="8" t="inlineStr">
        <is>
          <t>Reference curve used (corridor-woody, nars9, national fallback)</t>
        </is>
      </c>
      <c r="B151" s="137">
        <f>IFERROR(MATCH("corridor-woody|"&amp;'EASI Score'!$K$3,'Reference'!$A$90:$A$123,0),MATCH("corridor-woody|national",'Reference'!$A$90:$A$123,0))</f>
        <v/>
      </c>
      <c r="E151" s="141">
        <f>INDEX('Reference'!$A$90:$A$123,'Metrics'!$B$151)</f>
        <v/>
      </c>
    </row>
    <row r="152">
      <c r="A152" s="8" t="inlineStr">
        <is>
          <t>Curve index (interpolated, 0 to 1; Good at or above 0.69, Fair at or above 0.39)</t>
        </is>
      </c>
      <c r="B152" s="142">
        <f>IF(NOT(ISNUMBER('EASI Score'!$J$46)),"",MAX(0,MIN(1,IF('EASI Score'!$J$46&lt;=INDEX('Reference'!$G$90:$G$123,'Metrics'!$B$151),INDEX('Reference'!$H$90:$H$123,'Metrics'!$B$151),IF('EASI Score'!$J$46&gt;=INDEX('Reference'!$O$90:$O$123,'Metrics'!$B$151),INDEX('Reference'!$P$90:$P$123,'Metrics'!$B$151),IF('EASI Score'!$J$46&lt;=INDEX('Reference'!$I$90:$I$123,'Metrics'!$B$151),INDEX('Reference'!$H$90:$H$123,'Metrics'!$B$151)+(('EASI Score'!$J$46-INDEX('Reference'!$G$90:$G$123,'Metrics'!$B$151))/(INDEX('Reference'!$I$90:$I$123,'Metrics'!$B$151)-INDEX('Reference'!$G$90:$G$123,'Metrics'!$B$151)))*(INDEX('Reference'!$J$90:$J$123,'Metrics'!$B$151)-INDEX('Reference'!$H$90:$H$123,'Metrics'!$B$151)),IF('EASI Score'!$J$46&lt;=INDEX('Reference'!$K$90:$K$123,'Metrics'!$B$151),INDEX('Reference'!$J$90:$J$123,'Metrics'!$B$151)+(('EASI Score'!$J$46-INDEX('Reference'!$I$90:$I$123,'Metrics'!$B$151))/(INDEX('Reference'!$K$90:$K$123,'Metrics'!$B$151)-INDEX('Reference'!$I$90:$I$123,'Metrics'!$B$151)))*(INDEX('Reference'!$L$90:$L$123,'Metrics'!$B$151)-INDEX('Reference'!$J$90:$J$123,'Metrics'!$B$151)),IF('EASI Score'!$J$46&lt;=INDEX('Reference'!$M$90:$M$123,'Metrics'!$B$151),INDEX('Reference'!$L$90:$L$123,'Metrics'!$B$151)+(('EASI Score'!$J$46-INDEX('Reference'!$K$90:$K$123,'Metrics'!$B$151))/(INDEX('Reference'!$M$90:$M$123,'Metrics'!$B$151)-INDEX('Reference'!$K$90:$K$123,'Metrics'!$B$151)))*(INDEX('Reference'!$N$90:$N$123,'Metrics'!$B$151)-INDEX('Reference'!$L$90:$L$123,'Metrics'!$B$151)),INDEX('Reference'!$N$90:$N$123,'Metrics'!$B$151)+(('EASI Score'!$J$46-INDEX('Reference'!$M$90:$M$123,'Metrics'!$B$151))/(INDEX('Reference'!$O$90:$O$123,'Metrics'!$B$151)-INDEX('Reference'!$M$90:$M$123,'Metrics'!$B$151)))*(INDEX('Reference'!$P$90:$P$123,'Metrics'!$B$151)-INDEX('Reference'!$N$90:$N$123,'Metrics'!$B$151))))))))))</f>
        <v/>
      </c>
    </row>
    <row r="153">
      <c r="A153" t="inlineStr">
        <is>
          <t>Woody riparian cover</t>
        </is>
      </c>
      <c r="B153" s="137">
        <f>IF('EASI Score'!$J$46="","",'EASI Score'!$J$46)</f>
        <v/>
      </c>
      <c r="C153" s="137">
        <f>IF(NOT(ISNUMBER('Metrics'!$B$152)),"",IF('Metrics'!$B$152&gt;=0.69,"Good",IF('Metrics'!$B$152&gt;=0.39,"Fair","Poor")))</f>
        <v/>
      </c>
      <c r="D153" s="138">
        <f>IF('Metrics'!$C$153="Good",'Reference'!$B$6,IF('Metrics'!$C$153="Fair",'Reference'!$B$7,IF('Metrics'!$C$153="Poor",'Reference'!$B$8,"")))</f>
        <v/>
      </c>
    </row>
    <row r="154">
      <c r="A154" t="inlineStr">
        <is>
          <t>Watershed impervious cover</t>
        </is>
      </c>
      <c r="B154" s="137">
        <f>IF('EASI Score'!$J$8="","",'EASI Score'!$J$8)</f>
        <v/>
      </c>
      <c r="C154" s="137">
        <f>IF(NOT(ISNUMBER('EASI Score'!$J$8)),"",IF('EASI Score'!$J$8&lt;10,"Good",IF(AND('EASI Score'!$J$8&gt;=10,'EASI Score'!$J$8&lt;=25),"Fair",IF('EASI Score'!$J$8&gt;25,"Poor",""))))</f>
        <v/>
      </c>
      <c r="D154" s="138">
        <f>IF('Metrics'!$C$154="Good",'Reference'!$B$6,IF('Metrics'!$C$154="Fair",'Reference'!$B$7,IF('Metrics'!$C$154="Poor",'Reference'!$B$8,"")))</f>
        <v/>
      </c>
    </row>
    <row r="155">
      <c r="A155" t="inlineStr">
        <is>
          <t>Governing input</t>
        </is>
      </c>
      <c r="B155" s="137">
        <f>IF('Metrics'!$B$156="","",INDEX('Metrics'!$A$153:$A$154,MATCH('Metrics'!$B$156,'Metrics'!$D$153:$D$154,0)))</f>
        <v/>
      </c>
    </row>
    <row r="156">
      <c r="A156" t="inlineStr">
        <is>
          <t>Combined rating index (the more limiting input)</t>
        </is>
      </c>
      <c r="B156" s="138">
        <f>IF(COUNT('Metrics'!$D$153:$D$154)&lt;2,"",MIN('Metrics'!$D$153:$D$154))</f>
        <v/>
      </c>
    </row>
    <row r="157">
      <c r="A157" t="inlineStr">
        <is>
          <t>Route that applied</t>
        </is>
      </c>
      <c r="B157" s="137">
        <f>IF(OR('EASI Score'!$J$48="Good",'EASI Score'!$J$48="Fair",'EASI Score'!$J$48="Poor"),"override score","automatic method")</f>
        <v/>
      </c>
    </row>
    <row r="158">
      <c r="A158" t="inlineStr">
        <is>
          <t>Computed rating (before the override score)</t>
        </is>
      </c>
      <c r="C158" s="137">
        <f>IF(NOT(ISNUMBER('Metrics'!$B$156)),"",IF('Metrics'!$B$156='Reference'!$B$6,"Good",IF('Metrics'!$B$156='Reference'!$B$7,"Fair",IF('Metrics'!$B$156='Reference'!$B$8,"Poor",""))))</f>
        <v/>
      </c>
    </row>
    <row r="159">
      <c r="A159" t="inlineStr">
        <is>
          <t>Override score (optional entry on the EASI Score sheet)</t>
        </is>
      </c>
      <c r="B159" s="137">
        <f>IF('EASI Score'!$J$48="","",'EASI Score'!$J$48)</f>
        <v/>
      </c>
      <c r="E159" s="139" t="inlineStr">
        <is>
          <t>Replaces the computed rating, as a rating changed in the web application does.</t>
        </is>
      </c>
    </row>
    <row r="160">
      <c r="A160" t="inlineStr">
        <is>
          <t>Function rating</t>
        </is>
      </c>
      <c r="C160" s="140">
        <f>IF(OR('EASI Score'!$J$48="Good",'EASI Score'!$J$48="Fair",'EASI Score'!$J$48="Poor"),'EASI Score'!$J$48,'Metrics'!$C$158)</f>
        <v/>
      </c>
      <c r="D160" s="138">
        <f>IF('Metrics'!$C$160="Good",'Reference'!$B$6,IF('Metrics'!$C$160="Fair",'Reference'!$B$7,IF('Metrics'!$C$160="Poor",'Reference'!$B$8,"")))</f>
        <v/>
      </c>
      <c r="E160" s="139" t="inlineStr">
        <is>
          <t>Both inputs are required.</t>
        </is>
      </c>
    </row>
    <row r="161">
      <c r="A161" t="inlineStr">
        <is>
          <t>Function score (0 to 15)</t>
        </is>
      </c>
      <c r="B161" s="140">
        <f>IF('Metrics'!$C$160="Good",'Reference'!$C$6,IF('Metrics'!$C$160="Fair",'Reference'!$C$7,IF('Metrics'!$C$160="Poor",'Reference'!$C$8,"")))</f>
        <v/>
      </c>
    </row>
    <row r="162">
      <c r="A162" t="inlineStr">
        <is>
          <t>Status</t>
        </is>
      </c>
      <c r="B162" s="137">
        <f>IF(OR('EASI Score'!$J$48="Good",'EASI Score'!$J$48="Fair",'EASI Score'!$J$48="Poor"),"override score",IF(COUNT('Metrics'!$D$153:$D$154)&lt;2,"not rated","complete"))</f>
        <v/>
      </c>
    </row>
    <row r="164">
      <c r="A164" s="135" t="inlineStr">
        <is>
          <t>14. Carbon processing</t>
        </is>
      </c>
      <c r="B164" s="8" t="inlineStr">
        <is>
          <t>Organic-matter supply potential proxy (organic-matter-supply-potential, sum_capped)</t>
        </is>
      </c>
    </row>
    <row r="165">
      <c r="A165" s="136" t="inlineStr">
        <is>
          <t>Item</t>
        </is>
      </c>
      <c r="B165" s="136" t="inlineStr">
        <is>
          <t>Value</t>
        </is>
      </c>
      <c r="C165" s="136" t="inlineStr">
        <is>
          <t>Rating</t>
        </is>
      </c>
      <c r="D165" s="136" t="inlineStr">
        <is>
          <t>Index</t>
        </is>
      </c>
      <c r="E165" s="136" t="inlineStr">
        <is>
          <t>Note</t>
        </is>
      </c>
    </row>
    <row r="166">
      <c r="A166" t="inlineStr">
        <is>
          <t>Riparian forest</t>
        </is>
      </c>
      <c r="B166" s="137">
        <f>IF('EASI Score'!$J$49="","",'EASI Score'!$J$49)</f>
        <v/>
      </c>
    </row>
    <row r="167">
      <c r="A167" t="inlineStr">
        <is>
          <t>Riparian shrub</t>
        </is>
      </c>
      <c r="B167" s="137">
        <f>IF('EASI Score'!$J$50="","",'EASI Score'!$J$50)</f>
        <v/>
      </c>
    </row>
    <row r="168">
      <c r="A168" t="inlineStr">
        <is>
          <t>Riparian grassland</t>
        </is>
      </c>
      <c r="B168" s="137">
        <f>IF('EASI Score'!$J$51="","",'EASI Score'!$J$51)</f>
        <v/>
      </c>
    </row>
    <row r="169">
      <c r="A169" t="inlineStr">
        <is>
          <t>Riparian wetland</t>
        </is>
      </c>
      <c r="B169" s="137">
        <f>IF('EASI Score'!$J$52="","",'EASI Score'!$J$52)</f>
        <v/>
      </c>
    </row>
    <row r="170">
      <c r="A170" t="inlineStr">
        <is>
          <t>Combined value (sum capped at 100)</t>
        </is>
      </c>
      <c r="B170" s="137">
        <f>IF(AND(ISNUMBER('EASI Score'!$J$49),ISNUMBER('EASI Score'!$J$50),ISNUMBER('EASI Score'!$J$51),ISNUMBER('EASI Score'!$J$52)),ROUND(MIN('EASI Score'!$J$49+'EASI Score'!$J$50+'EASI Score'!$J$51+'EASI Score'!$J$52,100),12),"")</f>
        <v/>
      </c>
    </row>
    <row r="171">
      <c r="A171" s="8" t="inlineStr">
        <is>
          <t>Reference curve used (corridor-natural, nars9, national fallback)</t>
        </is>
      </c>
      <c r="B171" s="137">
        <f>IFERROR(MATCH("corridor-natural|"&amp;'EASI Score'!$K$3,'Reference'!$A$90:$A$123,0),MATCH("corridor-natural|national",'Reference'!$A$90:$A$123,0))</f>
        <v/>
      </c>
      <c r="E171" s="141">
        <f>INDEX('Reference'!$A$90:$A$123,'Metrics'!$B$171)</f>
        <v/>
      </c>
    </row>
    <row r="172">
      <c r="A172" s="8" t="inlineStr">
        <is>
          <t>Curve index (interpolated, 0 to 1; Good at or above 0.69, Fair at or above 0.39)</t>
        </is>
      </c>
      <c r="B172" s="142">
        <f>IF(NOT(ISNUMBER('Metrics'!$B$170)),"",MAX(0,MIN(1,IF('Metrics'!$B$170&lt;=INDEX('Reference'!$G$90:$G$123,'Metrics'!$B$171),INDEX('Reference'!$H$90:$H$123,'Metrics'!$B$171),IF('Metrics'!$B$170&gt;=INDEX('Reference'!$O$90:$O$123,'Metrics'!$B$171),INDEX('Reference'!$P$90:$P$123,'Metrics'!$B$171),IF('Metrics'!$B$170&lt;=INDEX('Reference'!$I$90:$I$123,'Metrics'!$B$171),INDEX('Reference'!$H$90:$H$123,'Metrics'!$B$171)+(('Metrics'!$B$170-INDEX('Reference'!$G$90:$G$123,'Metrics'!$B$171))/(INDEX('Reference'!$I$90:$I$123,'Metrics'!$B$171)-INDEX('Reference'!$G$90:$G$123,'Metrics'!$B$171)))*(INDEX('Reference'!$J$90:$J$123,'Metrics'!$B$171)-INDEX('Reference'!$H$90:$H$123,'Metrics'!$B$171)),IF('Metrics'!$B$170&lt;=INDEX('Reference'!$K$90:$K$123,'Metrics'!$B$171),INDEX('Reference'!$J$90:$J$123,'Metrics'!$B$171)+(('Metrics'!$B$170-INDEX('Reference'!$I$90:$I$123,'Metrics'!$B$171))/(INDEX('Reference'!$K$90:$K$123,'Metrics'!$B$171)-INDEX('Reference'!$I$90:$I$123,'Metrics'!$B$171)))*(INDEX('Reference'!$L$90:$L$123,'Metrics'!$B$171)-INDEX('Reference'!$J$90:$J$123,'Metrics'!$B$171)),IF('Metrics'!$B$170&lt;=INDEX('Reference'!$M$90:$M$123,'Metrics'!$B$171),INDEX('Reference'!$L$90:$L$123,'Metrics'!$B$171)+(('Metrics'!$B$170-INDEX('Reference'!$K$90:$K$123,'Metrics'!$B$171))/(INDEX('Reference'!$M$90:$M$123,'Metrics'!$B$171)-INDEX('Reference'!$K$90:$K$123,'Metrics'!$B$171)))*(INDEX('Reference'!$N$90:$N$123,'Metrics'!$B$171)-INDEX('Reference'!$L$90:$L$123,'Metrics'!$B$171)),INDEX('Reference'!$N$90:$N$123,'Metrics'!$B$171)+(('Metrics'!$B$170-INDEX('Reference'!$M$90:$M$123,'Metrics'!$B$171))/(INDEX('Reference'!$O$90:$O$123,'Metrics'!$B$171)-INDEX('Reference'!$M$90:$M$123,'Metrics'!$B$171)))*(INDEX('Reference'!$P$90:$P$123,'Metrics'!$B$171)-INDEX('Reference'!$N$90:$N$123,'Metrics'!$B$171))))))))))</f>
        <v/>
      </c>
    </row>
    <row r="173">
      <c r="A173" t="inlineStr">
        <is>
          <t>Route that applied</t>
        </is>
      </c>
      <c r="B173" s="137">
        <f>IF(OR('EASI Score'!$J$54="Good",'EASI Score'!$J$54="Fair",'EASI Score'!$J$54="Poor"),"override score","automatic method")</f>
        <v/>
      </c>
    </row>
    <row r="174">
      <c r="A174" t="inlineStr">
        <is>
          <t>Computed rating (before the override score)</t>
        </is>
      </c>
      <c r="C174" s="137">
        <f>IF(NOT(ISNUMBER('Metrics'!$B$172)),"",IF('Metrics'!$B$172&gt;=0.69,"Good",IF('Metrics'!$B$172&gt;=0.39,"Fair","Poor")))</f>
        <v/>
      </c>
    </row>
    <row r="175">
      <c r="A175" t="inlineStr">
        <is>
          <t>Override score (optional entry on the EASI Score sheet)</t>
        </is>
      </c>
      <c r="B175" s="137">
        <f>IF('EASI Score'!$J$54="","",'EASI Score'!$J$54)</f>
        <v/>
      </c>
      <c r="E175" s="139" t="inlineStr">
        <is>
          <t>Replaces the computed rating, as a rating changed in the web application does.</t>
        </is>
      </c>
    </row>
    <row r="176">
      <c r="A176" t="inlineStr">
        <is>
          <t>Function rating</t>
        </is>
      </c>
      <c r="C176" s="140">
        <f>IF(OR('EASI Score'!$J$54="Good",'EASI Score'!$J$54="Fair",'EASI Score'!$J$54="Poor"),'EASI Score'!$J$54,'Metrics'!$C$174)</f>
        <v/>
      </c>
      <c r="D176" s="138">
        <f>IF('Metrics'!$C$176="Good",'Reference'!$B$6,IF('Metrics'!$C$176="Fair",'Reference'!$B$7,IF('Metrics'!$C$176="Poor",'Reference'!$B$8,"")))</f>
        <v/>
      </c>
      <c r="E176" s="139" t="inlineStr">
        <is>
          <t>All classes are required. A missing class is unknown, not zero.</t>
        </is>
      </c>
    </row>
    <row r="177">
      <c r="A177" t="inlineStr">
        <is>
          <t>Function score (0 to 15)</t>
        </is>
      </c>
      <c r="B177" s="140">
        <f>IF('Metrics'!$C$176="Good",'Reference'!$C$6,IF('Metrics'!$C$176="Fair",'Reference'!$C$7,IF('Metrics'!$C$176="Poor",'Reference'!$C$8,"")))</f>
        <v/>
      </c>
    </row>
    <row r="178">
      <c r="A178" t="inlineStr">
        <is>
          <t>Status</t>
        </is>
      </c>
      <c r="B178" s="137">
        <f>IF(OR('EASI Score'!$J$54="Good",'EASI Score'!$J$54="Fair",'EASI Score'!$J$54="Poor"),"override score",IF('Metrics'!$C$176="","not rated","complete"))</f>
        <v/>
      </c>
    </row>
    <row r="180">
      <c r="A180" s="135" t="inlineStr">
        <is>
          <t>15. Nutrient cycling</t>
        </is>
      </c>
      <c r="B180" s="8" t="inlineStr">
        <is>
          <t>Nutrient condition (regional-nutrient-condition, worst_index)</t>
        </is>
      </c>
    </row>
    <row r="181">
      <c r="A181" s="136" t="inlineStr">
        <is>
          <t>Item</t>
        </is>
      </c>
      <c r="B181" s="136" t="inlineStr">
        <is>
          <t>Value</t>
        </is>
      </c>
      <c r="C181" s="136" t="inlineStr">
        <is>
          <t>Rating</t>
        </is>
      </c>
      <c r="D181" s="136" t="inlineStr">
        <is>
          <t>Index</t>
        </is>
      </c>
      <c r="E181" s="136" t="inlineStr">
        <is>
          <t>Note</t>
        </is>
      </c>
    </row>
    <row r="182">
      <c r="A182" t="inlineStr">
        <is>
          <t>Total nitrogen (mg/L)</t>
        </is>
      </c>
      <c r="B182" s="137">
        <f>IF('EASI Score'!$J$55="","",'EASI Score'!$J$55)</f>
        <v/>
      </c>
      <c r="C182" s="137">
        <f>IF(NOT(ISNUMBER('EASI Score'!$J$55)),"",IFERROR(IF('EASI Score'!$J$55&lt;=INDEX('Reference'!$B$127:$B$135,MATCH('EASI Score'!$K$3,'Reference'!$A$127:$A$135,0)),"Good",IF('EASI Score'!$J$55&gt;=INDEX('Reference'!$C$127:$C$135,MATCH('EASI Score'!$K$3,'Reference'!$A$127:$A$135,0)),"Poor","Fair")),""))</f>
        <v/>
      </c>
      <c r="D182" s="138">
        <f>IF('Metrics'!$C$182="Good",'Reference'!$B$6,IF('Metrics'!$C$182="Fair",'Reference'!$B$7,IF('Metrics'!$C$182="Poor",'Reference'!$B$8,"")))</f>
        <v/>
      </c>
    </row>
    <row r="183">
      <c r="A183" t="inlineStr">
        <is>
          <t>Total phosphorus (mg/L)</t>
        </is>
      </c>
      <c r="B183" s="137">
        <f>IF('EASI Score'!$J$56="","",'EASI Score'!$J$56)</f>
        <v/>
      </c>
      <c r="C183" s="137">
        <f>IF(NOT(ISNUMBER('EASI Score'!$J$56)),"",IFERROR(IF('EASI Score'!$J$56&lt;=INDEX('Reference'!$D$127:$D$135,MATCH('EASI Score'!$K$3,'Reference'!$A$127:$A$135,0)),"Good",IF('EASI Score'!$J$56&gt;=INDEX('Reference'!$E$127:$E$135,MATCH('EASI Score'!$K$3,'Reference'!$A$127:$A$135,0)),"Poor","Fair")),""))</f>
        <v/>
      </c>
      <c r="D183" s="138">
        <f>IF('Metrics'!$C$183="Good",'Reference'!$B$6,IF('Metrics'!$C$183="Fair",'Reference'!$B$7,IF('Metrics'!$C$183="Poor",'Reference'!$B$8,"")))</f>
        <v/>
      </c>
    </row>
    <row r="184">
      <c r="A184" t="inlineStr">
        <is>
          <t>CHEM fallback value (lower of catchment and watershed)</t>
        </is>
      </c>
      <c r="B184" s="137">
        <f>IF(AND(ISNUMBER('EASI Score'!$J$57),ISNUMBER('EASI Score'!$J$58)),ROUND(MIN('EASI Score'!$J$57,'EASI Score'!$J$58),12),"")</f>
        <v/>
      </c>
    </row>
    <row r="185">
      <c r="A185" t="inlineStr">
        <is>
          <t>Route that applied</t>
        </is>
      </c>
      <c r="B185" s="137">
        <f>IF(OR('EASI Score'!$J$59="Good",'EASI Score'!$J$59="Fair",'EASI Score'!$J$59="Poor"),"override score",IF(COUNT('Metrics'!$D$182:$D$183)&gt;0,"WQP nutrients with regional thresholds",IF(IF(NOT(ISNUMBER('Metrics'!$B$184)),"",IF('Metrics'!$B$184&lt;0.4,"Poor",IF(AND('Metrics'!$B$184&gt;=0.4,'Metrics'!$B$184&lt;0.7),"Fair",IF('Metrics'!$B$184&gt;=0.7,"Good",""))))="","not rated","CHEM integrity fallback")))</f>
        <v/>
      </c>
    </row>
    <row r="186">
      <c r="A186" t="inlineStr">
        <is>
          <t>Computed rating (before the override score)</t>
        </is>
      </c>
      <c r="C186" s="137">
        <f>IF(COUNT('Metrics'!$D$182:$D$183)&gt;0,IF(NOT(ISNUMBER(MIN('Metrics'!$D$182:$D$183))),"",IF(MIN('Metrics'!$D$182:$D$183)='Reference'!$B$6,"Good",IF(MIN('Metrics'!$D$182:$D$183)='Reference'!$B$7,"Fair",IF(MIN('Metrics'!$D$182:$D$183)='Reference'!$B$8,"Poor","")))),IF(NOT(ISNUMBER('Metrics'!$B$184)),"",IF('Metrics'!$B$184&lt;0.4,"Poor",IF(AND('Metrics'!$B$184&gt;=0.4,'Metrics'!$B$184&lt;0.7),"Fair",IF('Metrics'!$B$184&gt;=0.7,"Good","")))))</f>
        <v/>
      </c>
    </row>
    <row r="187">
      <c r="A187" t="inlineStr">
        <is>
          <t>Override score (optional entry on the EASI Score sheet)</t>
        </is>
      </c>
      <c r="B187" s="137">
        <f>IF('EASI Score'!$J$59="","",'EASI Score'!$J$59)</f>
        <v/>
      </c>
      <c r="E187" s="139" t="inlineStr">
        <is>
          <t>Replaces the computed rating, as a rating changed in the web application does.</t>
        </is>
      </c>
    </row>
    <row r="188">
      <c r="A188" t="inlineStr">
        <is>
          <t>Function rating</t>
        </is>
      </c>
      <c r="C188" s="140">
        <f>IF(OR('EASI Score'!$J$59="Good",'EASI Score'!$J$59="Fair",'EASI Score'!$J$59="Poor"),'EASI Score'!$J$59,'Metrics'!$C$186)</f>
        <v/>
      </c>
      <c r="D188" s="138">
        <f>IF('Metrics'!$C$188="Good",'Reference'!$B$6,IF('Metrics'!$C$188="Fair",'Reference'!$B$7,IF('Metrics'!$C$188="Poor",'Reference'!$B$8,"")))</f>
        <v/>
      </c>
      <c r="E188" s="139" t="inlineStr">
        <is>
          <t>One rated analyte gives a partial rating; the worse analyte governs. Without a region or observations the CHEM index decides.</t>
        </is>
      </c>
    </row>
    <row r="189">
      <c r="A189" t="inlineStr">
        <is>
          <t>Function score (0 to 15)</t>
        </is>
      </c>
      <c r="B189" s="140">
        <f>IF('Metrics'!$C$188="Good",'Reference'!$C$6,IF('Metrics'!$C$188="Fair",'Reference'!$C$7,IF('Metrics'!$C$188="Poor",'Reference'!$C$8,"")))</f>
        <v/>
      </c>
    </row>
    <row r="190">
      <c r="A190" t="inlineStr">
        <is>
          <t>Status</t>
        </is>
      </c>
      <c r="B190" s="137">
        <f>IF(OR('EASI Score'!$J$59="Good",'EASI Score'!$J$59="Fair",'EASI Score'!$J$59="Poor"),"override score",IF(COUNT('Metrics'!$D$182:$D$183)&gt;0,IF(COUNT('Metrics'!$D$182:$D$183)&lt;2,"partial","complete"),IF(IF(NOT(ISNUMBER('Metrics'!$B$184)),"",IF('Metrics'!$B$184&lt;0.4,"Poor",IF(AND('Metrics'!$B$184&gt;=0.4,'Metrics'!$B$184&lt;0.7),"Fair",IF('Metrics'!$B$184&gt;=0.7,"Good",""))))="","not rated","complete")))</f>
        <v/>
      </c>
    </row>
    <row r="192">
      <c r="A192" s="135" t="inlineStr">
        <is>
          <t>16. Water &amp; soil quality</t>
        </is>
      </c>
      <c r="B192" s="8" t="inlineStr">
        <is>
          <t>Regulatory impairment (attains-regulatory-category, categorical_lookup)</t>
        </is>
      </c>
    </row>
    <row r="193">
      <c r="A193" s="136" t="inlineStr">
        <is>
          <t>Item</t>
        </is>
      </c>
      <c r="B193" s="136" t="inlineStr">
        <is>
          <t>Value</t>
        </is>
      </c>
      <c r="C193" s="136" t="inlineStr">
        <is>
          <t>Rating</t>
        </is>
      </c>
      <c r="D193" s="136" t="inlineStr">
        <is>
          <t>Index</t>
        </is>
      </c>
      <c r="E193" s="136" t="inlineStr">
        <is>
          <t>Note</t>
        </is>
      </c>
    </row>
    <row r="194">
      <c r="A194" t="inlineStr">
        <is>
          <t>ATTAINS category</t>
        </is>
      </c>
      <c r="B194" s="137">
        <f>IF('EASI Score'!$J$60="","",'EASI Score'!$J$60)</f>
        <v/>
      </c>
      <c r="C194" s="137">
        <f>IF('EASI Score'!$J$60="","",IFERROR(IF(INDEX('Reference'!$B$139:$B$145,MATCH(SUBSTITUTE(UPPER(TRIM('EASI Score'!$J$60&amp;""))," ",""),'Reference'!$A$139:$A$145,0))="none","",INDEX('Reference'!$B$139:$B$145,MATCH(SUBSTITUTE(UPPER(TRIM('EASI Score'!$J$60&amp;""))," ",""),'Reference'!$A$139:$A$145,0))),""))</f>
        <v/>
      </c>
      <c r="D194" s="138">
        <f>IF('Metrics'!$C$194="Good",'Reference'!$B$6,IF('Metrics'!$C$194="Fair",'Reference'!$B$7,IF('Metrics'!$C$194="Poor",'Reference'!$B$8,"")))</f>
        <v/>
      </c>
    </row>
    <row r="195">
      <c r="A195" t="inlineStr">
        <is>
          <t>CHEM fallback value (lower of catchment and watershed)</t>
        </is>
      </c>
      <c r="B195" s="137">
        <f>IF(AND(ISNUMBER('EASI Score'!$J$57),ISNUMBER('EASI Score'!$J$58)),ROUND(MIN('EASI Score'!$J$57,'EASI Score'!$J$58),12),"")</f>
        <v/>
      </c>
    </row>
    <row r="196">
      <c r="A196" t="inlineStr">
        <is>
          <t>Route that applied</t>
        </is>
      </c>
      <c r="B196" s="137">
        <f>IF(OR('EASI Score'!$J$63="Good",'EASI Score'!$J$63="Fair",'EASI Score'!$J$63="Poor"),"override score",IF('Metrics'!$C$194&lt;&gt;"","ATTAINS category",IF(IF(NOT(ISNUMBER('Metrics'!$B$195)),"",IF('Metrics'!$B$195&lt;0.4,"Poor",IF(AND('Metrics'!$B$195&gt;=0.4,'Metrics'!$B$195&lt;0.7),"Fair",IF('Metrics'!$B$195&gt;=0.7,"Good",""))))="","not rated","CHEM integrity fallback")))</f>
        <v/>
      </c>
    </row>
    <row r="197">
      <c r="A197" t="inlineStr">
        <is>
          <t>Computed rating (before the override score)</t>
        </is>
      </c>
      <c r="C197" s="137">
        <f>IF('Metrics'!$C$194&lt;&gt;"",'Metrics'!$C$194,IF(NOT(ISNUMBER('Metrics'!$B$195)),"",IF('Metrics'!$B$195&lt;0.4,"Poor",IF(AND('Metrics'!$B$195&gt;=0.4,'Metrics'!$B$195&lt;0.7),"Fair",IF('Metrics'!$B$195&gt;=0.7,"Good","")))))</f>
        <v/>
      </c>
    </row>
    <row r="198">
      <c r="A198" t="inlineStr">
        <is>
          <t>Override score (optional entry on the EASI Score sheet)</t>
        </is>
      </c>
      <c r="B198" s="137">
        <f>IF('EASI Score'!$J$63="","",'EASI Score'!$J$63)</f>
        <v/>
      </c>
      <c r="E198" s="139" t="inlineStr">
        <is>
          <t>Replaces the computed rating, as a rating changed in the web application does.</t>
        </is>
      </c>
    </row>
    <row r="199">
      <c r="A199" t="inlineStr">
        <is>
          <t>Function rating</t>
        </is>
      </c>
      <c r="C199" s="140">
        <f>IF(OR('EASI Score'!$J$63="Good",'EASI Score'!$J$63="Fair",'EASI Score'!$J$63="Poor"),'EASI Score'!$J$63,'Metrics'!$C$197)</f>
        <v/>
      </c>
      <c r="D199" s="138">
        <f>IF('Metrics'!$C$199="Good",'Reference'!$B$6,IF('Metrics'!$C$199="Fair",'Reference'!$B$7,IF('Metrics'!$C$199="Poor",'Reference'!$B$8,"")))</f>
        <v/>
      </c>
      <c r="E199" s="139" t="inlineStr">
        <is>
          <t>Categories 1 and 2 Good, 4A and 4B Fair, 4C and 5 Poor; category 3 and a blank fall back.</t>
        </is>
      </c>
    </row>
    <row r="200">
      <c r="A200" t="inlineStr">
        <is>
          <t>Function score (0 to 15)</t>
        </is>
      </c>
      <c r="B200" s="140">
        <f>IF('Metrics'!$C$199="Good",'Reference'!$C$6,IF('Metrics'!$C$199="Fair",'Reference'!$C$7,IF('Metrics'!$C$199="Poor",'Reference'!$C$8,"")))</f>
        <v/>
      </c>
    </row>
    <row r="201">
      <c r="A201" t="inlineStr">
        <is>
          <t>Status</t>
        </is>
      </c>
      <c r="B201" s="137">
        <f>IF(OR('EASI Score'!$J$63="Good",'EASI Score'!$J$63="Fair",'EASI Score'!$J$63="Poor"),"override score",IF('Metrics'!$C$199="","not rated","complete"))</f>
        <v/>
      </c>
    </row>
    <row r="203">
      <c r="A203" s="135" t="inlineStr">
        <is>
          <t>17. Habitat provision</t>
        </is>
      </c>
      <c r="B203" s="8" t="inlineStr">
        <is>
          <t>Habitat-support potential (woody riparian corridor) (habitat-support-potential, threshold)</t>
        </is>
      </c>
    </row>
    <row r="204">
      <c r="A204" s="136" t="inlineStr">
        <is>
          <t>Item</t>
        </is>
      </c>
      <c r="B204" s="136" t="inlineStr">
        <is>
          <t>Value</t>
        </is>
      </c>
      <c r="C204" s="136" t="inlineStr">
        <is>
          <t>Rating</t>
        </is>
      </c>
      <c r="D204" s="136" t="inlineStr">
        <is>
          <t>Index</t>
        </is>
      </c>
      <c r="E204" s="136" t="inlineStr">
        <is>
          <t>Note</t>
        </is>
      </c>
    </row>
    <row r="205">
      <c r="A205" t="inlineStr">
        <is>
          <t>Woody riparian cover</t>
        </is>
      </c>
      <c r="B205" s="137">
        <f>IF('EASI Score'!$J$46="","",'EASI Score'!$J$46)</f>
        <v/>
      </c>
    </row>
    <row r="206">
      <c r="A206" t="inlineStr">
        <is>
          <t>Reach sinuosity (context only)</t>
        </is>
      </c>
      <c r="B206" s="137">
        <f>IF('EASI Score'!$J$29="","",'EASI Score'!$J$29)</f>
        <v/>
      </c>
    </row>
    <row r="207">
      <c r="A207" s="8" t="inlineStr">
        <is>
          <t>Reference curve used (corridor-woody, nars9, national fallback)</t>
        </is>
      </c>
      <c r="B207" s="137">
        <f>IFERROR(MATCH("corridor-woody|"&amp;'EASI Score'!$K$3,'Reference'!$A$90:$A$123,0),MATCH("corridor-woody|national",'Reference'!$A$90:$A$123,0))</f>
        <v/>
      </c>
      <c r="E207" s="141">
        <f>INDEX('Reference'!$A$90:$A$123,'Metrics'!$B$207)</f>
        <v/>
      </c>
    </row>
    <row r="208">
      <c r="A208" s="8" t="inlineStr">
        <is>
          <t>Curve index (interpolated, 0 to 1; Good at or above 0.69, Fair at or above 0.39)</t>
        </is>
      </c>
      <c r="B208" s="142">
        <f>IF(NOT(ISNUMBER('EASI Score'!$J$46)),"",MAX(0,MIN(1,IF('EASI Score'!$J$46&lt;=INDEX('Reference'!$G$90:$G$123,'Metrics'!$B$207),INDEX('Reference'!$H$90:$H$123,'Metrics'!$B$207),IF('EASI Score'!$J$46&gt;=INDEX('Reference'!$O$90:$O$123,'Metrics'!$B$207),INDEX('Reference'!$P$90:$P$123,'Metrics'!$B$207),IF('EASI Score'!$J$46&lt;=INDEX('Reference'!$I$90:$I$123,'Metrics'!$B$207),INDEX('Reference'!$H$90:$H$123,'Metrics'!$B$207)+(('EASI Score'!$J$46-INDEX('Reference'!$G$90:$G$123,'Metrics'!$B$207))/(INDEX('Reference'!$I$90:$I$123,'Metrics'!$B$207)-INDEX('Reference'!$G$90:$G$123,'Metrics'!$B$207)))*(INDEX('Reference'!$J$90:$J$123,'Metrics'!$B$207)-INDEX('Reference'!$H$90:$H$123,'Metrics'!$B$207)),IF('EASI Score'!$J$46&lt;=INDEX('Reference'!$K$90:$K$123,'Metrics'!$B$207),INDEX('Reference'!$J$90:$J$123,'Metrics'!$B$207)+(('EASI Score'!$J$46-INDEX('Reference'!$I$90:$I$123,'Metrics'!$B$207))/(INDEX('Reference'!$K$90:$K$123,'Metrics'!$B$207)-INDEX('Reference'!$I$90:$I$123,'Metrics'!$B$207)))*(INDEX('Reference'!$L$90:$L$123,'Metrics'!$B$207)-INDEX('Reference'!$J$90:$J$123,'Metrics'!$B$207)),IF('EASI Score'!$J$46&lt;=INDEX('Reference'!$M$90:$M$123,'Metrics'!$B$207),INDEX('Reference'!$L$90:$L$123,'Metrics'!$B$207)+(('EASI Score'!$J$46-INDEX('Reference'!$K$90:$K$123,'Metrics'!$B$207))/(INDEX('Reference'!$M$90:$M$123,'Metrics'!$B$207)-INDEX('Reference'!$K$90:$K$123,'Metrics'!$B$207)))*(INDEX('Reference'!$N$90:$N$123,'Metrics'!$B$207)-INDEX('Reference'!$L$90:$L$123,'Metrics'!$B$207)),INDEX('Reference'!$N$90:$N$123,'Metrics'!$B$207)+(('EASI Score'!$J$46-INDEX('Reference'!$M$90:$M$123,'Metrics'!$B$207))/(INDEX('Reference'!$O$90:$O$123,'Metrics'!$B$207)-INDEX('Reference'!$M$90:$M$123,'Metrics'!$B$207)))*(INDEX('Reference'!$P$90:$P$123,'Metrics'!$B$207)-INDEX('Reference'!$N$90:$N$123,'Metrics'!$B$207))))))))))</f>
        <v/>
      </c>
    </row>
    <row r="209">
      <c r="A209" t="inlineStr">
        <is>
          <t>Route that applied</t>
        </is>
      </c>
      <c r="B209" s="137">
        <f>IF(OR('EASI Score'!$J$65="Good",'EASI Score'!$J$65="Fair",'EASI Score'!$J$65="Poor"),"override score","automatic method")</f>
        <v/>
      </c>
    </row>
    <row r="210">
      <c r="A210" t="inlineStr">
        <is>
          <t>Computed rating (before the override score)</t>
        </is>
      </c>
      <c r="C210" s="137">
        <f>IF(NOT(ISNUMBER('Metrics'!$B$208)),"",IF('Metrics'!$B$208&gt;=0.69,"Good",IF('Metrics'!$B$208&gt;=0.39,"Fair","Poor")))</f>
        <v/>
      </c>
    </row>
    <row r="211">
      <c r="A211" t="inlineStr">
        <is>
          <t>Override score (optional entry on the EASI Score sheet)</t>
        </is>
      </c>
      <c r="B211" s="137">
        <f>IF('EASI Score'!$J$65="","",'EASI Score'!$J$65)</f>
        <v/>
      </c>
      <c r="E211" s="139" t="inlineStr">
        <is>
          <t>Replaces the computed rating, as a rating changed in the web application does.</t>
        </is>
      </c>
    </row>
    <row r="212">
      <c r="A212" t="inlineStr">
        <is>
          <t>Function rating</t>
        </is>
      </c>
      <c r="C212" s="140">
        <f>IF(OR('EASI Score'!$J$65="Good",'EASI Score'!$J$65="Fair",'EASI Score'!$J$65="Poor"),'EASI Score'!$J$65,'Metrics'!$C$210)</f>
        <v/>
      </c>
      <c r="D212" s="138">
        <f>IF('Metrics'!$C$212="Good",'Reference'!$B$6,IF('Metrics'!$C$212="Fair",'Reference'!$B$7,IF('Metrics'!$C$212="Poor",'Reference'!$B$8,"")))</f>
        <v/>
      </c>
      <c r="E212" s="139" t="inlineStr">
        <is>
          <t>Rated on the regional woody-corridor curve, national fallback.</t>
        </is>
      </c>
    </row>
    <row r="213">
      <c r="A213" t="inlineStr">
        <is>
          <t>Function score (0 to 15)</t>
        </is>
      </c>
      <c r="B213" s="140">
        <f>IF('Metrics'!$C$212="Good",'Reference'!$C$6,IF('Metrics'!$C$212="Fair",'Reference'!$C$7,IF('Metrics'!$C$212="Poor",'Reference'!$C$8,"")))</f>
        <v/>
      </c>
    </row>
    <row r="214">
      <c r="A214" t="inlineStr">
        <is>
          <t>Status</t>
        </is>
      </c>
      <c r="B214" s="137">
        <f>IF(OR('EASI Score'!$J$65="Good",'EASI Score'!$J$65="Fair",'EASI Score'!$J$65="Poor"),"override score",IF('Metrics'!$C$212="","not rated","complete"))</f>
        <v/>
      </c>
    </row>
    <row r="216">
      <c r="A216" s="135" t="inlineStr">
        <is>
          <t>18. Population support</t>
        </is>
      </c>
      <c r="B216" s="8" t="inlineStr">
        <is>
          <t>Biological integrity (streamcat-prg-bmmi, threshold)</t>
        </is>
      </c>
    </row>
    <row r="217">
      <c r="A217" s="136" t="inlineStr">
        <is>
          <t>Item</t>
        </is>
      </c>
      <c r="B217" s="136" t="inlineStr">
        <is>
          <t>Value</t>
        </is>
      </c>
      <c r="C217" s="136" t="inlineStr">
        <is>
          <t>Rating</t>
        </is>
      </c>
      <c r="D217" s="136" t="inlineStr">
        <is>
          <t>Index</t>
        </is>
      </c>
      <c r="E217" s="136" t="inlineStr">
        <is>
          <t>Note</t>
        </is>
      </c>
    </row>
    <row r="218">
      <c r="A218" t="inlineStr">
        <is>
          <t>Predicted probability of Good BMMI condition</t>
        </is>
      </c>
      <c r="B218" s="137">
        <f>IF('EASI Score'!$J$66="","",'EASI Score'!$J$66)</f>
        <v/>
      </c>
      <c r="C218" s="137">
        <f>IF(AND(ISNUMBER('EASI Score'!$J$66),'EASI Score'!$J$66&gt;=0,'EASI Score'!$J$66&lt;=1),IF(NOT(ISNUMBER('EASI Score'!$J$66)),"",IF('EASI Score'!$J$66&lt;0.25,"Poor",IF(AND('EASI Score'!$J$66&gt;=0.25,'EASI Score'!$J$66&lt;0.5),"Fair",IF('EASI Score'!$J$66&gt;=0.5,"Good","")))),"")</f>
        <v/>
      </c>
      <c r="D218" s="138">
        <f>IF('Metrics'!$C$218="Good",'Reference'!$B$6,IF('Metrics'!$C$218="Fair",'Reference'!$B$7,IF('Metrics'!$C$218="Poor",'Reference'!$B$8,"")))</f>
        <v/>
      </c>
    </row>
    <row r="219">
      <c r="A219" t="inlineStr">
        <is>
          <t>ICI (product of six ci components)</t>
        </is>
      </c>
      <c r="B219" s="142">
        <f>IF(AND(ISNUMBER('EASI Score'!$J$67),ISNUMBER('EASI Score'!$J$57),ISNUMBER('EASI Score'!$J$68),ISNUMBER('EASI Score'!$J$69),ISNUMBER('EASI Score'!$J$70),ISNUMBER('EASI Score'!$J$71)),PRODUCT('EASI Score'!$J$67,'EASI Score'!$J$57,'EASI Score'!$J$68,'EASI Score'!$J$69,'EASI Score'!$J$70,'EASI Score'!$J$71),"")</f>
        <v/>
      </c>
    </row>
    <row r="220">
      <c r="A220" t="inlineStr">
        <is>
          <t>IWI (product of six wi components)</t>
        </is>
      </c>
      <c r="B220" s="142">
        <f>IF(AND(ISNUMBER('EASI Score'!$J$73),ISNUMBER('EASI Score'!$J$58),ISNUMBER('EASI Score'!$J$74),ISNUMBER('EASI Score'!$J$75),ISNUMBER('EASI Score'!$J$76),ISNUMBER('EASI Score'!$J$77)),PRODUCT('EASI Score'!$J$73,'EASI Score'!$J$58,'EASI Score'!$J$74,'EASI Score'!$J$75,'EASI Score'!$J$76,'EASI Score'!$J$77),"")</f>
        <v/>
      </c>
    </row>
    <row r="221">
      <c r="A221" t="inlineStr">
        <is>
          <t>Fallback value (lower of ICI and IWI)</t>
        </is>
      </c>
      <c r="B221" s="142">
        <f>IF(AND(ISNUMBER('Metrics'!$B$219),ISNUMBER('Metrics'!$B$220)),ROUND(MIN('Metrics'!$B$219,'Metrics'!$B$220),12),"")</f>
        <v/>
      </c>
    </row>
    <row r="222">
      <c r="A222" t="inlineStr">
        <is>
          <t>Route that applied</t>
        </is>
      </c>
      <c r="B222" s="137">
        <f>IF(OR('EASI Score'!$J$81="Good",'EASI Score'!$J$81="Fair",'EASI Score'!$J$81="Poor"),"override score",IF('Metrics'!$C$218&lt;&gt;"","published benthic model",IF(IF(NOT(ISNUMBER('Metrics'!$B$221)),"",IF('Metrics'!$B$221&lt;0.4,"Poor",IF(AND('Metrics'!$B$221&gt;=0.4,'Metrics'!$B$221&lt;0.7),"Fair",IF('Metrics'!$B$221&gt;=0.7,"Good",""))))="","not rated","ICI/IWI integrity fallback")))</f>
        <v/>
      </c>
    </row>
    <row r="223">
      <c r="A223" t="inlineStr">
        <is>
          <t>Computed rating (before the override score)</t>
        </is>
      </c>
      <c r="C223" s="137">
        <f>IF('Metrics'!$C$218&lt;&gt;"",'Metrics'!$C$218,IF(NOT(ISNUMBER('Metrics'!$B$221)),"",IF('Metrics'!$B$221&lt;0.4,"Poor",IF(AND('Metrics'!$B$221&gt;=0.4,'Metrics'!$B$221&lt;0.7),"Fair",IF('Metrics'!$B$221&gt;=0.7,"Good","")))))</f>
        <v/>
      </c>
    </row>
    <row r="224">
      <c r="A224" t="inlineStr">
        <is>
          <t>Override score (optional entry on the EASI Score sheet)</t>
        </is>
      </c>
      <c r="B224" s="137">
        <f>IF('EASI Score'!$J$81="","",'EASI Score'!$J$81)</f>
        <v/>
      </c>
      <c r="E224" s="139" t="inlineStr">
        <is>
          <t>Replaces the computed rating, as a rating changed in the web application does.</t>
        </is>
      </c>
    </row>
    <row r="225">
      <c r="A225" t="inlineStr">
        <is>
          <t>Function rating</t>
        </is>
      </c>
      <c r="C225" s="140">
        <f>IF(OR('EASI Score'!$J$81="Good",'EASI Score'!$J$81="Fair",'EASI Score'!$J$81="Poor"),'EASI Score'!$J$81,'Metrics'!$C$223)</f>
        <v/>
      </c>
      <c r="D225" s="138">
        <f>IF('Metrics'!$C$225="Good",'Reference'!$B$6,IF('Metrics'!$C$225="Fair",'Reference'!$B$7,IF('Metrics'!$C$225="Poor",'Reference'!$B$8,"")))</f>
        <v/>
      </c>
      <c r="E225" s="139" t="inlineStr">
        <is>
          <t>The model probability governs when present; otherwise all twelve integrity components.</t>
        </is>
      </c>
    </row>
    <row r="226">
      <c r="A226" t="inlineStr">
        <is>
          <t>Function score (0 to 15)</t>
        </is>
      </c>
      <c r="B226" s="140">
        <f>IF('Metrics'!$C$225="Good",'Reference'!$C$6,IF('Metrics'!$C$225="Fair",'Reference'!$C$7,IF('Metrics'!$C$225="Poor",'Reference'!$C$8,"")))</f>
        <v/>
      </c>
    </row>
    <row r="227">
      <c r="A227" t="inlineStr">
        <is>
          <t>Status</t>
        </is>
      </c>
      <c r="B227" s="137">
        <f>IF(OR('EASI Score'!$J$81="Good",'EASI Score'!$J$81="Fair",'EASI Score'!$J$81="Poor"),"override score",IF('Metrics'!$C$225="","not rated","complete"))</f>
        <v/>
      </c>
    </row>
    <row r="229">
      <c r="A229" s="135" t="inlineStr">
        <is>
          <t>19. Community dynamics</t>
        </is>
      </c>
      <c r="B229" s="8" t="inlineStr">
        <is>
          <t>Invasive-species pressure (nas-established-taxa-count, threshold)</t>
        </is>
      </c>
    </row>
    <row r="230">
      <c r="A230" s="136" t="inlineStr">
        <is>
          <t>Item</t>
        </is>
      </c>
      <c r="B230" s="136" t="inlineStr">
        <is>
          <t>Value</t>
        </is>
      </c>
      <c r="C230" s="136" t="inlineStr">
        <is>
          <t>Rating</t>
        </is>
      </c>
      <c r="D230" s="136" t="inlineStr">
        <is>
          <t>Index</t>
        </is>
      </c>
      <c r="E230" s="136" t="inlineStr">
        <is>
          <t>Note</t>
        </is>
      </c>
    </row>
    <row r="231">
      <c r="A231" t="inlineStr">
        <is>
          <t>Established NAS taxa count</t>
        </is>
      </c>
      <c r="B231" s="137">
        <f>IF('EASI Score'!$J$82="","",'EASI Score'!$J$82)</f>
        <v/>
      </c>
    </row>
    <row r="232">
      <c r="A232" t="inlineStr">
        <is>
          <t>Route that applied</t>
        </is>
      </c>
      <c r="B232" s="137">
        <f>IF(OR('EASI Score'!$J$83="Good",'EASI Score'!$J$83="Fair",'EASI Score'!$J$83="Poor"),"override score","automatic method")</f>
        <v/>
      </c>
    </row>
    <row r="233">
      <c r="A233" t="inlineStr">
        <is>
          <t>Computed rating (before the override score)</t>
        </is>
      </c>
      <c r="C233" s="137">
        <f>IF(NOT(ISNUMBER('EASI Score'!$J$82)),"",IF(AND('EASI Score'!$J$82&gt;=0,'EASI Score'!$J$82&lt;=0),"Good",IF(AND('EASI Score'!$J$82&gt;=1,'EASI Score'!$J$82&lt;=2),"Fair",IF('EASI Score'!$J$82&gt;=3,"Poor",""))))</f>
        <v/>
      </c>
    </row>
    <row r="234">
      <c r="A234" t="inlineStr">
        <is>
          <t>Override score (optional entry on the EASI Score sheet)</t>
        </is>
      </c>
      <c r="B234" s="137">
        <f>IF('EASI Score'!$J$83="","",'EASI Score'!$J$83)</f>
        <v/>
      </c>
      <c r="E234" s="139" t="inlineStr">
        <is>
          <t>Replaces the computed rating, as a rating changed in the web application does.</t>
        </is>
      </c>
    </row>
    <row r="235">
      <c r="A235" t="inlineStr">
        <is>
          <t>Function rating</t>
        </is>
      </c>
      <c r="C235" s="140">
        <f>IF(OR('EASI Score'!$J$83="Good",'EASI Score'!$J$83="Fair",'EASI Score'!$J$83="Poor"),'EASI Score'!$J$83,'Metrics'!$C$233)</f>
        <v/>
      </c>
      <c r="D235" s="138">
        <f>IF('Metrics'!$C$235="Good",'Reference'!$B$6,IF('Metrics'!$C$235="Fair",'Reference'!$B$7,IF('Metrics'!$C$235="Poor",'Reference'!$B$8,"")))</f>
        <v/>
      </c>
      <c r="E235" s="139" t="inlineStr">
        <is>
          <t>Whole counts only; a fraction or a negative count is unrated.</t>
        </is>
      </c>
    </row>
    <row r="236">
      <c r="A236" t="inlineStr">
        <is>
          <t>Function score (0 to 15)</t>
        </is>
      </c>
      <c r="B236" s="140">
        <f>IF('Metrics'!$C$235="Good",'Reference'!$C$6,IF('Metrics'!$C$235="Fair",'Reference'!$C$7,IF('Metrics'!$C$235="Poor",'Reference'!$C$8,"")))</f>
        <v/>
      </c>
    </row>
    <row r="237">
      <c r="A237" t="inlineStr">
        <is>
          <t>Status</t>
        </is>
      </c>
      <c r="B237" s="137">
        <f>IF(OR('EASI Score'!$J$83="Good",'EASI Score'!$J$83="Fair",'EASI Score'!$J$83="Poor"),"override score",IF('Metrics'!$C$235="","not rated","complete"))</f>
        <v/>
      </c>
    </row>
    <row r="239">
      <c r="A239" s="135" t="inlineStr">
        <is>
          <t>20. Watershed connectivity</t>
        </is>
      </c>
      <c r="B239" s="8" t="inlineStr">
        <is>
          <t>Nearby dam-proximity proxy (nearby-dam-proximity, threshold)</t>
        </is>
      </c>
    </row>
    <row r="240">
      <c r="A240" s="136" t="inlineStr">
        <is>
          <t>Item</t>
        </is>
      </c>
      <c r="B240" s="136" t="inlineStr">
        <is>
          <t>Value</t>
        </is>
      </c>
      <c r="C240" s="136" t="inlineStr">
        <is>
          <t>Rating</t>
        </is>
      </c>
      <c r="D240" s="136" t="inlineStr">
        <is>
          <t>Index</t>
        </is>
      </c>
      <c r="E240" s="136" t="inlineStr">
        <is>
          <t>Note</t>
        </is>
      </c>
    </row>
    <row r="241">
      <c r="A241" t="inlineStr">
        <is>
          <t>Mapped NID dams within one mile</t>
        </is>
      </c>
      <c r="B241" s="137">
        <f>IF('EASI Score'!$J$84="","",'EASI Score'!$J$84)</f>
        <v/>
      </c>
    </row>
    <row r="242">
      <c r="A242" t="inlineStr">
        <is>
          <t>Route that applied</t>
        </is>
      </c>
      <c r="B242" s="137">
        <f>IF(OR('EASI Score'!$J$85="Good",'EASI Score'!$J$85="Fair",'EASI Score'!$J$85="Poor"),"override score","automatic method")</f>
        <v/>
      </c>
    </row>
    <row r="243">
      <c r="A243" t="inlineStr">
        <is>
          <t>Computed rating (before the override score)</t>
        </is>
      </c>
      <c r="C243" s="137">
        <f>IF(NOT(ISNUMBER('EASI Score'!$J$84)),"",IF(AND('EASI Score'!$J$84&gt;=0,'EASI Score'!$J$84&lt;=0),"Good",IF(AND('EASI Score'!$J$84&gt;=1,'EASI Score'!$J$84&lt;=1),"Fair",IF('EASI Score'!$J$84&gt;=2,"Poor",""))))</f>
        <v/>
      </c>
    </row>
    <row r="244">
      <c r="A244" t="inlineStr">
        <is>
          <t>Override score (optional entry on the EASI Score sheet)</t>
        </is>
      </c>
      <c r="B244" s="137">
        <f>IF('EASI Score'!$J$85="","",'EASI Score'!$J$85)</f>
        <v/>
      </c>
      <c r="E244" s="139" t="inlineStr">
        <is>
          <t>Replaces the computed rating, as a rating changed in the web application does.</t>
        </is>
      </c>
    </row>
    <row r="245">
      <c r="A245" t="inlineStr">
        <is>
          <t>Function rating</t>
        </is>
      </c>
      <c r="C245" s="140">
        <f>IF(OR('EASI Score'!$J$85="Good",'EASI Score'!$J$85="Fair",'EASI Score'!$J$85="Poor"),'EASI Score'!$J$85,'Metrics'!$C$243)</f>
        <v/>
      </c>
      <c r="D245" s="138">
        <f>IF('Metrics'!$C$245="Good",'Reference'!$B$6,IF('Metrics'!$C$245="Fair",'Reference'!$B$7,IF('Metrics'!$C$245="Poor",'Reference'!$B$8,"")))</f>
        <v/>
      </c>
      <c r="E245" s="139" t="inlineStr">
        <is>
          <t>Whole counts only.</t>
        </is>
      </c>
    </row>
    <row r="246">
      <c r="A246" t="inlineStr">
        <is>
          <t>Function score (0 to 15)</t>
        </is>
      </c>
      <c r="B246" s="140">
        <f>IF('Metrics'!$C$245="Good",'Reference'!$C$6,IF('Metrics'!$C$245="Fair",'Reference'!$C$7,IF('Metrics'!$C$245="Poor",'Reference'!$C$8,"")))</f>
        <v/>
      </c>
    </row>
    <row r="247">
      <c r="A247" t="inlineStr">
        <is>
          <t>Status</t>
        </is>
      </c>
      <c r="B247" s="137">
        <f>IF(OR('EASI Score'!$J$85="Good",'EASI Score'!$J$85="Fair",'EASI Score'!$J$85="Poor"),"override score",IF('Metrics'!$C$245="","not rated","complete"))</f>
        <v/>
      </c>
    </row>
  </sheetData>
  <sheetProtection selectLockedCells="0" selectUnlockedCells="0" sheet="1" objects="0" insertRows="1" insertHyperlinks="1" autoFilter="1" scenarios="0" formatColumns="1" deleteColumns="1" insertColumns="1" pivotTables="1" deleteRows="1" formatCells="1" formatRows="1" sort="1" password="CA09"/>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37"/>
  <sheetViews>
    <sheetView tabSelected="0" workbookViewId="0">
      <pane ySplit="4" topLeftCell="A5" activePane="bottomLeft" state="frozen"/>
      <selection pane="bottomLeft" activeCell="A1" sqref="A1"/>
    </sheetView>
  </sheetViews>
  <sheetFormatPr baseColWidth="8" defaultRowHeight="15"/>
  <cols>
    <col width="34" customWidth="1" min="1" max="1"/>
    <col width="14" customWidth="1" min="2" max="2"/>
    <col width="44" customWidth="1" min="3" max="3"/>
    <col width="12" customWidth="1" min="4" max="4"/>
    <col width="10" customWidth="1" min="5" max="5"/>
    <col width="20" customWidth="1" min="6" max="6"/>
    <col width="10" customWidth="1" min="7" max="7"/>
    <col width="10" customWidth="1" min="8" max="8"/>
    <col width="10" customWidth="1" min="9" max="9"/>
    <col width="10" customWidth="1" min="10" max="10"/>
    <col width="8" customWidth="1" min="11" max="11"/>
    <col width="40" customWidth="1" min="12" max="12"/>
  </cols>
  <sheetData>
    <row r="1">
      <c r="A1" s="134" t="inlineStr">
        <is>
          <t>EASI calculator: results</t>
        </is>
      </c>
    </row>
    <row r="2">
      <c r="A2" s="8" t="inlineStr">
        <is>
          <t>Engine sheet (hidden). Function scores, outcome sub-indices and the Ecosystem Condition Index, computed with the STAF rollup: unrated functions leave both the numerator and the denominator. The EASI Score sheet displays these cells.</t>
        </is>
      </c>
    </row>
    <row r="4">
      <c r="A4" s="136" t="inlineStr">
        <is>
          <t>Function</t>
        </is>
      </c>
      <c r="B4" s="136" t="inlineStr">
        <is>
          <t>Discipline</t>
        </is>
      </c>
      <c r="C4" s="136" t="inlineStr">
        <is>
          <t>Metric</t>
        </is>
      </c>
      <c r="D4" s="136" t="inlineStr">
        <is>
          <t>Rating</t>
        </is>
      </c>
      <c r="E4" s="136" t="inlineStr">
        <is>
          <t>Score</t>
        </is>
      </c>
      <c r="F4" s="136" t="inlineStr">
        <is>
          <t>Class</t>
        </is>
      </c>
      <c r="G4" s="136" t="inlineStr">
        <is>
          <t>Physical</t>
        </is>
      </c>
      <c r="H4" s="136" t="inlineStr">
        <is>
          <t>Chemical</t>
        </is>
      </c>
      <c r="I4" s="136" t="inlineStr">
        <is>
          <t>Biological</t>
        </is>
      </c>
      <c r="J4" s="136" t="inlineStr">
        <is>
          <t>Score or 0</t>
        </is>
      </c>
      <c r="K4" s="136" t="inlineStr">
        <is>
          <t>Rated</t>
        </is>
      </c>
      <c r="L4" s="136" t="inlineStr">
        <is>
          <t>Route</t>
        </is>
      </c>
    </row>
    <row r="5">
      <c r="A5" t="inlineStr">
        <is>
          <t>Catchment hydrology</t>
        </is>
      </c>
      <c r="B5" t="inlineStr">
        <is>
          <t>Hydrology</t>
        </is>
      </c>
      <c r="C5" t="inlineStr">
        <is>
          <t>Watershed Land-Cover Pressure</t>
        </is>
      </c>
      <c r="D5" s="137">
        <f>'Metrics'!$C$13</f>
        <v/>
      </c>
      <c r="E5" s="137">
        <f>'Metrics'!$B$14</f>
        <v/>
      </c>
      <c r="F5" s="137">
        <f>IF(NOT(ISNUMBER('Results'!$E$5)),"Not assessed",IF('Results'!$E$5&lt;=5,"Non-Functioning",IF('Results'!$E$5&lt;=10,"Functioning-at-Risk","Functioning")))</f>
        <v/>
      </c>
      <c r="G5" t="n">
        <v>1</v>
      </c>
      <c r="H5" t="n">
        <v>0.1</v>
      </c>
      <c r="I5" t="n">
        <v>0.1</v>
      </c>
      <c r="J5" s="137">
        <f>IF(ISNUMBER('Results'!$E$5),'Results'!$E$5,0)</f>
        <v/>
      </c>
      <c r="K5" s="137">
        <f>IF(ISNUMBER('Results'!$E$5),1,0)</f>
        <v/>
      </c>
      <c r="L5" s="137">
        <f>'Metrics'!$B$10</f>
        <v/>
      </c>
    </row>
    <row r="6">
      <c r="A6" t="inlineStr">
        <is>
          <t>Surface water storage</t>
        </is>
      </c>
      <c r="B6" t="inlineStr">
        <is>
          <t>Hydrology</t>
        </is>
      </c>
      <c r="C6" t="inlineStr">
        <is>
          <t>Percent Wetlands in Watershed</t>
        </is>
      </c>
      <c r="D6" s="137">
        <f>'Metrics'!$C$25</f>
        <v/>
      </c>
      <c r="E6" s="137">
        <f>'Metrics'!$B$26</f>
        <v/>
      </c>
      <c r="F6" s="137">
        <f>IF(NOT(ISNUMBER('Results'!$E$6)),"Not assessed",IF('Results'!$E$6&lt;=5,"Non-Functioning",IF('Results'!$E$6&lt;=10,"Functioning-at-Risk","Functioning")))</f>
        <v/>
      </c>
      <c r="G6" t="n">
        <v>1</v>
      </c>
      <c r="H6" t="n">
        <v>0.1</v>
      </c>
      <c r="I6" t="n">
        <v>0.1</v>
      </c>
      <c r="J6" s="137">
        <f>IF(ISNUMBER('Results'!$E$6),'Results'!$E$6,0)</f>
        <v/>
      </c>
      <c r="K6" s="137">
        <f>IF(ISNUMBER('Results'!$E$6),1,0)</f>
        <v/>
      </c>
      <c r="L6" s="137">
        <f>'Metrics'!$B$22</f>
        <v/>
      </c>
    </row>
    <row r="7">
      <c r="A7" t="inlineStr">
        <is>
          <t>Reach inflow</t>
        </is>
      </c>
      <c r="B7" t="inlineStr">
        <is>
          <t>Hydrology</t>
        </is>
      </c>
      <c r="C7" t="inlineStr">
        <is>
          <t>Concentrated Runoff / Stormwater Inputs</t>
        </is>
      </c>
      <c r="D7" s="137">
        <f>'Metrics'!$C$35</f>
        <v/>
      </c>
      <c r="E7" s="137">
        <f>'Metrics'!$B$36</f>
        <v/>
      </c>
      <c r="F7" s="137">
        <f>IF(NOT(ISNUMBER('Results'!$E$7)),"Not assessed",IF('Results'!$E$7&lt;=5,"Non-Functioning",IF('Results'!$E$7&lt;=10,"Functioning-at-Risk","Functioning")))</f>
        <v/>
      </c>
      <c r="G7" t="n">
        <v>1</v>
      </c>
      <c r="H7" t="n">
        <v>0.1</v>
      </c>
      <c r="I7" t="n">
        <v>0.1</v>
      </c>
      <c r="J7" s="137">
        <f>IF(ISNUMBER('Results'!$E$7),'Results'!$E$7,0)</f>
        <v/>
      </c>
      <c r="K7" s="137">
        <f>IF(ISNUMBER('Results'!$E$7),1,0)</f>
        <v/>
      </c>
      <c r="L7" s="137">
        <f>'Metrics'!$B$32</f>
        <v/>
      </c>
    </row>
    <row r="8">
      <c r="A8" t="inlineStr">
        <is>
          <t>Streamflow regime</t>
        </is>
      </c>
      <c r="B8" t="inlineStr">
        <is>
          <t>Hydrology</t>
        </is>
      </c>
      <c r="C8" t="inlineStr">
        <is>
          <t>Flow Alteration (Regulation / Water Use)</t>
        </is>
      </c>
      <c r="D8" s="137">
        <f>'Metrics'!$C$47</f>
        <v/>
      </c>
      <c r="E8" s="137">
        <f>'Metrics'!$B$48</f>
        <v/>
      </c>
      <c r="F8" s="137">
        <f>IF(NOT(ISNUMBER('Results'!$E$8)),"Not assessed",IF('Results'!$E$8&lt;=5,"Non-Functioning",IF('Results'!$E$8&lt;=10,"Functioning-at-Risk","Functioning")))</f>
        <v/>
      </c>
      <c r="G8" t="n">
        <v>1</v>
      </c>
      <c r="H8" t="n">
        <v>0.1</v>
      </c>
      <c r="I8" t="n">
        <v>0.1</v>
      </c>
      <c r="J8" s="137">
        <f>IF(ISNUMBER('Results'!$E$8),'Results'!$E$8,0)</f>
        <v/>
      </c>
      <c r="K8" s="137">
        <f>IF(ISNUMBER('Results'!$E$8),1,0)</f>
        <v/>
      </c>
      <c r="L8" s="137">
        <f>'Metrics'!$B$44</f>
        <v/>
      </c>
    </row>
    <row r="9">
      <c r="A9" t="inlineStr">
        <is>
          <t>Low flow and baseflow dynamics</t>
        </is>
      </c>
      <c r="B9" t="inlineStr">
        <is>
          <t>Hydraulics</t>
        </is>
      </c>
      <c r="C9" t="inlineStr">
        <is>
          <t>Low-flow Wetted Connectivity</t>
        </is>
      </c>
      <c r="D9" s="137">
        <f>'Metrics'!$C$60</f>
        <v/>
      </c>
      <c r="E9" s="137">
        <f>'Metrics'!$B$61</f>
        <v/>
      </c>
      <c r="F9" s="137">
        <f>IF(NOT(ISNUMBER('Results'!$E$9)),"Not assessed",IF('Results'!$E$9&lt;=5,"Non-Functioning",IF('Results'!$E$9&lt;=10,"Functioning-at-Risk","Functioning")))</f>
        <v/>
      </c>
      <c r="G9" t="n">
        <v>1</v>
      </c>
      <c r="H9" t="n">
        <v>0.1</v>
      </c>
      <c r="I9" t="n">
        <v>0.1</v>
      </c>
      <c r="J9" s="137">
        <f>IF(ISNUMBER('Results'!$E$9),'Results'!$E$9,0)</f>
        <v/>
      </c>
      <c r="K9" s="137">
        <f>IF(ISNUMBER('Results'!$E$9),1,0)</f>
        <v/>
      </c>
      <c r="L9" s="137">
        <f>'Metrics'!$B$57</f>
        <v/>
      </c>
    </row>
    <row r="10">
      <c r="A10" t="inlineStr">
        <is>
          <t>High flow dynamics</t>
        </is>
      </c>
      <c r="B10" t="inlineStr">
        <is>
          <t>Hydraulics</t>
        </is>
      </c>
      <c r="C10" t="inlineStr">
        <is>
          <t>Floodplain Engagement Frequency (bankfull recurrence)</t>
        </is>
      </c>
      <c r="D10" s="137">
        <f>'Metrics'!$C$70</f>
        <v/>
      </c>
      <c r="E10" s="137">
        <f>'Metrics'!$B$71</f>
        <v/>
      </c>
      <c r="F10" s="137">
        <f>IF(NOT(ISNUMBER('Results'!$E$10)),"Not assessed",IF('Results'!$E$10&lt;=5,"Non-Functioning",IF('Results'!$E$10&lt;=10,"Functioning-at-Risk","Functioning")))</f>
        <v/>
      </c>
      <c r="G10" t="n">
        <v>1</v>
      </c>
      <c r="H10" t="n">
        <v>0.1</v>
      </c>
      <c r="I10" t="n">
        <v>0.1</v>
      </c>
      <c r="J10" s="137">
        <f>IF(ISNUMBER('Results'!$E$10),'Results'!$E$10,0)</f>
        <v/>
      </c>
      <c r="K10" s="137">
        <f>IF(ISNUMBER('Results'!$E$10),1,0)</f>
        <v/>
      </c>
      <c r="L10" s="137">
        <f>'Metrics'!$B$67</f>
        <v/>
      </c>
    </row>
    <row r="11">
      <c r="A11" t="inlineStr">
        <is>
          <t>Floodplain connectivity</t>
        </is>
      </c>
      <c r="B11" t="inlineStr">
        <is>
          <t>Hydraulics</t>
        </is>
      </c>
      <c r="C11" t="inlineStr">
        <is>
          <t>Floodplain Access / Entrenchment</t>
        </is>
      </c>
      <c r="D11" s="137">
        <f>'Metrics'!$C$82</f>
        <v/>
      </c>
      <c r="E11" s="137">
        <f>'Metrics'!$B$83</f>
        <v/>
      </c>
      <c r="F11" s="137">
        <f>IF(NOT(ISNUMBER('Results'!$E$11)),"Not assessed",IF('Results'!$E$11&lt;=5,"Non-Functioning",IF('Results'!$E$11&lt;=10,"Functioning-at-Risk","Functioning")))</f>
        <v/>
      </c>
      <c r="G11" t="n">
        <v>1</v>
      </c>
      <c r="H11" t="n">
        <v>0.1</v>
      </c>
      <c r="I11" t="n">
        <v>0.1</v>
      </c>
      <c r="J11" s="137">
        <f>IF(ISNUMBER('Results'!$E$11),'Results'!$E$11,0)</f>
        <v/>
      </c>
      <c r="K11" s="137">
        <f>IF(ISNUMBER('Results'!$E$11),1,0)</f>
        <v/>
      </c>
      <c r="L11" s="137">
        <f>'Metrics'!$B$79</f>
        <v/>
      </c>
    </row>
    <row r="12">
      <c r="A12" t="inlineStr">
        <is>
          <t>Hyporheic connectivity</t>
        </is>
      </c>
      <c r="B12" t="inlineStr">
        <is>
          <t>Hydraulics</t>
        </is>
      </c>
      <c r="C12" t="inlineStr">
        <is>
          <t>Hyporheic Exchange Indicators</t>
        </is>
      </c>
      <c r="D12" s="137">
        <f>'Metrics'!$C$95</f>
        <v/>
      </c>
      <c r="E12" s="137">
        <f>'Metrics'!$B$96</f>
        <v/>
      </c>
      <c r="F12" s="137">
        <f>IF(NOT(ISNUMBER('Results'!$E$12)),"Not assessed",IF('Results'!$E$12&lt;=5,"Non-Functioning",IF('Results'!$E$12&lt;=10,"Functioning-at-Risk","Functioning")))</f>
        <v/>
      </c>
      <c r="G12" t="n">
        <v>1</v>
      </c>
      <c r="H12" t="n">
        <v>0.1</v>
      </c>
      <c r="I12" t="n">
        <v>0.1</v>
      </c>
      <c r="J12" s="137">
        <f>IF(ISNUMBER('Results'!$E$12),'Results'!$E$12,0)</f>
        <v/>
      </c>
      <c r="K12" s="137">
        <f>IF(ISNUMBER('Results'!$E$12),1,0)</f>
        <v/>
      </c>
      <c r="L12" s="137">
        <f>'Metrics'!$B$92</f>
        <v/>
      </c>
    </row>
    <row r="13">
      <c r="A13" t="inlineStr">
        <is>
          <t>Channel evolution</t>
        </is>
      </c>
      <c r="B13" t="inlineStr">
        <is>
          <t>Geomorphology</t>
        </is>
      </c>
      <c r="C13" t="inlineStr">
        <is>
          <t>Channel Evolution Stage &amp; Trends</t>
        </is>
      </c>
      <c r="D13" s="137">
        <f>'Metrics'!$C$109</f>
        <v/>
      </c>
      <c r="E13" s="137">
        <f>'Metrics'!$B$110</f>
        <v/>
      </c>
      <c r="F13" s="137">
        <f>IF(NOT(ISNUMBER('Results'!$E$13)),"Not assessed",IF('Results'!$E$13&lt;=5,"Non-Functioning",IF('Results'!$E$13&lt;=10,"Functioning-at-Risk","Functioning")))</f>
        <v/>
      </c>
      <c r="G13" t="n">
        <v>1</v>
      </c>
      <c r="H13" t="n">
        <v>0.1</v>
      </c>
      <c r="I13" t="n">
        <v>0.1</v>
      </c>
      <c r="J13" s="137">
        <f>IF(ISNUMBER('Results'!$E$13),'Results'!$E$13,0)</f>
        <v/>
      </c>
      <c r="K13" s="137">
        <f>IF(ISNUMBER('Results'!$E$13),1,0)</f>
        <v/>
      </c>
      <c r="L13" s="137">
        <f>'Metrics'!$B$106</f>
        <v/>
      </c>
    </row>
    <row r="14">
      <c r="A14" t="inlineStr">
        <is>
          <t>Channel and floodplain dynamics</t>
        </is>
      </c>
      <c r="B14" t="inlineStr">
        <is>
          <t>Geomorphology</t>
        </is>
      </c>
      <c r="C14" t="inlineStr">
        <is>
          <t>Bank Erosion &amp; Armoring Condition</t>
        </is>
      </c>
      <c r="D14" s="137">
        <f>'Metrics'!$C$121</f>
        <v/>
      </c>
      <c r="E14" s="137">
        <f>'Metrics'!$B$122</f>
        <v/>
      </c>
      <c r="F14" s="137">
        <f>IF(NOT(ISNUMBER('Results'!$E$14)),"Not assessed",IF('Results'!$E$14&lt;=5,"Non-Functioning",IF('Results'!$E$14&lt;=10,"Functioning-at-Risk","Functioning")))</f>
        <v/>
      </c>
      <c r="G14" t="n">
        <v>1</v>
      </c>
      <c r="H14" t="n">
        <v>0.1</v>
      </c>
      <c r="I14" t="n">
        <v>0.1</v>
      </c>
      <c r="J14" s="137">
        <f>IF(ISNUMBER('Results'!$E$14),'Results'!$E$14,0)</f>
        <v/>
      </c>
      <c r="K14" s="137">
        <f>IF(ISNUMBER('Results'!$E$14),1,0)</f>
        <v/>
      </c>
      <c r="L14" s="137">
        <f>'Metrics'!$B$118</f>
        <v/>
      </c>
    </row>
    <row r="15">
      <c r="A15" t="inlineStr">
        <is>
          <t>Sediment continuity</t>
        </is>
      </c>
      <c r="B15" t="inlineStr">
        <is>
          <t>Geomorphology</t>
        </is>
      </c>
      <c r="C15" t="inlineStr">
        <is>
          <t>Sediment Supply Potential (watershed/banks)</t>
        </is>
      </c>
      <c r="D15" s="137">
        <f>'Metrics'!$C$135</f>
        <v/>
      </c>
      <c r="E15" s="137">
        <f>'Metrics'!$B$136</f>
        <v/>
      </c>
      <c r="F15" s="137">
        <f>IF(NOT(ISNUMBER('Results'!$E$15)),"Not assessed",IF('Results'!$E$15&lt;=5,"Non-Functioning",IF('Results'!$E$15&lt;=10,"Functioning-at-Risk","Functioning")))</f>
        <v/>
      </c>
      <c r="G15" t="n">
        <v>1</v>
      </c>
      <c r="H15" t="n">
        <v>0.1</v>
      </c>
      <c r="I15" t="n">
        <v>0.1</v>
      </c>
      <c r="J15" s="137">
        <f>IF(ISNUMBER('Results'!$E$15),'Results'!$E$15,0)</f>
        <v/>
      </c>
      <c r="K15" s="137">
        <f>IF(ISNUMBER('Results'!$E$15),1,0)</f>
        <v/>
      </c>
      <c r="L15" s="137">
        <f>'Metrics'!$B$132</f>
        <v/>
      </c>
    </row>
    <row r="16">
      <c r="A16" t="inlineStr">
        <is>
          <t>Bed composition and large wood</t>
        </is>
      </c>
      <c r="B16" t="inlineStr">
        <is>
          <t>Geomorphology</t>
        </is>
      </c>
      <c r="C16" t="inlineStr">
        <is>
          <t>Substrate Condition (grain size/embeddedness/fines/consolidation)</t>
        </is>
      </c>
      <c r="D16" s="137">
        <f>'Metrics'!$C$145</f>
        <v/>
      </c>
      <c r="E16" s="137">
        <f>'Metrics'!$B$146</f>
        <v/>
      </c>
      <c r="F16" s="137">
        <f>IF(NOT(ISNUMBER('Results'!$E$16)),"Not assessed",IF('Results'!$E$16&lt;=5,"Non-Functioning",IF('Results'!$E$16&lt;=10,"Functioning-at-Risk","Functioning")))</f>
        <v/>
      </c>
      <c r="G16" t="n">
        <v>1</v>
      </c>
      <c r="H16" t="n">
        <v>0.1</v>
      </c>
      <c r="I16" t="n">
        <v>0.1</v>
      </c>
      <c r="J16" s="137">
        <f>IF(ISNUMBER('Results'!$E$16),'Results'!$E$16,0)</f>
        <v/>
      </c>
      <c r="K16" s="137">
        <f>IF(ISNUMBER('Results'!$E$16),1,0)</f>
        <v/>
      </c>
      <c r="L16" s="137">
        <f>'Metrics'!$B$142</f>
        <v/>
      </c>
    </row>
    <row r="17">
      <c r="A17" t="inlineStr">
        <is>
          <t>Light &amp; thermal regime</t>
        </is>
      </c>
      <c r="B17" t="inlineStr">
        <is>
          <t>Physicochemistry</t>
        </is>
      </c>
      <c r="C17" t="inlineStr">
        <is>
          <t>Stream Temperature</t>
        </is>
      </c>
      <c r="D17" s="137">
        <f>'Metrics'!$C$160</f>
        <v/>
      </c>
      <c r="E17" s="137">
        <f>'Metrics'!$B$161</f>
        <v/>
      </c>
      <c r="F17" s="137">
        <f>IF(NOT(ISNUMBER('Results'!$E$17)),"Not assessed",IF('Results'!$E$17&lt;=5,"Non-Functioning",IF('Results'!$E$17&lt;=10,"Functioning-at-Risk","Functioning")))</f>
        <v/>
      </c>
      <c r="G17" t="n">
        <v>0</v>
      </c>
      <c r="H17" t="n">
        <v>1</v>
      </c>
      <c r="I17" t="n">
        <v>0.1</v>
      </c>
      <c r="J17" s="137">
        <f>IF(ISNUMBER('Results'!$E$17),'Results'!$E$17,0)</f>
        <v/>
      </c>
      <c r="K17" s="137">
        <f>IF(ISNUMBER('Results'!$E$17),1,0)</f>
        <v/>
      </c>
      <c r="L17" s="137">
        <f>'Metrics'!$B$157</f>
        <v/>
      </c>
    </row>
    <row r="18">
      <c r="A18" t="inlineStr">
        <is>
          <t>Carbon processing</t>
        </is>
      </c>
      <c r="B18" t="inlineStr">
        <is>
          <t>Physicochemistry</t>
        </is>
      </c>
      <c r="C18" t="inlineStr">
        <is>
          <t>Detrital Processing (CPOM retention / shredders)</t>
        </is>
      </c>
      <c r="D18" s="137">
        <f>'Metrics'!$C$176</f>
        <v/>
      </c>
      <c r="E18" s="137">
        <f>'Metrics'!$B$177</f>
        <v/>
      </c>
      <c r="F18" s="137">
        <f>IF(NOT(ISNUMBER('Results'!$E$18)),"Not assessed",IF('Results'!$E$18&lt;=5,"Non-Functioning",IF('Results'!$E$18&lt;=10,"Functioning-at-Risk","Functioning")))</f>
        <v/>
      </c>
      <c r="G18" t="n">
        <v>0</v>
      </c>
      <c r="H18" t="n">
        <v>1</v>
      </c>
      <c r="I18" t="n">
        <v>0.1</v>
      </c>
      <c r="J18" s="137">
        <f>IF(ISNUMBER('Results'!$E$18),'Results'!$E$18,0)</f>
        <v/>
      </c>
      <c r="K18" s="137">
        <f>IF(ISNUMBER('Results'!$E$18),1,0)</f>
        <v/>
      </c>
      <c r="L18" s="137">
        <f>'Metrics'!$B$173</f>
        <v/>
      </c>
    </row>
    <row r="19">
      <c r="A19" t="inlineStr">
        <is>
          <t>Nutrient cycling</t>
        </is>
      </c>
      <c r="B19" t="inlineStr">
        <is>
          <t>Physicochemistry</t>
        </is>
      </c>
      <c r="C19" t="inlineStr">
        <is>
          <t>Nitrogen &amp; Phosphorus Concentrations</t>
        </is>
      </c>
      <c r="D19" s="137">
        <f>'Metrics'!$C$188</f>
        <v/>
      </c>
      <c r="E19" s="137">
        <f>'Metrics'!$B$189</f>
        <v/>
      </c>
      <c r="F19" s="137">
        <f>IF(NOT(ISNUMBER('Results'!$E$19)),"Not assessed",IF('Results'!$E$19&lt;=5,"Non-Functioning",IF('Results'!$E$19&lt;=10,"Functioning-at-Risk","Functioning")))</f>
        <v/>
      </c>
      <c r="G19" t="n">
        <v>0.1</v>
      </c>
      <c r="H19" t="n">
        <v>1</v>
      </c>
      <c r="I19" t="n">
        <v>0.1</v>
      </c>
      <c r="J19" s="137">
        <f>IF(ISNUMBER('Results'!$E$19),'Results'!$E$19,0)</f>
        <v/>
      </c>
      <c r="K19" s="137">
        <f>IF(ISNUMBER('Results'!$E$19),1,0)</f>
        <v/>
      </c>
      <c r="L19" s="137">
        <f>'Metrics'!$B$185</f>
        <v/>
      </c>
    </row>
    <row r="20">
      <c r="A20" t="inlineStr">
        <is>
          <t>Water &amp; soil quality</t>
        </is>
      </c>
      <c r="B20" t="inlineStr">
        <is>
          <t>Physicochemistry</t>
        </is>
      </c>
      <c r="C20" t="inlineStr">
        <is>
          <t>Regulatory Impairment Status (305b/303d/TMDL)</t>
        </is>
      </c>
      <c r="D20" s="137">
        <f>'Metrics'!$C$199</f>
        <v/>
      </c>
      <c r="E20" s="137">
        <f>'Metrics'!$B$200</f>
        <v/>
      </c>
      <c r="F20" s="137">
        <f>IF(NOT(ISNUMBER('Results'!$E$20)),"Not assessed",IF('Results'!$E$20&lt;=5,"Non-Functioning",IF('Results'!$E$20&lt;=10,"Functioning-at-Risk","Functioning")))</f>
        <v/>
      </c>
      <c r="G20" t="n">
        <v>0.1</v>
      </c>
      <c r="H20" t="n">
        <v>1</v>
      </c>
      <c r="I20" t="n">
        <v>0.1</v>
      </c>
      <c r="J20" s="137">
        <f>IF(ISNUMBER('Results'!$E$20),'Results'!$E$20,0)</f>
        <v/>
      </c>
      <c r="K20" s="137">
        <f>IF(ISNUMBER('Results'!$E$20),1,0)</f>
        <v/>
      </c>
      <c r="L20" s="137">
        <f>'Metrics'!$B$196</f>
        <v/>
      </c>
    </row>
    <row r="21">
      <c r="A21" t="inlineStr">
        <is>
          <t>Habitat provision</t>
        </is>
      </c>
      <c r="B21" t="inlineStr">
        <is>
          <t>Biology</t>
        </is>
      </c>
      <c r="C21" t="inlineStr">
        <is>
          <t>In-stream Habitat Complexity &amp; Cover</t>
        </is>
      </c>
      <c r="D21" s="137">
        <f>'Metrics'!$C$212</f>
        <v/>
      </c>
      <c r="E21" s="137">
        <f>'Metrics'!$B$213</f>
        <v/>
      </c>
      <c r="F21" s="137">
        <f>IF(NOT(ISNUMBER('Results'!$E$21)),"Not assessed",IF('Results'!$E$21&lt;=5,"Non-Functioning",IF('Results'!$E$21&lt;=10,"Functioning-at-Risk","Functioning")))</f>
        <v/>
      </c>
      <c r="G21" t="n">
        <v>0</v>
      </c>
      <c r="H21" t="n">
        <v>0</v>
      </c>
      <c r="I21" t="n">
        <v>1</v>
      </c>
      <c r="J21" s="137">
        <f>IF(ISNUMBER('Results'!$E$21),'Results'!$E$21,0)</f>
        <v/>
      </c>
      <c r="K21" s="137">
        <f>IF(ISNUMBER('Results'!$E$21),1,0)</f>
        <v/>
      </c>
      <c r="L21" s="137">
        <f>'Metrics'!$B$209</f>
        <v/>
      </c>
    </row>
    <row r="22">
      <c r="A22" t="inlineStr">
        <is>
          <t>Population support</t>
        </is>
      </c>
      <c r="B22" t="inlineStr">
        <is>
          <t>Biology</t>
        </is>
      </c>
      <c r="C22" t="inlineStr">
        <is>
          <t>Biological Integrity (IBI / community condition)</t>
        </is>
      </c>
      <c r="D22" s="137">
        <f>'Metrics'!$C$225</f>
        <v/>
      </c>
      <c r="E22" s="137">
        <f>'Metrics'!$B$226</f>
        <v/>
      </c>
      <c r="F22" s="137">
        <f>IF(NOT(ISNUMBER('Results'!$E$22)),"Not assessed",IF('Results'!$E$22&lt;=5,"Non-Functioning",IF('Results'!$E$22&lt;=10,"Functioning-at-Risk","Functioning")))</f>
        <v/>
      </c>
      <c r="G22" t="n">
        <v>0.1</v>
      </c>
      <c r="H22" t="n">
        <v>0.1</v>
      </c>
      <c r="I22" t="n">
        <v>1</v>
      </c>
      <c r="J22" s="137">
        <f>IF(ISNUMBER('Results'!$E$22),'Results'!$E$22,0)</f>
        <v/>
      </c>
      <c r="K22" s="137">
        <f>IF(ISNUMBER('Results'!$E$22),1,0)</f>
        <v/>
      </c>
      <c r="L22" s="137">
        <f>'Metrics'!$B$222</f>
        <v/>
      </c>
    </row>
    <row r="23">
      <c r="A23" t="inlineStr">
        <is>
          <t>Community dynamics</t>
        </is>
      </c>
      <c r="B23" t="inlineStr">
        <is>
          <t>Biology</t>
        </is>
      </c>
      <c r="C23" t="inlineStr">
        <is>
          <t>Invasive / Non-native Species Presence</t>
        </is>
      </c>
      <c r="D23" s="137">
        <f>'Metrics'!$C$235</f>
        <v/>
      </c>
      <c r="E23" s="137">
        <f>'Metrics'!$B$236</f>
        <v/>
      </c>
      <c r="F23" s="137">
        <f>IF(NOT(ISNUMBER('Results'!$E$23)),"Not assessed",IF('Results'!$E$23&lt;=5,"Non-Functioning",IF('Results'!$E$23&lt;=10,"Functioning-at-Risk","Functioning")))</f>
        <v/>
      </c>
      <c r="G23" t="n">
        <v>0.1</v>
      </c>
      <c r="H23" t="n">
        <v>0.1</v>
      </c>
      <c r="I23" t="n">
        <v>1</v>
      </c>
      <c r="J23" s="137">
        <f>IF(ISNUMBER('Results'!$E$23),'Results'!$E$23,0)</f>
        <v/>
      </c>
      <c r="K23" s="137">
        <f>IF(ISNUMBER('Results'!$E$23),1,0)</f>
        <v/>
      </c>
      <c r="L23" s="137">
        <f>'Metrics'!$B$232</f>
        <v/>
      </c>
    </row>
    <row r="24">
      <c r="A24" t="inlineStr">
        <is>
          <t>Watershed connectivity</t>
        </is>
      </c>
      <c r="B24" t="inlineStr">
        <is>
          <t>Biology</t>
        </is>
      </c>
      <c r="C24" t="inlineStr">
        <is>
          <t>Fish Passage &amp; Barrier Effects (longitudinal connectivity)</t>
        </is>
      </c>
      <c r="D24" s="137">
        <f>'Metrics'!$C$245</f>
        <v/>
      </c>
      <c r="E24" s="137">
        <f>'Metrics'!$B$246</f>
        <v/>
      </c>
      <c r="F24" s="137">
        <f>IF(NOT(ISNUMBER('Results'!$E$24)),"Not assessed",IF('Results'!$E$24&lt;=5,"Non-Functioning",IF('Results'!$E$24&lt;=10,"Functioning-at-Risk","Functioning")))</f>
        <v/>
      </c>
      <c r="G24" t="n">
        <v>0.1</v>
      </c>
      <c r="H24" t="n">
        <v>0</v>
      </c>
      <c r="I24" t="n">
        <v>1</v>
      </c>
      <c r="J24" s="137">
        <f>IF(ISNUMBER('Results'!$E$24),'Results'!$E$24,0)</f>
        <v/>
      </c>
      <c r="K24" s="137">
        <f>IF(ISNUMBER('Results'!$E$24),1,0)</f>
        <v/>
      </c>
      <c r="L24" s="137">
        <f>'Metrics'!$B$242</f>
        <v/>
      </c>
    </row>
    <row r="26">
      <c r="A26" s="136" t="inlineStr">
        <is>
          <t>Outcome</t>
        </is>
      </c>
      <c r="B26" s="136" t="inlineStr">
        <is>
          <t>Weighted score</t>
        </is>
      </c>
      <c r="C26" s="136" t="inlineStr">
        <is>
          <t>Weighted maximum</t>
        </is>
      </c>
      <c r="D26" s="136" t="inlineStr">
        <is>
          <t>Sub-index</t>
        </is>
      </c>
      <c r="E26" s="136" t="inlineStr">
        <is>
          <t>Displayed</t>
        </is>
      </c>
      <c r="F26" s="136" t="inlineStr">
        <is>
          <t>Class</t>
        </is>
      </c>
      <c r="G26" s="136" t="inlineStr">
        <is>
          <t>Coverage</t>
        </is>
      </c>
    </row>
    <row r="27">
      <c r="A27" t="inlineStr">
        <is>
          <t>Physical</t>
        </is>
      </c>
      <c r="B27" s="137">
        <f>SUMPRODUCT('Results'!$J$5:$J$24,'Results'!$G$5:$G$24,'Results'!$K$5:$K$24)</f>
        <v/>
      </c>
      <c r="C27" s="137">
        <f>SUMPRODUCT('Results'!$G$5:$G$24,'Results'!$K$5:$K$24)*15</f>
        <v/>
      </c>
      <c r="D27" s="143">
        <f>IF('Results'!$C$27=0,"",'Results'!$B$27/'Results'!$C$27)</f>
        <v/>
      </c>
      <c r="E27" s="144">
        <f>IF('Results'!$D$27="","",ROUND('Results'!$D$27,2))</f>
        <v/>
      </c>
      <c r="F27" s="137">
        <f>IF('Results'!$E$27="","Not assessed",IF('Results'!$E$27&lt;=0.39,"Non-Functioning",IF('Results'!$E$27&lt;=0.69,"Functioning-at-Risk","Functioning")))</f>
        <v/>
      </c>
      <c r="G27" s="144">
        <f>IF(SUMPRODUCT('Results'!$G$5:$G$24)=0,"",SUMPRODUCT('Results'!$G$5:$G$24,'Results'!$K$5:$K$24)/SUMPRODUCT('Results'!$G$5:$G$24))</f>
        <v/>
      </c>
    </row>
    <row r="28">
      <c r="A28" t="inlineStr">
        <is>
          <t>Chemical</t>
        </is>
      </c>
      <c r="B28" s="137">
        <f>SUMPRODUCT('Results'!$J$5:$J$24,'Results'!$H$5:$H$24,'Results'!$K$5:$K$24)</f>
        <v/>
      </c>
      <c r="C28" s="137">
        <f>SUMPRODUCT('Results'!$H$5:$H$24,'Results'!$K$5:$K$24)*15</f>
        <v/>
      </c>
      <c r="D28" s="143">
        <f>IF('Results'!$C$28=0,"",'Results'!$B$28/'Results'!$C$28)</f>
        <v/>
      </c>
      <c r="E28" s="144">
        <f>IF('Results'!$D$28="","",ROUND('Results'!$D$28,2))</f>
        <v/>
      </c>
      <c r="F28" s="137">
        <f>IF('Results'!$E$28="","Not assessed",IF('Results'!$E$28&lt;=0.39,"Non-Functioning",IF('Results'!$E$28&lt;=0.69,"Functioning-at-Risk","Functioning")))</f>
        <v/>
      </c>
      <c r="G28" s="144">
        <f>IF(SUMPRODUCT('Results'!$H$5:$H$24)=0,"",SUMPRODUCT('Results'!$H$5:$H$24,'Results'!$K$5:$K$24)/SUMPRODUCT('Results'!$H$5:$H$24))</f>
        <v/>
      </c>
    </row>
    <row r="29">
      <c r="A29" t="inlineStr">
        <is>
          <t>Biological</t>
        </is>
      </c>
      <c r="B29" s="137">
        <f>SUMPRODUCT('Results'!$J$5:$J$24,'Results'!$I$5:$I$24,'Results'!$K$5:$K$24)</f>
        <v/>
      </c>
      <c r="C29" s="137">
        <f>SUMPRODUCT('Results'!$I$5:$I$24,'Results'!$K$5:$K$24)*15</f>
        <v/>
      </c>
      <c r="D29" s="143">
        <f>IF('Results'!$C$29=0,"",'Results'!$B$29/'Results'!$C$29)</f>
        <v/>
      </c>
      <c r="E29" s="144">
        <f>IF('Results'!$D$29="","",ROUND('Results'!$D$29,2))</f>
        <v/>
      </c>
      <c r="F29" s="137">
        <f>IF('Results'!$E$29="","Not assessed",IF('Results'!$E$29&lt;=0.39,"Non-Functioning",IF('Results'!$E$29&lt;=0.69,"Functioning-at-Risk","Functioning")))</f>
        <v/>
      </c>
      <c r="G29" s="144">
        <f>IF(SUMPRODUCT('Results'!$I$5:$I$24)=0,"",SUMPRODUCT('Results'!$I$5:$I$24,'Results'!$K$5:$K$24)/SUMPRODUCT('Results'!$I$5:$I$24))</f>
        <v/>
      </c>
    </row>
    <row r="30">
      <c r="A30" s="145" t="inlineStr">
        <is>
          <t>Ecosystem Condition Index</t>
        </is>
      </c>
      <c r="D30" s="146">
        <f>IF(COUNT('Results'!$D$27,'Results'!$D$28,'Results'!$D$29)=0,"",AVERAGE('Results'!$D$27,'Results'!$D$28,'Results'!$D$29))</f>
        <v/>
      </c>
      <c r="E30" s="147">
        <f>IF('Results'!$D$30="","",ROUND('Results'!$D$30,2))</f>
        <v/>
      </c>
      <c r="F30" s="140">
        <f>IF('Results'!$E$30="","Not assessed",IF('Results'!$E$30&lt;=0.39,"Non-Functioning",IF('Results'!$E$30&lt;=0.69,"Functioning-at-Risk","Functioning")))</f>
        <v/>
      </c>
    </row>
    <row r="32">
      <c r="A32" s="136" t="inlineStr">
        <is>
          <t>Coverage</t>
        </is>
      </c>
      <c r="B32" s="136" t="inlineStr">
        <is>
          <t>Value</t>
        </is>
      </c>
      <c r="C32" s="136" t="inlineStr"/>
      <c r="D32" s="136" t="inlineStr"/>
      <c r="E32" s="136" t="inlineStr"/>
      <c r="F32" s="136" t="inlineStr"/>
      <c r="G32" s="136" t="inlineStr"/>
    </row>
    <row r="33">
      <c r="A33" t="inlineStr">
        <is>
          <t>Functions rated</t>
        </is>
      </c>
      <c r="B33" s="137">
        <f>SUM('Results'!$K$5:$K$24)</f>
        <v/>
      </c>
    </row>
    <row r="34">
      <c r="A34" t="inlineStr">
        <is>
          <t>Functions selected</t>
        </is>
      </c>
      <c r="B34" s="137" t="n">
        <v>20</v>
      </c>
    </row>
    <row r="35">
      <c r="A35" t="inlineStr">
        <is>
          <t>Overall coverage</t>
        </is>
      </c>
      <c r="B35" s="144">
        <f>'Results'!$B$33/'Results'!$B$34</f>
        <v/>
      </c>
    </row>
    <row r="36">
      <c r="A36" t="inlineStr">
        <is>
          <t>Provisional (coverage below 0.70 overall or for an outcome)</t>
        </is>
      </c>
      <c r="B36" s="137">
        <f>IF(OR(AND(ISNUMBER('Results'!$B$35),'Results'!$B$35&lt;0.7),AND(ISNUMBER('Results'!$G$27),'Results'!$G$27&lt;0.7),AND(ISNUMBER('Results'!$G$28),'Results'!$G$28&lt;0.7),AND(ISNUMBER('Results'!$G$29),'Results'!$G$29&lt;0.7)),"yes","no")</f>
        <v/>
      </c>
    </row>
    <row r="37">
      <c r="A37" t="inlineStr">
        <is>
          <t>Status</t>
        </is>
      </c>
      <c r="B37" s="137">
        <f>IF('Results'!$B$35=1,"Complete screening coverage","Partial screening coverage")</f>
        <v/>
      </c>
    </row>
  </sheetData>
  <sheetProtection selectLockedCells="0" selectUnlockedCells="0" sheet="1" objects="0" insertRows="1" insertHyperlinks="1" autoFilter="1" scenarios="0" formatColumns="1" deleteColumns="1" insertColumns="1" pivotTables="1" deleteRows="1" formatCells="1" formatRows="1" sort="1" password="CA09"/>
  <pageMargins left="0.75" right="0.75" top="1" bottom="1" header="0.5" footer="0.5"/>
</worksheet>
</file>

<file path=xl/worksheets/sheet5.xml><?xml version="1.0" encoding="utf-8"?>
<worksheet xmlns="http://schemas.openxmlformats.org/spreadsheetml/2006/main">
  <sheetPr>
    <outlinePr summaryBelow="1" summaryRight="1"/>
    <pageSetUpPr/>
  </sheetPr>
  <dimension ref="A1:V181"/>
  <sheetViews>
    <sheetView showGridLines="0" tabSelected="0" workbookViewId="0">
      <selection activeCell="A1" sqref="A1"/>
    </sheetView>
  </sheetViews>
  <sheetFormatPr baseColWidth="8" defaultRowHeight="15"/>
  <cols>
    <col width="34" customWidth="1" min="1" max="1"/>
    <col width="16" customWidth="1" min="2" max="2"/>
    <col width="16" customWidth="1" min="3" max="3"/>
    <col width="14" customWidth="1" min="4" max="4"/>
    <col width="12" customWidth="1" min="5" max="5"/>
    <col width="12" customWidth="1" min="6" max="6"/>
  </cols>
  <sheetData>
    <row r="1">
      <c r="A1" s="134" t="inlineStr">
        <is>
          <t>Reference tables generated from the EASI scoring definitions</t>
        </is>
      </c>
    </row>
    <row r="2">
      <c r="A2" s="8" t="inlineStr">
        <is>
          <t>Read only. These values are the application's own catalog, reference curves, regional thresholds, lookups and weights. The Metrics sheet reads them by cell reference.</t>
        </is>
      </c>
    </row>
    <row r="4">
      <c r="A4" s="135" t="inlineStr">
        <is>
          <t>Rating anchors and function scores</t>
        </is>
      </c>
    </row>
    <row r="5">
      <c r="A5" s="136" t="inlineStr">
        <is>
          <t>Rating</t>
        </is>
      </c>
      <c r="B5" s="136" t="inlineStr">
        <is>
          <t>Index anchor</t>
        </is>
      </c>
      <c r="C5" s="136" t="inlineStr">
        <is>
          <t>Function score</t>
        </is>
      </c>
      <c r="D5" s="136" t="inlineStr">
        <is>
          <t>Score class</t>
        </is>
      </c>
    </row>
    <row r="6">
      <c r="A6" t="inlineStr">
        <is>
          <t>Good</t>
        </is>
      </c>
      <c r="B6" s="148" t="n">
        <v>0.85</v>
      </c>
      <c r="C6" t="n">
        <v>13</v>
      </c>
      <c r="D6" t="inlineStr">
        <is>
          <t>Functioning</t>
        </is>
      </c>
    </row>
    <row r="7">
      <c r="A7" t="inlineStr">
        <is>
          <t>Fair</t>
        </is>
      </c>
      <c r="B7" s="148" t="n">
        <v>0.545</v>
      </c>
      <c r="C7" t="n">
        <v>8</v>
      </c>
      <c r="D7" t="inlineStr">
        <is>
          <t>Functioning-at-Risk</t>
        </is>
      </c>
    </row>
    <row r="8">
      <c r="A8" t="inlineStr">
        <is>
          <t>Poor</t>
        </is>
      </c>
      <c r="B8" s="148" t="n">
        <v>0.195</v>
      </c>
      <c r="C8" t="n">
        <v>3</v>
      </c>
      <c r="D8" t="inlineStr">
        <is>
          <t>Non-Functioning</t>
        </is>
      </c>
    </row>
    <row r="10">
      <c r="A10" s="135" t="inlineStr">
        <is>
          <t>Condition classes</t>
        </is>
      </c>
    </row>
    <row r="11">
      <c r="A11" s="136" t="inlineStr">
        <is>
          <t>Index at or below</t>
        </is>
      </c>
      <c r="B11" s="136" t="inlineStr">
        <is>
          <t>Class</t>
        </is>
      </c>
      <c r="C11" s="136" t="inlineStr">
        <is>
          <t>Function score at or below</t>
        </is>
      </c>
    </row>
    <row r="12">
      <c r="A12" t="n">
        <v>0.39</v>
      </c>
      <c r="B12" t="inlineStr">
        <is>
          <t>Non-Functioning</t>
        </is>
      </c>
      <c r="C12" t="n">
        <v>5</v>
      </c>
    </row>
    <row r="13">
      <c r="A13" t="n">
        <v>0.6899999999999999</v>
      </c>
      <c r="B13" t="inlineStr">
        <is>
          <t>Functioning-at-Risk</t>
        </is>
      </c>
      <c r="C13" t="n">
        <v>10</v>
      </c>
    </row>
    <row r="14">
      <c r="A14" t="n">
        <v>1</v>
      </c>
      <c r="B14" t="inlineStr">
        <is>
          <t>Functioning</t>
        </is>
      </c>
      <c r="C14" t="n">
        <v>15</v>
      </c>
    </row>
    <row r="16">
      <c r="A16" s="135" t="inlineStr">
        <is>
          <t>Fixed bands per input (informational; the Metrics formulas carry the same tests)</t>
        </is>
      </c>
    </row>
    <row r="17">
      <c r="A17" s="136" t="inlineStr">
        <is>
          <t>Method</t>
        </is>
      </c>
      <c r="B17" s="136" t="inlineStr">
        <is>
          <t>Input</t>
        </is>
      </c>
      <c r="C17" s="136" t="inlineStr">
        <is>
          <t>Rating</t>
        </is>
      </c>
      <c r="D17" s="136" t="inlineStr">
        <is>
          <t>Min</t>
        </is>
      </c>
      <c r="E17" s="136" t="inlineStr">
        <is>
          <t>Min inclusive</t>
        </is>
      </c>
      <c r="F17" s="136" t="inlineStr">
        <is>
          <t>Max</t>
        </is>
      </c>
      <c r="G17" s="136" t="inlineStr">
        <is>
          <t>Max inclusive</t>
        </is>
      </c>
      <c r="H17" s="136" t="inlineStr">
        <is>
          <t>Label</t>
        </is>
      </c>
    </row>
    <row r="18">
      <c r="A18" t="inlineStr">
        <is>
          <t>catchment-land-cover-pressure</t>
        </is>
      </c>
      <c r="B18" t="inlineStr">
        <is>
          <t>impervious</t>
        </is>
      </c>
      <c r="C18" t="inlineStr">
        <is>
          <t>Good</t>
        </is>
      </c>
      <c r="E18" t="inlineStr">
        <is>
          <t>FALSE</t>
        </is>
      </c>
      <c r="F18" t="n">
        <v>10</v>
      </c>
      <c r="G18" t="inlineStr">
        <is>
          <t>FALSE</t>
        </is>
      </c>
      <c r="H18" t="inlineStr">
        <is>
          <t>&lt;10%</t>
        </is>
      </c>
    </row>
    <row r="19">
      <c r="A19" t="inlineStr">
        <is>
          <t>catchment-land-cover-pressure</t>
        </is>
      </c>
      <c r="B19" t="inlineStr">
        <is>
          <t>impervious</t>
        </is>
      </c>
      <c r="C19" t="inlineStr">
        <is>
          <t>Fair</t>
        </is>
      </c>
      <c r="D19" t="n">
        <v>10</v>
      </c>
      <c r="E19" t="inlineStr">
        <is>
          <t>TRUE</t>
        </is>
      </c>
      <c r="F19" t="n">
        <v>25</v>
      </c>
      <c r="G19" t="inlineStr">
        <is>
          <t>TRUE</t>
        </is>
      </c>
      <c r="H19" t="inlineStr">
        <is>
          <t>10-25%</t>
        </is>
      </c>
    </row>
    <row r="20">
      <c r="A20" t="inlineStr">
        <is>
          <t>catchment-land-cover-pressure</t>
        </is>
      </c>
      <c r="B20" t="inlineStr">
        <is>
          <t>impervious</t>
        </is>
      </c>
      <c r="C20" t="inlineStr">
        <is>
          <t>Poor</t>
        </is>
      </c>
      <c r="D20" t="n">
        <v>25</v>
      </c>
      <c r="E20" t="inlineStr">
        <is>
          <t>FALSE</t>
        </is>
      </c>
      <c r="G20" t="inlineStr">
        <is>
          <t>FALSE</t>
        </is>
      </c>
      <c r="H20" t="inlineStr">
        <is>
          <t>&gt;25%</t>
        </is>
      </c>
    </row>
    <row r="21">
      <c r="A21" t="inlineStr">
        <is>
          <t>catchment-land-cover-pressure</t>
        </is>
      </c>
      <c r="B21" t="inlineStr">
        <is>
          <t>agriculture</t>
        </is>
      </c>
      <c r="C21" t="inlineStr">
        <is>
          <t>Good</t>
        </is>
      </c>
      <c r="E21" t="inlineStr">
        <is>
          <t>FALSE</t>
        </is>
      </c>
      <c r="F21" t="n">
        <v>30</v>
      </c>
      <c r="G21" t="inlineStr">
        <is>
          <t>FALSE</t>
        </is>
      </c>
      <c r="H21" t="inlineStr">
        <is>
          <t>&lt;30%</t>
        </is>
      </c>
    </row>
    <row r="22">
      <c r="A22" t="inlineStr">
        <is>
          <t>catchment-land-cover-pressure</t>
        </is>
      </c>
      <c r="B22" t="inlineStr">
        <is>
          <t>agriculture</t>
        </is>
      </c>
      <c r="C22" t="inlineStr">
        <is>
          <t>Fair</t>
        </is>
      </c>
      <c r="D22" t="n">
        <v>30</v>
      </c>
      <c r="E22" t="inlineStr">
        <is>
          <t>TRUE</t>
        </is>
      </c>
      <c r="F22" t="n">
        <v>50</v>
      </c>
      <c r="G22" t="inlineStr">
        <is>
          <t>TRUE</t>
        </is>
      </c>
      <c r="H22" t="inlineStr">
        <is>
          <t>30-50%</t>
        </is>
      </c>
    </row>
    <row r="23">
      <c r="A23" t="inlineStr">
        <is>
          <t>catchment-land-cover-pressure</t>
        </is>
      </c>
      <c r="B23" t="inlineStr">
        <is>
          <t>agriculture</t>
        </is>
      </c>
      <c r="C23" t="inlineStr">
        <is>
          <t>Poor</t>
        </is>
      </c>
      <c r="D23" t="n">
        <v>50</v>
      </c>
      <c r="E23" t="inlineStr">
        <is>
          <t>FALSE</t>
        </is>
      </c>
      <c r="G23" t="inlineStr">
        <is>
          <t>FALSE</t>
        </is>
      </c>
      <c r="H23" t="inlineStr">
        <is>
          <t>&gt;50%</t>
        </is>
      </c>
    </row>
    <row r="24">
      <c r="A24" t="inlineStr">
        <is>
          <t>watershed-wetland-extent</t>
        </is>
      </c>
      <c r="B24" t="inlineStr">
        <is>
          <t>(combined)</t>
        </is>
      </c>
      <c r="C24" t="inlineStr">
        <is>
          <t>Poor</t>
        </is>
      </c>
      <c r="E24" t="inlineStr">
        <is>
          <t>FALSE</t>
        </is>
      </c>
      <c r="F24" t="n">
        <v>1</v>
      </c>
      <c r="G24" t="inlineStr">
        <is>
          <t>FALSE</t>
        </is>
      </c>
      <c r="H24" t="inlineStr">
        <is>
          <t>&lt;1%</t>
        </is>
      </c>
    </row>
    <row r="25">
      <c r="A25" t="inlineStr">
        <is>
          <t>watershed-wetland-extent</t>
        </is>
      </c>
      <c r="B25" t="inlineStr">
        <is>
          <t>(combined)</t>
        </is>
      </c>
      <c r="C25" t="inlineStr">
        <is>
          <t>Fair</t>
        </is>
      </c>
      <c r="D25" t="n">
        <v>1</v>
      </c>
      <c r="E25" t="inlineStr">
        <is>
          <t>TRUE</t>
        </is>
      </c>
      <c r="F25" t="n">
        <v>5</v>
      </c>
      <c r="G25" t="inlineStr">
        <is>
          <t>TRUE</t>
        </is>
      </c>
      <c r="H25" t="inlineStr">
        <is>
          <t>1-5%</t>
        </is>
      </c>
    </row>
    <row r="26">
      <c r="A26" t="inlineStr">
        <is>
          <t>watershed-wetland-extent</t>
        </is>
      </c>
      <c r="B26" t="inlineStr">
        <is>
          <t>(combined)</t>
        </is>
      </c>
      <c r="C26" t="inlineStr">
        <is>
          <t>Good</t>
        </is>
      </c>
      <c r="D26" t="n">
        <v>5</v>
      </c>
      <c r="E26" t="inlineStr">
        <is>
          <t>FALSE</t>
        </is>
      </c>
      <c r="G26" t="inlineStr">
        <is>
          <t>FALSE</t>
        </is>
      </c>
      <c r="H26" t="inlineStr">
        <is>
          <t>&gt;5%</t>
        </is>
      </c>
    </row>
    <row r="27">
      <c r="A27" t="inlineStr">
        <is>
          <t>road-density-inflow-pressure</t>
        </is>
      </c>
      <c r="B27" t="inlineStr">
        <is>
          <t>(combined)</t>
        </is>
      </c>
      <c r="C27" t="inlineStr">
        <is>
          <t>Good</t>
        </is>
      </c>
      <c r="E27" t="inlineStr">
        <is>
          <t>FALSE</t>
        </is>
      </c>
      <c r="F27" t="n">
        <v>1</v>
      </c>
      <c r="G27" t="inlineStr">
        <is>
          <t>FALSE</t>
        </is>
      </c>
      <c r="H27" t="inlineStr">
        <is>
          <t>&lt;1 km/km²</t>
        </is>
      </c>
    </row>
    <row r="28">
      <c r="A28" t="inlineStr">
        <is>
          <t>road-density-inflow-pressure</t>
        </is>
      </c>
      <c r="B28" t="inlineStr">
        <is>
          <t>(combined)</t>
        </is>
      </c>
      <c r="C28" t="inlineStr">
        <is>
          <t>Fair</t>
        </is>
      </c>
      <c r="D28" t="n">
        <v>1</v>
      </c>
      <c r="E28" t="inlineStr">
        <is>
          <t>TRUE</t>
        </is>
      </c>
      <c r="F28" t="n">
        <v>3</v>
      </c>
      <c r="G28" t="inlineStr">
        <is>
          <t>FALSE</t>
        </is>
      </c>
      <c r="H28" t="inlineStr">
        <is>
          <t>1-&lt;3 km/km²</t>
        </is>
      </c>
    </row>
    <row r="29">
      <c r="A29" t="inlineStr">
        <is>
          <t>road-density-inflow-pressure</t>
        </is>
      </c>
      <c r="B29" t="inlineStr">
        <is>
          <t>(combined)</t>
        </is>
      </c>
      <c r="C29" t="inlineStr">
        <is>
          <t>Poor</t>
        </is>
      </c>
      <c r="D29" t="n">
        <v>3</v>
      </c>
      <c r="E29" t="inlineStr">
        <is>
          <t>TRUE</t>
        </is>
      </c>
      <c r="G29" t="inlineStr">
        <is>
          <t>FALSE</t>
        </is>
      </c>
      <c r="H29" t="inlineStr">
        <is>
          <t>≥3 km/km²</t>
        </is>
      </c>
    </row>
    <row r="30">
      <c r="A30" t="inlineStr">
        <is>
          <t>degree-of-regulation</t>
        </is>
      </c>
      <c r="B30" t="inlineStr">
        <is>
          <t>(combined)</t>
        </is>
      </c>
      <c r="C30" t="inlineStr">
        <is>
          <t>Good</t>
        </is>
      </c>
      <c r="E30" t="inlineStr">
        <is>
          <t>FALSE</t>
        </is>
      </c>
      <c r="F30" t="n">
        <v>2</v>
      </c>
      <c r="G30" t="inlineStr">
        <is>
          <t>FALSE</t>
        </is>
      </c>
      <c r="H30" t="inlineStr">
        <is>
          <t>&lt;2%</t>
        </is>
      </c>
    </row>
    <row r="31">
      <c r="A31" t="inlineStr">
        <is>
          <t>degree-of-regulation</t>
        </is>
      </c>
      <c r="B31" t="inlineStr">
        <is>
          <t>(combined)</t>
        </is>
      </c>
      <c r="C31" t="inlineStr">
        <is>
          <t>Fair</t>
        </is>
      </c>
      <c r="D31" t="n">
        <v>2</v>
      </c>
      <c r="E31" t="inlineStr">
        <is>
          <t>TRUE</t>
        </is>
      </c>
      <c r="F31" t="n">
        <v>15</v>
      </c>
      <c r="G31" t="inlineStr">
        <is>
          <t>TRUE</t>
        </is>
      </c>
      <c r="H31" t="inlineStr">
        <is>
          <t>2-15%</t>
        </is>
      </c>
    </row>
    <row r="32">
      <c r="A32" t="inlineStr">
        <is>
          <t>degree-of-regulation</t>
        </is>
      </c>
      <c r="B32" t="inlineStr">
        <is>
          <t>(combined)</t>
        </is>
      </c>
      <c r="C32" t="inlineStr">
        <is>
          <t>Poor</t>
        </is>
      </c>
      <c r="D32" t="n">
        <v>15</v>
      </c>
      <c r="E32" t="inlineStr">
        <is>
          <t>FALSE</t>
        </is>
      </c>
      <c r="G32" t="inlineStr">
        <is>
          <t>FALSE</t>
        </is>
      </c>
      <c r="H32" t="inlineStr">
        <is>
          <t>&gt;15%</t>
        </is>
      </c>
    </row>
    <row r="33">
      <c r="A33" t="inlineStr">
        <is>
          <t>bank-height-ratio</t>
        </is>
      </c>
      <c r="B33" t="inlineStr">
        <is>
          <t>(combined)</t>
        </is>
      </c>
      <c r="C33" t="inlineStr">
        <is>
          <t>Good</t>
        </is>
      </c>
      <c r="E33" t="inlineStr">
        <is>
          <t>FALSE</t>
        </is>
      </c>
      <c r="F33" t="n">
        <v>1.3</v>
      </c>
      <c r="G33" t="inlineStr">
        <is>
          <t>TRUE</t>
        </is>
      </c>
      <c r="H33" t="inlineStr">
        <is>
          <t>≤1.3</t>
        </is>
      </c>
    </row>
    <row r="34">
      <c r="A34" t="inlineStr">
        <is>
          <t>bank-height-ratio</t>
        </is>
      </c>
      <c r="B34" t="inlineStr">
        <is>
          <t>(combined)</t>
        </is>
      </c>
      <c r="C34" t="inlineStr">
        <is>
          <t>Fair</t>
        </is>
      </c>
      <c r="D34" t="n">
        <v>1.3</v>
      </c>
      <c r="E34" t="inlineStr">
        <is>
          <t>FALSE</t>
        </is>
      </c>
      <c r="F34" t="n">
        <v>1.5</v>
      </c>
      <c r="G34" t="inlineStr">
        <is>
          <t>TRUE</t>
        </is>
      </c>
      <c r="H34" t="inlineStr">
        <is>
          <t>&gt;1.3-≤1.5</t>
        </is>
      </c>
    </row>
    <row r="35">
      <c r="A35" t="inlineStr">
        <is>
          <t>bank-height-ratio</t>
        </is>
      </c>
      <c r="B35" t="inlineStr">
        <is>
          <t>(combined)</t>
        </is>
      </c>
      <c r="C35" t="inlineStr">
        <is>
          <t>Poor</t>
        </is>
      </c>
      <c r="D35" t="n">
        <v>1.5</v>
      </c>
      <c r="E35" t="inlineStr">
        <is>
          <t>FALSE</t>
        </is>
      </c>
      <c r="G35" t="inlineStr">
        <is>
          <t>FALSE</t>
        </is>
      </c>
      <c r="H35" t="inlineStr">
        <is>
          <t>&gt;1.5</t>
        </is>
      </c>
    </row>
    <row r="36">
      <c r="A36" t="inlineStr">
        <is>
          <t>hyporheic-exchange-potential</t>
        </is>
      </c>
      <c r="B36" t="inlineStr">
        <is>
          <t>slope</t>
        </is>
      </c>
      <c r="C36" t="inlineStr">
        <is>
          <t>Poor</t>
        </is>
      </c>
      <c r="E36" t="inlineStr">
        <is>
          <t>FALSE</t>
        </is>
      </c>
      <c r="F36" t="n">
        <v>0.003</v>
      </c>
      <c r="G36" t="inlineStr">
        <is>
          <t>FALSE</t>
        </is>
      </c>
      <c r="H36" t="inlineStr">
        <is>
          <t>&lt;0.003 m/m</t>
        </is>
      </c>
    </row>
    <row r="37">
      <c r="A37" t="inlineStr">
        <is>
          <t>hyporheic-exchange-potential</t>
        </is>
      </c>
      <c r="B37" t="inlineStr">
        <is>
          <t>slope</t>
        </is>
      </c>
      <c r="C37" t="inlineStr">
        <is>
          <t>Fair</t>
        </is>
      </c>
      <c r="D37" t="n">
        <v>0.003</v>
      </c>
      <c r="E37" t="inlineStr">
        <is>
          <t>TRUE</t>
        </is>
      </c>
      <c r="F37" t="n">
        <v>0.006</v>
      </c>
      <c r="G37" t="inlineStr">
        <is>
          <t>FALSE</t>
        </is>
      </c>
      <c r="H37" t="inlineStr">
        <is>
          <t>0.003-&lt;0.006 m/m</t>
        </is>
      </c>
    </row>
    <row r="38">
      <c r="A38" t="inlineStr">
        <is>
          <t>hyporheic-exchange-potential</t>
        </is>
      </c>
      <c r="B38" t="inlineStr">
        <is>
          <t>slope</t>
        </is>
      </c>
      <c r="C38" t="inlineStr">
        <is>
          <t>Good</t>
        </is>
      </c>
      <c r="D38" t="n">
        <v>0.006</v>
      </c>
      <c r="E38" t="inlineStr">
        <is>
          <t>TRUE</t>
        </is>
      </c>
      <c r="G38" t="inlineStr">
        <is>
          <t>FALSE</t>
        </is>
      </c>
      <c r="H38" t="inlineStr">
        <is>
          <t>≥0.006 m/m</t>
        </is>
      </c>
    </row>
    <row r="39">
      <c r="A39" t="inlineStr">
        <is>
          <t>hyporheic-exchange-potential</t>
        </is>
      </c>
      <c r="B39" t="inlineStr">
        <is>
          <t>sinuosity</t>
        </is>
      </c>
      <c r="C39" t="inlineStr">
        <is>
          <t>Poor</t>
        </is>
      </c>
      <c r="E39" t="inlineStr">
        <is>
          <t>FALSE</t>
        </is>
      </c>
      <c r="F39" t="n">
        <v>1.05</v>
      </c>
      <c r="G39" t="inlineStr">
        <is>
          <t>FALSE</t>
        </is>
      </c>
      <c r="H39" t="inlineStr">
        <is>
          <t>&lt;1.05</t>
        </is>
      </c>
    </row>
    <row r="40">
      <c r="A40" t="inlineStr">
        <is>
          <t>hyporheic-exchange-potential</t>
        </is>
      </c>
      <c r="B40" t="inlineStr">
        <is>
          <t>sinuosity</t>
        </is>
      </c>
      <c r="C40" t="inlineStr">
        <is>
          <t>Fair</t>
        </is>
      </c>
      <c r="D40" t="n">
        <v>1.05</v>
      </c>
      <c r="E40" t="inlineStr">
        <is>
          <t>TRUE</t>
        </is>
      </c>
      <c r="F40" t="n">
        <v>1.2</v>
      </c>
      <c r="G40" t="inlineStr">
        <is>
          <t>FALSE</t>
        </is>
      </c>
      <c r="H40" t="inlineStr">
        <is>
          <t>1.05-&lt;1.2</t>
        </is>
      </c>
    </row>
    <row r="41">
      <c r="A41" t="inlineStr">
        <is>
          <t>hyporheic-exchange-potential</t>
        </is>
      </c>
      <c r="B41" t="inlineStr">
        <is>
          <t>sinuosity</t>
        </is>
      </c>
      <c r="C41" t="inlineStr">
        <is>
          <t>Good</t>
        </is>
      </c>
      <c r="D41" t="n">
        <v>1.2</v>
      </c>
      <c r="E41" t="inlineStr">
        <is>
          <t>TRUE</t>
        </is>
      </c>
      <c r="G41" t="inlineStr">
        <is>
          <t>FALSE</t>
        </is>
      </c>
      <c r="H41" t="inlineStr">
        <is>
          <t>≥1.2</t>
        </is>
      </c>
    </row>
    <row r="42">
      <c r="A42" t="inlineStr">
        <is>
          <t>channel-adjustment-susceptibility</t>
        </is>
      </c>
      <c r="B42" t="inlineStr">
        <is>
          <t>bhr</t>
        </is>
      </c>
      <c r="C42" t="inlineStr">
        <is>
          <t>Good</t>
        </is>
      </c>
      <c r="E42" t="inlineStr">
        <is>
          <t>FALSE</t>
        </is>
      </c>
      <c r="F42" t="n">
        <v>1.3</v>
      </c>
      <c r="G42" t="inlineStr">
        <is>
          <t>TRUE</t>
        </is>
      </c>
      <c r="H42" t="inlineStr">
        <is>
          <t>≤1.3</t>
        </is>
      </c>
    </row>
    <row r="43">
      <c r="A43" t="inlineStr">
        <is>
          <t>channel-adjustment-susceptibility</t>
        </is>
      </c>
      <c r="B43" t="inlineStr">
        <is>
          <t>bhr</t>
        </is>
      </c>
      <c r="C43" t="inlineStr">
        <is>
          <t>Fair</t>
        </is>
      </c>
      <c r="D43" t="n">
        <v>1.3</v>
      </c>
      <c r="E43" t="inlineStr">
        <is>
          <t>FALSE</t>
        </is>
      </c>
      <c r="F43" t="n">
        <v>1.5</v>
      </c>
      <c r="G43" t="inlineStr">
        <is>
          <t>TRUE</t>
        </is>
      </c>
      <c r="H43" t="inlineStr">
        <is>
          <t>&gt;1.3-≤1.5</t>
        </is>
      </c>
    </row>
    <row r="44">
      <c r="A44" t="inlineStr">
        <is>
          <t>channel-adjustment-susceptibility</t>
        </is>
      </c>
      <c r="B44" t="inlineStr">
        <is>
          <t>bhr</t>
        </is>
      </c>
      <c r="C44" t="inlineStr">
        <is>
          <t>Poor</t>
        </is>
      </c>
      <c r="D44" t="n">
        <v>1.5</v>
      </c>
      <c r="E44" t="inlineStr">
        <is>
          <t>FALSE</t>
        </is>
      </c>
      <c r="G44" t="inlineStr">
        <is>
          <t>FALSE</t>
        </is>
      </c>
      <c r="H44" t="inlineStr">
        <is>
          <t>&gt;1.5</t>
        </is>
      </c>
    </row>
    <row r="45">
      <c r="A45" t="inlineStr">
        <is>
          <t>bhr-bank-instability-susceptibility</t>
        </is>
      </c>
      <c r="B45" t="inlineStr">
        <is>
          <t>(combined)</t>
        </is>
      </c>
      <c r="C45" t="inlineStr">
        <is>
          <t>Good</t>
        </is>
      </c>
      <c r="E45" t="inlineStr">
        <is>
          <t>FALSE</t>
        </is>
      </c>
      <c r="F45" t="n">
        <v>1.3</v>
      </c>
      <c r="G45" t="inlineStr">
        <is>
          <t>TRUE</t>
        </is>
      </c>
      <c r="H45" t="inlineStr">
        <is>
          <t>≤1.3</t>
        </is>
      </c>
    </row>
    <row r="46">
      <c r="A46" t="inlineStr">
        <is>
          <t>bhr-bank-instability-susceptibility</t>
        </is>
      </c>
      <c r="B46" t="inlineStr">
        <is>
          <t>(combined)</t>
        </is>
      </c>
      <c r="C46" t="inlineStr">
        <is>
          <t>Fair</t>
        </is>
      </c>
      <c r="D46" t="n">
        <v>1.3</v>
      </c>
      <c r="E46" t="inlineStr">
        <is>
          <t>FALSE</t>
        </is>
      </c>
      <c r="F46" t="n">
        <v>1.5</v>
      </c>
      <c r="G46" t="inlineStr">
        <is>
          <t>TRUE</t>
        </is>
      </c>
      <c r="H46" t="inlineStr">
        <is>
          <t>&gt;1.3-≤1.5</t>
        </is>
      </c>
    </row>
    <row r="47">
      <c r="A47" t="inlineStr">
        <is>
          <t>bhr-bank-instability-susceptibility</t>
        </is>
      </c>
      <c r="B47" t="inlineStr">
        <is>
          <t>(combined)</t>
        </is>
      </c>
      <c r="C47" t="inlineStr">
        <is>
          <t>Poor</t>
        </is>
      </c>
      <c r="D47" t="n">
        <v>1.5</v>
      </c>
      <c r="E47" t="inlineStr">
        <is>
          <t>FALSE</t>
        </is>
      </c>
      <c r="G47" t="inlineStr">
        <is>
          <t>FALSE</t>
        </is>
      </c>
      <c r="H47" t="inlineStr">
        <is>
          <t>&gt;1.5</t>
        </is>
      </c>
    </row>
    <row r="48">
      <c r="A48" t="inlineStr">
        <is>
          <t>observed-bank-condition</t>
        </is>
      </c>
      <c r="B48" t="inlineStr">
        <is>
          <t>erodingBankPct</t>
        </is>
      </c>
      <c r="C48" t="inlineStr">
        <is>
          <t>Good</t>
        </is>
      </c>
      <c r="E48" t="inlineStr">
        <is>
          <t>FALSE</t>
        </is>
      </c>
      <c r="F48" t="n">
        <v>5</v>
      </c>
      <c r="G48" t="inlineStr">
        <is>
          <t>FALSE</t>
        </is>
      </c>
      <c r="H48" t="inlineStr">
        <is>
          <t>&lt;5%</t>
        </is>
      </c>
    </row>
    <row r="49">
      <c r="A49" t="inlineStr">
        <is>
          <t>observed-bank-condition</t>
        </is>
      </c>
      <c r="B49" t="inlineStr">
        <is>
          <t>erodingBankPct</t>
        </is>
      </c>
      <c r="C49" t="inlineStr">
        <is>
          <t>Fair</t>
        </is>
      </c>
      <c r="D49" t="n">
        <v>5</v>
      </c>
      <c r="E49" t="inlineStr">
        <is>
          <t>TRUE</t>
        </is>
      </c>
      <c r="F49" t="n">
        <v>60</v>
      </c>
      <c r="G49" t="inlineStr">
        <is>
          <t>FALSE</t>
        </is>
      </c>
      <c r="H49" t="inlineStr">
        <is>
          <t>5-&lt;60%</t>
        </is>
      </c>
    </row>
    <row r="50">
      <c r="A50" t="inlineStr">
        <is>
          <t>observed-bank-condition</t>
        </is>
      </c>
      <c r="B50" t="inlineStr">
        <is>
          <t>erodingBankPct</t>
        </is>
      </c>
      <c r="C50" t="inlineStr">
        <is>
          <t>Poor</t>
        </is>
      </c>
      <c r="D50" t="n">
        <v>60</v>
      </c>
      <c r="E50" t="inlineStr">
        <is>
          <t>TRUE</t>
        </is>
      </c>
      <c r="G50" t="inlineStr">
        <is>
          <t>FALSE</t>
        </is>
      </c>
      <c r="H50" t="inlineStr">
        <is>
          <t>≥60%</t>
        </is>
      </c>
    </row>
    <row r="51">
      <c r="A51" t="inlineStr">
        <is>
          <t>observed-bank-condition</t>
        </is>
      </c>
      <c r="B51" t="inlineStr">
        <is>
          <t>armoredBankPct</t>
        </is>
      </c>
      <c r="C51" t="inlineStr">
        <is>
          <t>Good</t>
        </is>
      </c>
      <c r="E51" t="inlineStr">
        <is>
          <t>FALSE</t>
        </is>
      </c>
      <c r="F51" t="n">
        <v>0</v>
      </c>
      <c r="G51" t="inlineStr">
        <is>
          <t>TRUE</t>
        </is>
      </c>
      <c r="H51" t="inlineStr">
        <is>
          <t>0%</t>
        </is>
      </c>
    </row>
    <row r="52">
      <c r="A52" t="inlineStr">
        <is>
          <t>observed-bank-condition</t>
        </is>
      </c>
      <c r="B52" t="inlineStr">
        <is>
          <t>armoredBankPct</t>
        </is>
      </c>
      <c r="C52" t="inlineStr">
        <is>
          <t>Fair</t>
        </is>
      </c>
      <c r="D52" t="n">
        <v>0</v>
      </c>
      <c r="E52" t="inlineStr">
        <is>
          <t>FALSE</t>
        </is>
      </c>
      <c r="F52" t="n">
        <v>50</v>
      </c>
      <c r="G52" t="inlineStr">
        <is>
          <t>FALSE</t>
        </is>
      </c>
      <c r="H52" t="inlineStr">
        <is>
          <t>&gt;0-&lt;50%</t>
        </is>
      </c>
    </row>
    <row r="53">
      <c r="A53" t="inlineStr">
        <is>
          <t>observed-bank-condition</t>
        </is>
      </c>
      <c r="B53" t="inlineStr">
        <is>
          <t>armoredBankPct</t>
        </is>
      </c>
      <c r="C53" t="inlineStr">
        <is>
          <t>Poor</t>
        </is>
      </c>
      <c r="D53" t="n">
        <v>50</v>
      </c>
      <c r="E53" t="inlineStr">
        <is>
          <t>TRUE</t>
        </is>
      </c>
      <c r="G53" t="inlineStr">
        <is>
          <t>FALSE</t>
        </is>
      </c>
      <c r="H53" t="inlineStr">
        <is>
          <t>≥50%</t>
        </is>
      </c>
    </row>
    <row r="54">
      <c r="A54" t="inlineStr">
        <is>
          <t>sediment-supply-potential</t>
        </is>
      </c>
      <c r="B54" t="inlineStr">
        <is>
          <t>agriculture</t>
        </is>
      </c>
      <c r="C54" t="inlineStr">
        <is>
          <t>Good</t>
        </is>
      </c>
      <c r="E54" t="inlineStr">
        <is>
          <t>FALSE</t>
        </is>
      </c>
      <c r="F54" t="n">
        <v>30</v>
      </c>
      <c r="G54" t="inlineStr">
        <is>
          <t>FALSE</t>
        </is>
      </c>
      <c r="H54" t="inlineStr">
        <is>
          <t>&lt;30%</t>
        </is>
      </c>
    </row>
    <row r="55">
      <c r="A55" t="inlineStr">
        <is>
          <t>sediment-supply-potential</t>
        </is>
      </c>
      <c r="B55" t="inlineStr">
        <is>
          <t>agriculture</t>
        </is>
      </c>
      <c r="C55" t="inlineStr">
        <is>
          <t>Fair</t>
        </is>
      </c>
      <c r="D55" t="n">
        <v>30</v>
      </c>
      <c r="E55" t="inlineStr">
        <is>
          <t>TRUE</t>
        </is>
      </c>
      <c r="F55" t="n">
        <v>50</v>
      </c>
      <c r="G55" t="inlineStr">
        <is>
          <t>TRUE</t>
        </is>
      </c>
      <c r="H55" t="inlineStr">
        <is>
          <t>30-50%</t>
        </is>
      </c>
    </row>
    <row r="56">
      <c r="A56" t="inlineStr">
        <is>
          <t>sediment-supply-potential</t>
        </is>
      </c>
      <c r="B56" t="inlineStr">
        <is>
          <t>agriculture</t>
        </is>
      </c>
      <c r="C56" t="inlineStr">
        <is>
          <t>Poor</t>
        </is>
      </c>
      <c r="D56" t="n">
        <v>50</v>
      </c>
      <c r="E56" t="inlineStr">
        <is>
          <t>FALSE</t>
        </is>
      </c>
      <c r="G56" t="inlineStr">
        <is>
          <t>FALSE</t>
        </is>
      </c>
      <c r="H56" t="inlineStr">
        <is>
          <t>&gt;50%</t>
        </is>
      </c>
    </row>
    <row r="57">
      <c r="A57" t="inlineStr">
        <is>
          <t>sediment-supply-potential</t>
        </is>
      </c>
      <c r="B57" t="inlineStr">
        <is>
          <t>kFactor</t>
        </is>
      </c>
      <c r="C57" t="inlineStr">
        <is>
          <t>Good</t>
        </is>
      </c>
      <c r="E57" t="inlineStr">
        <is>
          <t>FALSE</t>
        </is>
      </c>
      <c r="F57" t="n">
        <v>0.25</v>
      </c>
      <c r="G57" t="inlineStr">
        <is>
          <t>FALSE</t>
        </is>
      </c>
      <c r="H57" t="inlineStr">
        <is>
          <t>&lt;0.25</t>
        </is>
      </c>
    </row>
    <row r="58">
      <c r="A58" t="inlineStr">
        <is>
          <t>sediment-supply-potential</t>
        </is>
      </c>
      <c r="B58" t="inlineStr">
        <is>
          <t>kFactor</t>
        </is>
      </c>
      <c r="C58" t="inlineStr">
        <is>
          <t>Fair</t>
        </is>
      </c>
      <c r="D58" t="n">
        <v>0.25</v>
      </c>
      <c r="E58" t="inlineStr">
        <is>
          <t>TRUE</t>
        </is>
      </c>
      <c r="F58" t="n">
        <v>0.4</v>
      </c>
      <c r="G58" t="inlineStr">
        <is>
          <t>TRUE</t>
        </is>
      </c>
      <c r="H58" t="inlineStr">
        <is>
          <t>0.25-0.40</t>
        </is>
      </c>
    </row>
    <row r="59">
      <c r="A59" t="inlineStr">
        <is>
          <t>sediment-supply-potential</t>
        </is>
      </c>
      <c r="B59" t="inlineStr">
        <is>
          <t>kFactor</t>
        </is>
      </c>
      <c r="C59" t="inlineStr">
        <is>
          <t>Poor</t>
        </is>
      </c>
      <c r="D59" t="n">
        <v>0.4</v>
      </c>
      <c r="E59" t="inlineStr">
        <is>
          <t>FALSE</t>
        </is>
      </c>
      <c r="G59" t="inlineStr">
        <is>
          <t>FALSE</t>
        </is>
      </c>
      <c r="H59" t="inlineStr">
        <is>
          <t>&gt;0.40</t>
        </is>
      </c>
    </row>
    <row r="60">
      <c r="A60" t="inlineStr">
        <is>
          <t>sediment-supply-potential</t>
        </is>
      </c>
      <c r="B60" t="inlineStr">
        <is>
          <t>roadDensity</t>
        </is>
      </c>
      <c r="C60" t="inlineStr">
        <is>
          <t>Good</t>
        </is>
      </c>
      <c r="E60" t="inlineStr">
        <is>
          <t>FALSE</t>
        </is>
      </c>
      <c r="F60" t="n">
        <v>1.24</v>
      </c>
      <c r="G60" t="inlineStr">
        <is>
          <t>FALSE</t>
        </is>
      </c>
      <c r="H60" t="inlineStr">
        <is>
          <t>&lt;1.24 km/km²</t>
        </is>
      </c>
    </row>
    <row r="61">
      <c r="A61" t="inlineStr">
        <is>
          <t>sediment-supply-potential</t>
        </is>
      </c>
      <c r="B61" t="inlineStr">
        <is>
          <t>roadDensity</t>
        </is>
      </c>
      <c r="C61" t="inlineStr">
        <is>
          <t>Fair</t>
        </is>
      </c>
      <c r="D61" t="n">
        <v>1.24</v>
      </c>
      <c r="E61" t="inlineStr">
        <is>
          <t>TRUE</t>
        </is>
      </c>
      <c r="F61" t="n">
        <v>1.86</v>
      </c>
      <c r="G61" t="inlineStr">
        <is>
          <t>FALSE</t>
        </is>
      </c>
      <c r="H61" t="inlineStr">
        <is>
          <t>1.24-&lt;1.86 km/km²</t>
        </is>
      </c>
    </row>
    <row r="62">
      <c r="A62" t="inlineStr">
        <is>
          <t>sediment-supply-potential</t>
        </is>
      </c>
      <c r="B62" t="inlineStr">
        <is>
          <t>roadDensity</t>
        </is>
      </c>
      <c r="C62" t="inlineStr">
        <is>
          <t>Poor</t>
        </is>
      </c>
      <c r="D62" t="n">
        <v>1.86</v>
      </c>
      <c r="E62" t="inlineStr">
        <is>
          <t>TRUE</t>
        </is>
      </c>
      <c r="G62" t="inlineStr">
        <is>
          <t>FALSE</t>
        </is>
      </c>
      <c r="H62" t="inlineStr">
        <is>
          <t>≥1.86 km/km²</t>
        </is>
      </c>
    </row>
    <row r="63">
      <c r="A63" t="inlineStr">
        <is>
          <t>watershed-agriculture-share</t>
        </is>
      </c>
      <c r="B63" t="inlineStr">
        <is>
          <t>(combined)</t>
        </is>
      </c>
      <c r="C63" t="inlineStr">
        <is>
          <t>Good</t>
        </is>
      </c>
      <c r="E63" t="inlineStr">
        <is>
          <t>FALSE</t>
        </is>
      </c>
      <c r="F63" t="n">
        <v>30</v>
      </c>
      <c r="G63" t="inlineStr">
        <is>
          <t>FALSE</t>
        </is>
      </c>
      <c r="H63" t="inlineStr">
        <is>
          <t>&lt;30%</t>
        </is>
      </c>
    </row>
    <row r="64">
      <c r="A64" t="inlineStr">
        <is>
          <t>watershed-agriculture-share</t>
        </is>
      </c>
      <c r="B64" t="inlineStr">
        <is>
          <t>(combined)</t>
        </is>
      </c>
      <c r="C64" t="inlineStr">
        <is>
          <t>Fair</t>
        </is>
      </c>
      <c r="D64" t="n">
        <v>30</v>
      </c>
      <c r="E64" t="inlineStr">
        <is>
          <t>TRUE</t>
        </is>
      </c>
      <c r="F64" t="n">
        <v>50</v>
      </c>
      <c r="G64" t="inlineStr">
        <is>
          <t>TRUE</t>
        </is>
      </c>
      <c r="H64" t="inlineStr">
        <is>
          <t>30-50%</t>
        </is>
      </c>
    </row>
    <row r="65">
      <c r="A65" t="inlineStr">
        <is>
          <t>watershed-agriculture-share</t>
        </is>
      </c>
      <c r="B65" t="inlineStr">
        <is>
          <t>(combined)</t>
        </is>
      </c>
      <c r="C65" t="inlineStr">
        <is>
          <t>Poor</t>
        </is>
      </c>
      <c r="D65" t="n">
        <v>50</v>
      </c>
      <c r="E65" t="inlineStr">
        <is>
          <t>FALSE</t>
        </is>
      </c>
      <c r="G65" t="inlineStr">
        <is>
          <t>FALSE</t>
        </is>
      </c>
      <c r="H65" t="inlineStr">
        <is>
          <t>&gt;50%</t>
        </is>
      </c>
    </row>
    <row r="66">
      <c r="A66" t="inlineStr">
        <is>
          <t>thermal-regulation-vulnerability</t>
        </is>
      </c>
      <c r="B66" t="inlineStr">
        <is>
          <t>impervious</t>
        </is>
      </c>
      <c r="C66" t="inlineStr">
        <is>
          <t>Good</t>
        </is>
      </c>
      <c r="E66" t="inlineStr">
        <is>
          <t>FALSE</t>
        </is>
      </c>
      <c r="F66" t="n">
        <v>10</v>
      </c>
      <c r="G66" t="inlineStr">
        <is>
          <t>FALSE</t>
        </is>
      </c>
      <c r="H66" t="inlineStr">
        <is>
          <t>&lt;10%</t>
        </is>
      </c>
    </row>
    <row r="67">
      <c r="A67" t="inlineStr">
        <is>
          <t>thermal-regulation-vulnerability</t>
        </is>
      </c>
      <c r="B67" t="inlineStr">
        <is>
          <t>impervious</t>
        </is>
      </c>
      <c r="C67" t="inlineStr">
        <is>
          <t>Fair</t>
        </is>
      </c>
      <c r="D67" t="n">
        <v>10</v>
      </c>
      <c r="E67" t="inlineStr">
        <is>
          <t>TRUE</t>
        </is>
      </c>
      <c r="F67" t="n">
        <v>25</v>
      </c>
      <c r="G67" t="inlineStr">
        <is>
          <t>TRUE</t>
        </is>
      </c>
      <c r="H67" t="inlineStr">
        <is>
          <t>10-25%</t>
        </is>
      </c>
    </row>
    <row r="68">
      <c r="A68" t="inlineStr">
        <is>
          <t>thermal-regulation-vulnerability</t>
        </is>
      </c>
      <c r="B68" t="inlineStr">
        <is>
          <t>impervious</t>
        </is>
      </c>
      <c r="C68" t="inlineStr">
        <is>
          <t>Poor</t>
        </is>
      </c>
      <c r="D68" t="n">
        <v>25</v>
      </c>
      <c r="E68" t="inlineStr">
        <is>
          <t>FALSE</t>
        </is>
      </c>
      <c r="G68" t="inlineStr">
        <is>
          <t>FALSE</t>
        </is>
      </c>
      <c r="H68" t="inlineStr">
        <is>
          <t>&gt;25%</t>
        </is>
      </c>
    </row>
    <row r="69">
      <c r="A69" t="inlineStr">
        <is>
          <t>streamcat-chem-integrity-nutrient</t>
        </is>
      </c>
      <c r="B69" t="inlineStr">
        <is>
          <t>(combined)</t>
        </is>
      </c>
      <c r="C69" t="inlineStr">
        <is>
          <t>Poor</t>
        </is>
      </c>
      <c r="E69" t="inlineStr">
        <is>
          <t>FALSE</t>
        </is>
      </c>
      <c r="F69" t="n">
        <v>0.4</v>
      </c>
      <c r="G69" t="inlineStr">
        <is>
          <t>FALSE</t>
        </is>
      </c>
      <c r="H69" t="inlineStr">
        <is>
          <t>&lt;0.40</t>
        </is>
      </c>
    </row>
    <row r="70">
      <c r="A70" t="inlineStr">
        <is>
          <t>streamcat-chem-integrity-nutrient</t>
        </is>
      </c>
      <c r="B70" t="inlineStr">
        <is>
          <t>(combined)</t>
        </is>
      </c>
      <c r="C70" t="inlineStr">
        <is>
          <t>Fair</t>
        </is>
      </c>
      <c r="D70" t="n">
        <v>0.4</v>
      </c>
      <c r="E70" t="inlineStr">
        <is>
          <t>TRUE</t>
        </is>
      </c>
      <c r="F70" t="n">
        <v>0.7</v>
      </c>
      <c r="G70" t="inlineStr">
        <is>
          <t>FALSE</t>
        </is>
      </c>
      <c r="H70" t="inlineStr">
        <is>
          <t>0.40-&lt;0.70</t>
        </is>
      </c>
    </row>
    <row r="71">
      <c r="A71" t="inlineStr">
        <is>
          <t>streamcat-chem-integrity-nutrient</t>
        </is>
      </c>
      <c r="B71" t="inlineStr">
        <is>
          <t>(combined)</t>
        </is>
      </c>
      <c r="C71" t="inlineStr">
        <is>
          <t>Good</t>
        </is>
      </c>
      <c r="D71" t="n">
        <v>0.7</v>
      </c>
      <c r="E71" t="inlineStr">
        <is>
          <t>TRUE</t>
        </is>
      </c>
      <c r="G71" t="inlineStr">
        <is>
          <t>FALSE</t>
        </is>
      </c>
      <c r="H71" t="inlineStr">
        <is>
          <t>≥0.70</t>
        </is>
      </c>
    </row>
    <row r="72">
      <c r="A72" t="inlineStr">
        <is>
          <t>streamcat-chem-integrity-regulatory</t>
        </is>
      </c>
      <c r="B72" t="inlineStr">
        <is>
          <t>(combined)</t>
        </is>
      </c>
      <c r="C72" t="inlineStr">
        <is>
          <t>Poor</t>
        </is>
      </c>
      <c r="E72" t="inlineStr">
        <is>
          <t>FALSE</t>
        </is>
      </c>
      <c r="F72" t="n">
        <v>0.4</v>
      </c>
      <c r="G72" t="inlineStr">
        <is>
          <t>FALSE</t>
        </is>
      </c>
      <c r="H72" t="inlineStr">
        <is>
          <t>&lt;0.40</t>
        </is>
      </c>
    </row>
    <row r="73">
      <c r="A73" t="inlineStr">
        <is>
          <t>streamcat-chem-integrity-regulatory</t>
        </is>
      </c>
      <c r="B73" t="inlineStr">
        <is>
          <t>(combined)</t>
        </is>
      </c>
      <c r="C73" t="inlineStr">
        <is>
          <t>Fair</t>
        </is>
      </c>
      <c r="D73" t="n">
        <v>0.4</v>
      </c>
      <c r="E73" t="inlineStr">
        <is>
          <t>TRUE</t>
        </is>
      </c>
      <c r="F73" t="n">
        <v>0.7</v>
      </c>
      <c r="G73" t="inlineStr">
        <is>
          <t>FALSE</t>
        </is>
      </c>
      <c r="H73" t="inlineStr">
        <is>
          <t>0.40-&lt;0.70</t>
        </is>
      </c>
    </row>
    <row r="74">
      <c r="A74" t="inlineStr">
        <is>
          <t>streamcat-chem-integrity-regulatory</t>
        </is>
      </c>
      <c r="B74" t="inlineStr">
        <is>
          <t>(combined)</t>
        </is>
      </c>
      <c r="C74" t="inlineStr">
        <is>
          <t>Good</t>
        </is>
      </c>
      <c r="D74" t="n">
        <v>0.7</v>
      </c>
      <c r="E74" t="inlineStr">
        <is>
          <t>TRUE</t>
        </is>
      </c>
      <c r="G74" t="inlineStr">
        <is>
          <t>FALSE</t>
        </is>
      </c>
      <c r="H74" t="inlineStr">
        <is>
          <t>≥0.70</t>
        </is>
      </c>
    </row>
    <row r="75">
      <c r="A75" t="inlineStr">
        <is>
          <t>streamcat-prg-bmmi</t>
        </is>
      </c>
      <c r="B75" t="inlineStr">
        <is>
          <t>(combined)</t>
        </is>
      </c>
      <c r="C75" t="inlineStr">
        <is>
          <t>Poor</t>
        </is>
      </c>
      <c r="E75" t="inlineStr">
        <is>
          <t>FALSE</t>
        </is>
      </c>
      <c r="F75" t="n">
        <v>0.25</v>
      </c>
      <c r="G75" t="inlineStr">
        <is>
          <t>FALSE</t>
        </is>
      </c>
      <c r="H75" t="inlineStr">
        <is>
          <t>&lt;0.25</t>
        </is>
      </c>
    </row>
    <row r="76">
      <c r="A76" t="inlineStr">
        <is>
          <t>streamcat-prg-bmmi</t>
        </is>
      </c>
      <c r="B76" t="inlineStr">
        <is>
          <t>(combined)</t>
        </is>
      </c>
      <c r="C76" t="inlineStr">
        <is>
          <t>Fair</t>
        </is>
      </c>
      <c r="D76" t="n">
        <v>0.25</v>
      </c>
      <c r="E76" t="inlineStr">
        <is>
          <t>TRUE</t>
        </is>
      </c>
      <c r="F76" t="n">
        <v>0.5</v>
      </c>
      <c r="G76" t="inlineStr">
        <is>
          <t>FALSE</t>
        </is>
      </c>
      <c r="H76" t="inlineStr">
        <is>
          <t>0.25 to &lt;0.50</t>
        </is>
      </c>
    </row>
    <row r="77">
      <c r="A77" t="inlineStr">
        <is>
          <t>streamcat-prg-bmmi</t>
        </is>
      </c>
      <c r="B77" t="inlineStr">
        <is>
          <t>(combined)</t>
        </is>
      </c>
      <c r="C77" t="inlineStr">
        <is>
          <t>Good</t>
        </is>
      </c>
      <c r="D77" t="n">
        <v>0.5</v>
      </c>
      <c r="E77" t="inlineStr">
        <is>
          <t>TRUE</t>
        </is>
      </c>
      <c r="G77" t="inlineStr">
        <is>
          <t>FALSE</t>
        </is>
      </c>
      <c r="H77" t="inlineStr">
        <is>
          <t>&gt;=0.50</t>
        </is>
      </c>
    </row>
    <row r="78">
      <c r="A78" t="inlineStr">
        <is>
          <t>streamcat-integrity-products</t>
        </is>
      </c>
      <c r="B78" t="inlineStr">
        <is>
          <t>(combined)</t>
        </is>
      </c>
      <c r="C78" t="inlineStr">
        <is>
          <t>Poor</t>
        </is>
      </c>
      <c r="E78" t="inlineStr">
        <is>
          <t>FALSE</t>
        </is>
      </c>
      <c r="F78" t="n">
        <v>0.4</v>
      </c>
      <c r="G78" t="inlineStr">
        <is>
          <t>FALSE</t>
        </is>
      </c>
      <c r="H78" t="inlineStr">
        <is>
          <t>&lt;0.40</t>
        </is>
      </c>
    </row>
    <row r="79">
      <c r="A79" t="inlineStr">
        <is>
          <t>streamcat-integrity-products</t>
        </is>
      </c>
      <c r="B79" t="inlineStr">
        <is>
          <t>(combined)</t>
        </is>
      </c>
      <c r="C79" t="inlineStr">
        <is>
          <t>Fair</t>
        </is>
      </c>
      <c r="D79" t="n">
        <v>0.4</v>
      </c>
      <c r="E79" t="inlineStr">
        <is>
          <t>TRUE</t>
        </is>
      </c>
      <c r="F79" t="n">
        <v>0.7</v>
      </c>
      <c r="G79" t="inlineStr">
        <is>
          <t>FALSE</t>
        </is>
      </c>
      <c r="H79" t="inlineStr">
        <is>
          <t>0.40-&lt;0.70</t>
        </is>
      </c>
    </row>
    <row r="80">
      <c r="A80" t="inlineStr">
        <is>
          <t>streamcat-integrity-products</t>
        </is>
      </c>
      <c r="B80" t="inlineStr">
        <is>
          <t>(combined)</t>
        </is>
      </c>
      <c r="C80" t="inlineStr">
        <is>
          <t>Good</t>
        </is>
      </c>
      <c r="D80" t="n">
        <v>0.7</v>
      </c>
      <c r="E80" t="inlineStr">
        <is>
          <t>TRUE</t>
        </is>
      </c>
      <c r="G80" t="inlineStr">
        <is>
          <t>FALSE</t>
        </is>
      </c>
      <c r="H80" t="inlineStr">
        <is>
          <t>≥0.70</t>
        </is>
      </c>
    </row>
    <row r="81">
      <c r="A81" t="inlineStr">
        <is>
          <t>nas-established-taxa-count</t>
        </is>
      </c>
      <c r="B81" t="inlineStr">
        <is>
          <t>(combined)</t>
        </is>
      </c>
      <c r="C81" t="inlineStr">
        <is>
          <t>Good</t>
        </is>
      </c>
      <c r="D81" t="n">
        <v>0</v>
      </c>
      <c r="E81" t="inlineStr">
        <is>
          <t>TRUE</t>
        </is>
      </c>
      <c r="F81" t="n">
        <v>0</v>
      </c>
      <c r="G81" t="inlineStr">
        <is>
          <t>TRUE</t>
        </is>
      </c>
      <c r="H81" t="inlineStr">
        <is>
          <t>0 recorded</t>
        </is>
      </c>
    </row>
    <row r="82">
      <c r="A82" t="inlineStr">
        <is>
          <t>nas-established-taxa-count</t>
        </is>
      </c>
      <c r="B82" t="inlineStr">
        <is>
          <t>(combined)</t>
        </is>
      </c>
      <c r="C82" t="inlineStr">
        <is>
          <t>Fair</t>
        </is>
      </c>
      <c r="D82" t="n">
        <v>1</v>
      </c>
      <c r="E82" t="inlineStr">
        <is>
          <t>TRUE</t>
        </is>
      </c>
      <c r="F82" t="n">
        <v>2</v>
      </c>
      <c r="G82" t="inlineStr">
        <is>
          <t>TRUE</t>
        </is>
      </c>
      <c r="H82" t="inlineStr">
        <is>
          <t>1-2 recorded</t>
        </is>
      </c>
    </row>
    <row r="83">
      <c r="A83" t="inlineStr">
        <is>
          <t>nas-established-taxa-count</t>
        </is>
      </c>
      <c r="B83" t="inlineStr">
        <is>
          <t>(combined)</t>
        </is>
      </c>
      <c r="C83" t="inlineStr">
        <is>
          <t>Poor</t>
        </is>
      </c>
      <c r="D83" t="n">
        <v>3</v>
      </c>
      <c r="E83" t="inlineStr">
        <is>
          <t>TRUE</t>
        </is>
      </c>
      <c r="G83" t="inlineStr">
        <is>
          <t>FALSE</t>
        </is>
      </c>
      <c r="H83" t="inlineStr">
        <is>
          <t>≥3 recorded</t>
        </is>
      </c>
    </row>
    <row r="84">
      <c r="A84" t="inlineStr">
        <is>
          <t>nearby-dam-proximity</t>
        </is>
      </c>
      <c r="B84" t="inlineStr">
        <is>
          <t>(combined)</t>
        </is>
      </c>
      <c r="C84" t="inlineStr">
        <is>
          <t>Good</t>
        </is>
      </c>
      <c r="D84" t="n">
        <v>0</v>
      </c>
      <c r="E84" t="inlineStr">
        <is>
          <t>TRUE</t>
        </is>
      </c>
      <c r="F84" t="n">
        <v>0</v>
      </c>
      <c r="G84" t="inlineStr">
        <is>
          <t>TRUE</t>
        </is>
      </c>
      <c r="H84" t="inlineStr">
        <is>
          <t>0 mapped dams</t>
        </is>
      </c>
    </row>
    <row r="85">
      <c r="A85" t="inlineStr">
        <is>
          <t>nearby-dam-proximity</t>
        </is>
      </c>
      <c r="B85" t="inlineStr">
        <is>
          <t>(combined)</t>
        </is>
      </c>
      <c r="C85" t="inlineStr">
        <is>
          <t>Fair</t>
        </is>
      </c>
      <c r="D85" t="n">
        <v>1</v>
      </c>
      <c r="E85" t="inlineStr">
        <is>
          <t>TRUE</t>
        </is>
      </c>
      <c r="F85" t="n">
        <v>1</v>
      </c>
      <c r="G85" t="inlineStr">
        <is>
          <t>TRUE</t>
        </is>
      </c>
      <c r="H85" t="inlineStr">
        <is>
          <t>1 mapped dam</t>
        </is>
      </c>
    </row>
    <row r="86">
      <c r="A86" t="inlineStr">
        <is>
          <t>nearby-dam-proximity</t>
        </is>
      </c>
      <c r="B86" t="inlineStr">
        <is>
          <t>(combined)</t>
        </is>
      </c>
      <c r="C86" t="inlineStr">
        <is>
          <t>Poor</t>
        </is>
      </c>
      <c r="D86" t="n">
        <v>2</v>
      </c>
      <c r="E86" t="inlineStr">
        <is>
          <t>TRUE</t>
        </is>
      </c>
      <c r="G86" t="inlineStr">
        <is>
          <t>FALSE</t>
        </is>
      </c>
      <c r="H86" t="inlineStr">
        <is>
          <t>≥2 mapped dams</t>
        </is>
      </c>
    </row>
    <row r="88">
      <c r="A88" s="135" t="inlineStr">
        <is>
          <t>Reference curves (frozen), one row per curve, knots padded to five</t>
        </is>
      </c>
    </row>
    <row r="89">
      <c r="A89" s="136" t="inlineStr">
        <is>
          <t>Key</t>
        </is>
      </c>
      <c r="B89" s="136" t="inlineStr">
        <is>
          <t>Set</t>
        </is>
      </c>
      <c r="C89" s="136" t="inlineStr">
        <is>
          <t>Stratum</t>
        </is>
      </c>
      <c r="D89" s="136" t="inlineStr">
        <is>
          <t>Higher is better</t>
        </is>
      </c>
      <c r="E89" s="136" t="inlineStr">
        <is>
          <t>n</t>
        </is>
      </c>
      <c r="F89" s="136" t="inlineStr">
        <is>
          <t>Members</t>
        </is>
      </c>
      <c r="G89" s="136" t="inlineStr">
        <is>
          <t>x1</t>
        </is>
      </c>
      <c r="H89" s="136" t="inlineStr">
        <is>
          <t>y1</t>
        </is>
      </c>
      <c r="I89" s="136" t="inlineStr">
        <is>
          <t>x2</t>
        </is>
      </c>
      <c r="J89" s="136" t="inlineStr">
        <is>
          <t>y2</t>
        </is>
      </c>
      <c r="K89" s="136" t="inlineStr">
        <is>
          <t>x3</t>
        </is>
      </c>
      <c r="L89" s="136" t="inlineStr">
        <is>
          <t>y3</t>
        </is>
      </c>
      <c r="M89" s="136" t="inlineStr">
        <is>
          <t>x4</t>
        </is>
      </c>
      <c r="N89" s="136" t="inlineStr">
        <is>
          <t>y4</t>
        </is>
      </c>
      <c r="O89" s="136" t="inlineStr">
        <is>
          <t>x5</t>
        </is>
      </c>
      <c r="P89" s="136" t="inlineStr">
        <is>
          <t>y5</t>
        </is>
      </c>
      <c r="Q89" s="136" t="inlineStr">
        <is>
          <t>x39</t>
        </is>
      </c>
      <c r="R89" s="136" t="inlineStr">
        <is>
          <t>x69</t>
        </is>
      </c>
      <c r="S89" s="136" t="inlineStr">
        <is>
          <t>q25</t>
        </is>
      </c>
      <c r="T89" s="136" t="inlineStr">
        <is>
          <t>q50</t>
        </is>
      </c>
      <c r="U89" s="136" t="inlineStr">
        <is>
          <t>q75</t>
        </is>
      </c>
      <c r="V89" s="136" t="inlineStr">
        <is>
          <t>Tier</t>
        </is>
      </c>
    </row>
    <row r="90">
      <c r="A90" t="inlineStr">
        <is>
          <t>corridor-natural|CPL</t>
        </is>
      </c>
      <c r="B90" t="inlineStr">
        <is>
          <t>corridor-natural</t>
        </is>
      </c>
      <c r="C90" t="inlineStr">
        <is>
          <t>CPL</t>
        </is>
      </c>
      <c r="D90" t="inlineStr">
        <is>
          <t>TRUE</t>
        </is>
      </c>
      <c r="E90" t="n">
        <v>6106</v>
      </c>
      <c r="F90" t="n">
        <v>6130</v>
      </c>
      <c r="G90" t="n">
        <v>0</v>
      </c>
      <c r="H90" t="n">
        <v>0</v>
      </c>
      <c r="I90" t="n">
        <v>39.775713</v>
      </c>
      <c r="J90" t="n">
        <v>0.3</v>
      </c>
      <c r="K90" t="n">
        <v>92.80999799999999</v>
      </c>
      <c r="L90" t="n">
        <v>0.7</v>
      </c>
      <c r="M90" t="n">
        <v>99.220001</v>
      </c>
      <c r="N90" t="n">
        <v>1</v>
      </c>
      <c r="O90" t="n">
        <v>100</v>
      </c>
      <c r="P90" t="n">
        <v>1</v>
      </c>
      <c r="Q90" t="n">
        <v>51.708427</v>
      </c>
      <c r="R90" t="n">
        <v>91.48414</v>
      </c>
      <c r="S90" t="n">
        <v>92.80999799999999</v>
      </c>
      <c r="T90" t="n">
        <v>96.949997</v>
      </c>
      <c r="U90" t="n">
        <v>99.220001</v>
      </c>
      <c r="V90" t="inlineStr">
        <is>
          <t>complete</t>
        </is>
      </c>
    </row>
    <row r="91">
      <c r="A91" t="inlineStr">
        <is>
          <t>corridor-natural|NAP</t>
        </is>
      </c>
      <c r="B91" t="inlineStr">
        <is>
          <t>corridor-natural</t>
        </is>
      </c>
      <c r="C91" t="inlineStr">
        <is>
          <t>NAP</t>
        </is>
      </c>
      <c r="D91" t="inlineStr">
        <is>
          <t>TRUE</t>
        </is>
      </c>
      <c r="E91" t="n">
        <v>3002</v>
      </c>
      <c r="F91" t="n">
        <v>3005</v>
      </c>
      <c r="G91" t="n">
        <v>0</v>
      </c>
      <c r="H91" t="n">
        <v>0</v>
      </c>
      <c r="I91" t="n">
        <v>38.549999</v>
      </c>
      <c r="J91" t="n">
        <v>0.3</v>
      </c>
      <c r="K91" t="n">
        <v>89.949997</v>
      </c>
      <c r="L91" t="n">
        <v>0.7</v>
      </c>
      <c r="M91" t="n">
        <v>98.457499</v>
      </c>
      <c r="N91" t="n">
        <v>1</v>
      </c>
      <c r="O91" t="n">
        <v>100</v>
      </c>
      <c r="P91" t="n">
        <v>1</v>
      </c>
      <c r="Q91" t="n">
        <v>50.114998</v>
      </c>
      <c r="R91" t="n">
        <v>88.664997</v>
      </c>
      <c r="S91" t="n">
        <v>89.949997</v>
      </c>
      <c r="T91" t="n">
        <v>95.24499900000001</v>
      </c>
      <c r="U91" t="n">
        <v>98.457499</v>
      </c>
      <c r="V91" t="inlineStr">
        <is>
          <t>complete</t>
        </is>
      </c>
    </row>
    <row r="92">
      <c r="A92" t="inlineStr">
        <is>
          <t>corridor-natural|NPL</t>
        </is>
      </c>
      <c r="B92" t="inlineStr">
        <is>
          <t>corridor-natural</t>
        </is>
      </c>
      <c r="C92" t="inlineStr">
        <is>
          <t>NPL</t>
        </is>
      </c>
      <c r="D92" t="inlineStr">
        <is>
          <t>TRUE</t>
        </is>
      </c>
      <c r="E92" t="n">
        <v>4318</v>
      </c>
      <c r="F92" t="n">
        <v>4319</v>
      </c>
      <c r="G92" t="n">
        <v>0</v>
      </c>
      <c r="H92" t="n">
        <v>0</v>
      </c>
      <c r="I92" t="n">
        <v>41.7225</v>
      </c>
      <c r="J92" t="n">
        <v>0.3</v>
      </c>
      <c r="K92" t="n">
        <v>97.35249899999999</v>
      </c>
      <c r="L92" t="n">
        <v>0.7</v>
      </c>
      <c r="M92" t="n">
        <v>100</v>
      </c>
      <c r="N92" t="n">
        <v>1</v>
      </c>
      <c r="O92" t="n">
        <v>100</v>
      </c>
      <c r="P92" t="n">
        <v>1</v>
      </c>
      <c r="Q92" t="n">
        <v>54.239249</v>
      </c>
      <c r="R92" t="n">
        <v>95.961749</v>
      </c>
      <c r="S92" t="n">
        <v>97.35249899999999</v>
      </c>
      <c r="T92" t="n">
        <v>99.58000199999999</v>
      </c>
      <c r="U92" t="n">
        <v>100</v>
      </c>
      <c r="V92" t="inlineStr">
        <is>
          <t>complete</t>
        </is>
      </c>
    </row>
    <row r="93">
      <c r="A93" t="inlineStr">
        <is>
          <t>corridor-natural|SAP</t>
        </is>
      </c>
      <c r="B93" t="inlineStr">
        <is>
          <t>corridor-natural</t>
        </is>
      </c>
      <c r="C93" t="inlineStr">
        <is>
          <t>SAP</t>
        </is>
      </c>
      <c r="D93" t="inlineStr">
        <is>
          <t>TRUE</t>
        </is>
      </c>
      <c r="E93" t="n">
        <v>6246</v>
      </c>
      <c r="F93" t="n">
        <v>6246</v>
      </c>
      <c r="G93" t="n">
        <v>0</v>
      </c>
      <c r="H93" t="n">
        <v>0</v>
      </c>
      <c r="I93" t="n">
        <v>37.654286</v>
      </c>
      <c r="J93" t="n">
        <v>0.3</v>
      </c>
      <c r="K93" t="n">
        <v>87.860001</v>
      </c>
      <c r="L93" t="n">
        <v>0.7</v>
      </c>
      <c r="M93" t="n">
        <v>99.099998</v>
      </c>
      <c r="N93" t="n">
        <v>1</v>
      </c>
      <c r="O93" t="n">
        <v>100</v>
      </c>
      <c r="P93" t="n">
        <v>1</v>
      </c>
      <c r="Q93" t="n">
        <v>48.950572</v>
      </c>
      <c r="R93" t="n">
        <v>86.60485799999999</v>
      </c>
      <c r="S93" t="n">
        <v>87.860001</v>
      </c>
      <c r="T93" t="n">
        <v>95.19000200000001</v>
      </c>
      <c r="U93" t="n">
        <v>99.099998</v>
      </c>
      <c r="V93" t="inlineStr">
        <is>
          <t>complete</t>
        </is>
      </c>
    </row>
    <row r="94">
      <c r="A94" t="inlineStr">
        <is>
          <t>corridor-natural|SPL</t>
        </is>
      </c>
      <c r="B94" t="inlineStr">
        <is>
          <t>corridor-natural</t>
        </is>
      </c>
      <c r="C94" t="inlineStr">
        <is>
          <t>SPL</t>
        </is>
      </c>
      <c r="D94" t="inlineStr">
        <is>
          <t>TRUE</t>
        </is>
      </c>
      <c r="E94" t="n">
        <v>5959</v>
      </c>
      <c r="F94" t="n">
        <v>5960</v>
      </c>
      <c r="G94" t="n">
        <v>0</v>
      </c>
      <c r="H94" t="n">
        <v>0</v>
      </c>
      <c r="I94" t="n">
        <v>41.138571</v>
      </c>
      <c r="J94" t="n">
        <v>0.3</v>
      </c>
      <c r="K94" t="n">
        <v>95.989998</v>
      </c>
      <c r="L94" t="n">
        <v>0.7</v>
      </c>
      <c r="M94" t="n">
        <v>99.949997</v>
      </c>
      <c r="N94" t="n">
        <v>1</v>
      </c>
      <c r="O94" t="n">
        <v>100</v>
      </c>
      <c r="P94" t="n">
        <v>1</v>
      </c>
      <c r="Q94" t="n">
        <v>53.480142</v>
      </c>
      <c r="R94" t="n">
        <v>94.618712</v>
      </c>
      <c r="S94" t="n">
        <v>95.989998</v>
      </c>
      <c r="T94" t="n">
        <v>98.639999</v>
      </c>
      <c r="U94" t="n">
        <v>99.949997</v>
      </c>
      <c r="V94" t="inlineStr">
        <is>
          <t>complete</t>
        </is>
      </c>
    </row>
    <row r="95">
      <c r="A95" t="inlineStr">
        <is>
          <t>corridor-natural|TPL</t>
        </is>
      </c>
      <c r="B95" t="inlineStr">
        <is>
          <t>corridor-natural</t>
        </is>
      </c>
      <c r="C95" t="inlineStr">
        <is>
          <t>TPL</t>
        </is>
      </c>
      <c r="D95" t="inlineStr">
        <is>
          <t>TRUE</t>
        </is>
      </c>
      <c r="E95" t="n">
        <v>870</v>
      </c>
      <c r="F95" t="n">
        <v>874</v>
      </c>
      <c r="G95" t="n">
        <v>0</v>
      </c>
      <c r="H95" t="n">
        <v>0</v>
      </c>
      <c r="I95" t="n">
        <v>38.562858</v>
      </c>
      <c r="J95" t="n">
        <v>0.3</v>
      </c>
      <c r="K95" t="n">
        <v>89.980001</v>
      </c>
      <c r="L95" t="n">
        <v>0.7</v>
      </c>
      <c r="M95" t="n">
        <v>98.800003</v>
      </c>
      <c r="N95" t="n">
        <v>1</v>
      </c>
      <c r="O95" t="n">
        <v>100</v>
      </c>
      <c r="P95" t="n">
        <v>1</v>
      </c>
      <c r="Q95" t="n">
        <v>50.131715</v>
      </c>
      <c r="R95" t="n">
        <v>88.69457300000001</v>
      </c>
      <c r="S95" t="n">
        <v>89.980001</v>
      </c>
      <c r="T95" t="n">
        <v>95.25</v>
      </c>
      <c r="U95" t="n">
        <v>98.800003</v>
      </c>
      <c r="V95" t="inlineStr">
        <is>
          <t>complete</t>
        </is>
      </c>
    </row>
    <row r="96">
      <c r="A96" t="inlineStr">
        <is>
          <t>corridor-natural|UMW</t>
        </is>
      </c>
      <c r="B96" t="inlineStr">
        <is>
          <t>corridor-natural</t>
        </is>
      </c>
      <c r="C96" t="inlineStr">
        <is>
          <t>UMW</t>
        </is>
      </c>
      <c r="D96" t="inlineStr">
        <is>
          <t>TRUE</t>
        </is>
      </c>
      <c r="E96" t="n">
        <v>2431</v>
      </c>
      <c r="F96" t="n">
        <v>2432</v>
      </c>
      <c r="G96" t="n">
        <v>0</v>
      </c>
      <c r="H96" t="n">
        <v>0</v>
      </c>
      <c r="I96" t="n">
        <v>39.462856</v>
      </c>
      <c r="J96" t="n">
        <v>0.3</v>
      </c>
      <c r="K96" t="n">
        <v>92.079998</v>
      </c>
      <c r="L96" t="n">
        <v>0.7</v>
      </c>
      <c r="M96" t="n">
        <v>98.514999</v>
      </c>
      <c r="N96" t="n">
        <v>1</v>
      </c>
      <c r="O96" t="n">
        <v>100</v>
      </c>
      <c r="P96" t="n">
        <v>1</v>
      </c>
      <c r="Q96" t="n">
        <v>51.301713</v>
      </c>
      <c r="R96" t="n">
        <v>90.76456899999999</v>
      </c>
      <c r="S96" t="n">
        <v>92.079998</v>
      </c>
      <c r="T96" t="n">
        <v>96.19000200000001</v>
      </c>
      <c r="U96" t="n">
        <v>98.514999</v>
      </c>
      <c r="V96" t="inlineStr">
        <is>
          <t>complete</t>
        </is>
      </c>
    </row>
    <row r="97">
      <c r="A97" t="inlineStr">
        <is>
          <t>corridor-natural|WMT</t>
        </is>
      </c>
      <c r="B97" t="inlineStr">
        <is>
          <t>corridor-natural</t>
        </is>
      </c>
      <c r="C97" t="inlineStr">
        <is>
          <t>WMT</t>
        </is>
      </c>
      <c r="D97" t="inlineStr">
        <is>
          <t>TRUE</t>
        </is>
      </c>
      <c r="E97" t="n">
        <v>12592</v>
      </c>
      <c r="F97" t="n">
        <v>12592</v>
      </c>
      <c r="G97" t="n">
        <v>0</v>
      </c>
      <c r="H97" t="n">
        <v>0</v>
      </c>
      <c r="I97" t="n">
        <v>41.807144</v>
      </c>
      <c r="J97" t="n">
        <v>0.3</v>
      </c>
      <c r="K97" t="n">
        <v>97.550003</v>
      </c>
      <c r="L97" t="n">
        <v>0.7</v>
      </c>
      <c r="M97" t="n">
        <v>100</v>
      </c>
      <c r="N97" t="n">
        <v>1</v>
      </c>
      <c r="O97" t="n">
        <v>100</v>
      </c>
      <c r="P97" t="n">
        <v>1</v>
      </c>
      <c r="Q97" t="n">
        <v>54.349287</v>
      </c>
      <c r="R97" t="n">
        <v>96.156432</v>
      </c>
      <c r="S97" t="n">
        <v>97.550003</v>
      </c>
      <c r="T97" t="n">
        <v>99.900002</v>
      </c>
      <c r="U97" t="n">
        <v>100</v>
      </c>
      <c r="V97" t="inlineStr">
        <is>
          <t>complete</t>
        </is>
      </c>
    </row>
    <row r="98">
      <c r="A98" t="inlineStr">
        <is>
          <t>corridor-natural|XER</t>
        </is>
      </c>
      <c r="B98" t="inlineStr">
        <is>
          <t>corridor-natural</t>
        </is>
      </c>
      <c r="C98" t="inlineStr">
        <is>
          <t>XER</t>
        </is>
      </c>
      <c r="D98" t="inlineStr">
        <is>
          <t>TRUE</t>
        </is>
      </c>
      <c r="E98" t="n">
        <v>14653</v>
      </c>
      <c r="F98" t="n">
        <v>14654</v>
      </c>
      <c r="G98" t="n">
        <v>0</v>
      </c>
      <c r="H98" t="n">
        <v>0</v>
      </c>
      <c r="I98" t="n">
        <v>41.952857</v>
      </c>
      <c r="J98" t="n">
        <v>0.3</v>
      </c>
      <c r="K98" t="n">
        <v>97.889999</v>
      </c>
      <c r="L98" t="n">
        <v>0.7</v>
      </c>
      <c r="M98" t="n">
        <v>100</v>
      </c>
      <c r="N98" t="n">
        <v>1</v>
      </c>
      <c r="O98" t="n">
        <v>100</v>
      </c>
      <c r="P98" t="n">
        <v>1</v>
      </c>
      <c r="Q98" t="n">
        <v>54.538714</v>
      </c>
      <c r="R98" t="n">
        <v>96.49157099999999</v>
      </c>
      <c r="S98" t="n">
        <v>97.889999</v>
      </c>
      <c r="T98" t="n">
        <v>99.879997</v>
      </c>
      <c r="U98" t="n">
        <v>100</v>
      </c>
      <c r="V98" t="inlineStr">
        <is>
          <t>complete</t>
        </is>
      </c>
    </row>
    <row r="99">
      <c r="A99" t="inlineStr">
        <is>
          <t>corridor-natural|national</t>
        </is>
      </c>
      <c r="B99" t="inlineStr">
        <is>
          <t>corridor-natural</t>
        </is>
      </c>
      <c r="C99" t="inlineStr">
        <is>
          <t>national</t>
        </is>
      </c>
      <c r="D99" t="inlineStr">
        <is>
          <t>TRUE</t>
        </is>
      </c>
      <c r="E99" t="n">
        <v>53175</v>
      </c>
      <c r="F99" t="n">
        <v>53210</v>
      </c>
      <c r="G99" t="n">
        <v>0</v>
      </c>
      <c r="H99" t="n">
        <v>0</v>
      </c>
      <c r="I99" t="n">
        <v>40.675716</v>
      </c>
      <c r="J99" t="n">
        <v>0.3</v>
      </c>
      <c r="K99" t="n">
        <v>94.910004</v>
      </c>
      <c r="L99" t="n">
        <v>0.7</v>
      </c>
      <c r="M99" t="n">
        <v>100</v>
      </c>
      <c r="N99" t="n">
        <v>1</v>
      </c>
      <c r="O99" t="n">
        <v>100</v>
      </c>
      <c r="P99" t="n">
        <v>1</v>
      </c>
      <c r="Q99" t="n">
        <v>52.878431</v>
      </c>
      <c r="R99" t="n">
        <v>93.554146</v>
      </c>
      <c r="S99" t="n">
        <v>94.910004</v>
      </c>
      <c r="T99" t="n">
        <v>98.870003</v>
      </c>
      <c r="U99" t="n">
        <v>100</v>
      </c>
      <c r="V99" t="inlineStr">
        <is>
          <t>complete</t>
        </is>
      </c>
    </row>
    <row r="100">
      <c r="A100" t="inlineStr">
        <is>
          <t>corridor-woody|CPL</t>
        </is>
      </c>
      <c r="B100" t="inlineStr">
        <is>
          <t>corridor-woody</t>
        </is>
      </c>
      <c r="C100" t="inlineStr">
        <is>
          <t>CPL</t>
        </is>
      </c>
      <c r="D100" t="inlineStr">
        <is>
          <t>TRUE</t>
        </is>
      </c>
      <c r="E100" t="n">
        <v>6106</v>
      </c>
      <c r="F100" t="n">
        <v>6130</v>
      </c>
      <c r="G100" t="n">
        <v>0</v>
      </c>
      <c r="H100" t="n">
        <v>0</v>
      </c>
      <c r="I100" t="n">
        <v>35.38607</v>
      </c>
      <c r="J100" t="n">
        <v>0.3</v>
      </c>
      <c r="K100" t="n">
        <v>82.567497</v>
      </c>
      <c r="L100" t="n">
        <v>0.7</v>
      </c>
      <c r="M100" t="n">
        <v>97.227503</v>
      </c>
      <c r="N100" t="n">
        <v>1</v>
      </c>
      <c r="O100" t="n">
        <v>100</v>
      </c>
      <c r="P100" t="n">
        <v>1</v>
      </c>
      <c r="Q100" t="n">
        <v>46.001891</v>
      </c>
      <c r="R100" t="n">
        <v>81.387962</v>
      </c>
      <c r="S100" t="n">
        <v>82.567497</v>
      </c>
      <c r="T100" t="n">
        <v>92.5</v>
      </c>
      <c r="U100" t="n">
        <v>97.227503</v>
      </c>
      <c r="V100" t="inlineStr">
        <is>
          <t>complete</t>
        </is>
      </c>
    </row>
    <row r="101">
      <c r="A101" t="inlineStr">
        <is>
          <t>corridor-woody|NAP</t>
        </is>
      </c>
      <c r="B101" t="inlineStr">
        <is>
          <t>corridor-woody</t>
        </is>
      </c>
      <c r="C101" t="inlineStr">
        <is>
          <t>NAP</t>
        </is>
      </c>
      <c r="D101" t="inlineStr">
        <is>
          <t>TRUE</t>
        </is>
      </c>
      <c r="E101" t="n">
        <v>3002</v>
      </c>
      <c r="F101" t="n">
        <v>3005</v>
      </c>
      <c r="G101" t="n">
        <v>0</v>
      </c>
      <c r="H101" t="n">
        <v>0</v>
      </c>
      <c r="I101" t="n">
        <v>36.962142</v>
      </c>
      <c r="J101" t="n">
        <v>0.3</v>
      </c>
      <c r="K101" t="n">
        <v>86.24499900000001</v>
      </c>
      <c r="L101" t="n">
        <v>0.7</v>
      </c>
      <c r="M101" t="n">
        <v>96.64750100000001</v>
      </c>
      <c r="N101" t="n">
        <v>1</v>
      </c>
      <c r="O101" t="n">
        <v>99.768252</v>
      </c>
      <c r="P101" t="n">
        <v>1</v>
      </c>
      <c r="Q101" t="n">
        <v>48.050785</v>
      </c>
      <c r="R101" t="n">
        <v>85.012928</v>
      </c>
      <c r="S101" t="n">
        <v>86.24499900000001</v>
      </c>
      <c r="T101" t="n">
        <v>92.514999</v>
      </c>
      <c r="U101" t="n">
        <v>96.64750100000001</v>
      </c>
      <c r="V101" t="inlineStr">
        <is>
          <t>complete</t>
        </is>
      </c>
    </row>
    <row r="102">
      <c r="A102" t="inlineStr">
        <is>
          <t>corridor-woody|NPL</t>
        </is>
      </c>
      <c r="B102" t="inlineStr">
        <is>
          <t>corridor-woody</t>
        </is>
      </c>
      <c r="C102" t="inlineStr">
        <is>
          <t>NPL</t>
        </is>
      </c>
      <c r="D102" t="inlineStr">
        <is>
          <t>TRUE</t>
        </is>
      </c>
      <c r="E102" t="n">
        <v>4318</v>
      </c>
      <c r="F102" t="n">
        <v>4319</v>
      </c>
      <c r="G102" t="n">
        <v>0</v>
      </c>
      <c r="H102" t="n">
        <v>0</v>
      </c>
      <c r="I102" t="n">
        <v>0.620357</v>
      </c>
      <c r="J102" t="n">
        <v>0.3</v>
      </c>
      <c r="K102" t="n">
        <v>1.4475</v>
      </c>
      <c r="L102" t="n">
        <v>0.7</v>
      </c>
      <c r="M102" t="n">
        <v>63.462501</v>
      </c>
      <c r="N102" t="n">
        <v>1</v>
      </c>
      <c r="O102" t="n">
        <v>82.067001</v>
      </c>
      <c r="P102" t="n">
        <v>1</v>
      </c>
      <c r="Q102" t="n">
        <v>0.806464</v>
      </c>
      <c r="R102" t="n">
        <v>1.426821</v>
      </c>
      <c r="S102" t="n">
        <v>1.4475</v>
      </c>
      <c r="T102" t="n">
        <v>28.26</v>
      </c>
      <c r="U102" t="n">
        <v>63.462501</v>
      </c>
      <c r="V102" t="inlineStr">
        <is>
          <t>complete</t>
        </is>
      </c>
    </row>
    <row r="103">
      <c r="A103" t="inlineStr">
        <is>
          <t>corridor-woody|SAP</t>
        </is>
      </c>
      <c r="B103" t="inlineStr">
        <is>
          <t>corridor-woody</t>
        </is>
      </c>
      <c r="C103" t="inlineStr">
        <is>
          <t>SAP</t>
        </is>
      </c>
      <c r="D103" t="inlineStr">
        <is>
          <t>TRUE</t>
        </is>
      </c>
      <c r="E103" t="n">
        <v>6246</v>
      </c>
      <c r="F103" t="n">
        <v>6246</v>
      </c>
      <c r="G103" t="n">
        <v>0</v>
      </c>
      <c r="H103" t="n">
        <v>0</v>
      </c>
      <c r="I103" t="n">
        <v>36.327858</v>
      </c>
      <c r="J103" t="n">
        <v>0.3</v>
      </c>
      <c r="K103" t="n">
        <v>84.765001</v>
      </c>
      <c r="L103" t="n">
        <v>0.7</v>
      </c>
      <c r="M103" t="n">
        <v>98.197498</v>
      </c>
      <c r="N103" t="n">
        <v>1</v>
      </c>
      <c r="O103" t="n">
        <v>100</v>
      </c>
      <c r="P103" t="n">
        <v>1</v>
      </c>
      <c r="Q103" t="n">
        <v>47.226215</v>
      </c>
      <c r="R103" t="n">
        <v>83.554073</v>
      </c>
      <c r="S103" t="n">
        <v>84.765001</v>
      </c>
      <c r="T103" t="n">
        <v>92.949997</v>
      </c>
      <c r="U103" t="n">
        <v>98.197498</v>
      </c>
      <c r="V103" t="inlineStr">
        <is>
          <t>complete</t>
        </is>
      </c>
    </row>
    <row r="104">
      <c r="A104" t="inlineStr">
        <is>
          <t>corridor-woody|SPL</t>
        </is>
      </c>
      <c r="B104" t="inlineStr">
        <is>
          <t>corridor-woody</t>
        </is>
      </c>
      <c r="C104" t="inlineStr">
        <is>
          <t>SPL</t>
        </is>
      </c>
      <c r="D104" t="inlineStr">
        <is>
          <t>TRUE</t>
        </is>
      </c>
      <c r="E104" t="n">
        <v>5959</v>
      </c>
      <c r="F104" t="n">
        <v>5960</v>
      </c>
      <c r="G104" t="n">
        <v>0</v>
      </c>
      <c r="H104" t="n">
        <v>0</v>
      </c>
      <c r="I104" t="n">
        <v>1.68</v>
      </c>
      <c r="J104" t="n">
        <v>0.3</v>
      </c>
      <c r="K104" t="n">
        <v>3.92</v>
      </c>
      <c r="L104" t="n">
        <v>0.7</v>
      </c>
      <c r="M104" t="n">
        <v>91.924999</v>
      </c>
      <c r="N104" t="n">
        <v>1</v>
      </c>
      <c r="O104" t="n">
        <v>100</v>
      </c>
      <c r="P104" t="n">
        <v>1</v>
      </c>
      <c r="Q104" t="n">
        <v>2.184</v>
      </c>
      <c r="R104" t="n">
        <v>3.864</v>
      </c>
      <c r="S104" t="n">
        <v>3.92</v>
      </c>
      <c r="T104" t="n">
        <v>49.380001</v>
      </c>
      <c r="U104" t="n">
        <v>91.924999</v>
      </c>
      <c r="V104" t="inlineStr">
        <is>
          <t>complete</t>
        </is>
      </c>
    </row>
    <row r="105">
      <c r="A105" t="inlineStr">
        <is>
          <t>corridor-woody|TPL</t>
        </is>
      </c>
      <c r="B105" t="inlineStr">
        <is>
          <t>corridor-woody</t>
        </is>
      </c>
      <c r="C105" t="inlineStr">
        <is>
          <t>TPL</t>
        </is>
      </c>
      <c r="D105" t="inlineStr">
        <is>
          <t>TRUE</t>
        </is>
      </c>
      <c r="E105" t="n">
        <v>870</v>
      </c>
      <c r="F105" t="n">
        <v>874</v>
      </c>
      <c r="G105" t="n">
        <v>0</v>
      </c>
      <c r="H105" t="n">
        <v>0</v>
      </c>
      <c r="I105" t="n">
        <v>1.8075</v>
      </c>
      <c r="J105" t="n">
        <v>0.3</v>
      </c>
      <c r="K105" t="n">
        <v>4.2175</v>
      </c>
      <c r="L105" t="n">
        <v>0.7</v>
      </c>
      <c r="M105" t="n">
        <v>90.220001</v>
      </c>
      <c r="N105" t="n">
        <v>1</v>
      </c>
      <c r="O105" t="n">
        <v>100</v>
      </c>
      <c r="P105" t="n">
        <v>1</v>
      </c>
      <c r="Q105" t="n">
        <v>2.34975</v>
      </c>
      <c r="R105" t="n">
        <v>4.15725</v>
      </c>
      <c r="S105" t="n">
        <v>4.2175</v>
      </c>
      <c r="T105" t="n">
        <v>49.17</v>
      </c>
      <c r="U105" t="n">
        <v>90.220001</v>
      </c>
      <c r="V105" t="inlineStr">
        <is>
          <t>complete</t>
        </is>
      </c>
    </row>
    <row r="106">
      <c r="A106" t="inlineStr">
        <is>
          <t>corridor-woody|UMW</t>
        </is>
      </c>
      <c r="B106" t="inlineStr">
        <is>
          <t>corridor-woody</t>
        </is>
      </c>
      <c r="C106" t="inlineStr">
        <is>
          <t>UMW</t>
        </is>
      </c>
      <c r="D106" t="inlineStr">
        <is>
          <t>TRUE</t>
        </is>
      </c>
      <c r="E106" t="n">
        <v>2431</v>
      </c>
      <c r="F106" t="n">
        <v>2432</v>
      </c>
      <c r="G106" t="n">
        <v>0</v>
      </c>
      <c r="H106" t="n">
        <v>0</v>
      </c>
      <c r="I106" t="n">
        <v>33.004285</v>
      </c>
      <c r="J106" t="n">
        <v>0.3</v>
      </c>
      <c r="K106" t="n">
        <v>77.009998</v>
      </c>
      <c r="L106" t="n">
        <v>0.7</v>
      </c>
      <c r="M106" t="n">
        <v>94.639999</v>
      </c>
      <c r="N106" t="n">
        <v>1</v>
      </c>
      <c r="O106" t="n">
        <v>99.929</v>
      </c>
      <c r="P106" t="n">
        <v>1</v>
      </c>
      <c r="Q106" t="n">
        <v>42.90557</v>
      </c>
      <c r="R106" t="n">
        <v>75.90985499999999</v>
      </c>
      <c r="S106" t="n">
        <v>77.009998</v>
      </c>
      <c r="T106" t="n">
        <v>88.66999800000001</v>
      </c>
      <c r="U106" t="n">
        <v>94.639999</v>
      </c>
      <c r="V106" t="inlineStr">
        <is>
          <t>complete</t>
        </is>
      </c>
    </row>
    <row r="107">
      <c r="A107" t="inlineStr">
        <is>
          <t>corridor-woody|WMT</t>
        </is>
      </c>
      <c r="B107" t="inlineStr">
        <is>
          <t>corridor-woody</t>
        </is>
      </c>
      <c r="C107" t="inlineStr">
        <is>
          <t>WMT</t>
        </is>
      </c>
      <c r="D107" t="inlineStr">
        <is>
          <t>TRUE</t>
        </is>
      </c>
      <c r="E107" t="n">
        <v>12592</v>
      </c>
      <c r="F107" t="n">
        <v>12592</v>
      </c>
      <c r="G107" t="n">
        <v>0</v>
      </c>
      <c r="H107" t="n">
        <v>0</v>
      </c>
      <c r="I107" t="n">
        <v>36.603216</v>
      </c>
      <c r="J107" t="n">
        <v>0.3</v>
      </c>
      <c r="K107" t="n">
        <v>85.40750300000001</v>
      </c>
      <c r="L107" t="n">
        <v>0.7</v>
      </c>
      <c r="M107" t="n">
        <v>99.599998</v>
      </c>
      <c r="N107" t="n">
        <v>1</v>
      </c>
      <c r="O107" t="n">
        <v>100</v>
      </c>
      <c r="P107" t="n">
        <v>1</v>
      </c>
      <c r="Q107" t="n">
        <v>47.58418</v>
      </c>
      <c r="R107" t="n">
        <v>84.18739600000001</v>
      </c>
      <c r="S107" t="n">
        <v>85.40750300000001</v>
      </c>
      <c r="T107" t="n">
        <v>95.865002</v>
      </c>
      <c r="U107" t="n">
        <v>99.599998</v>
      </c>
      <c r="V107" t="inlineStr">
        <is>
          <t>complete</t>
        </is>
      </c>
    </row>
    <row r="108">
      <c r="A108" t="inlineStr">
        <is>
          <t>corridor-woody|XER</t>
        </is>
      </c>
      <c r="B108" t="inlineStr">
        <is>
          <t>corridor-woody</t>
        </is>
      </c>
      <c r="C108" t="inlineStr">
        <is>
          <t>XER</t>
        </is>
      </c>
      <c r="D108" t="inlineStr">
        <is>
          <t>TRUE</t>
        </is>
      </c>
      <c r="E108" t="n">
        <v>14653</v>
      </c>
      <c r="F108" t="n">
        <v>14654</v>
      </c>
      <c r="G108" t="n">
        <v>0</v>
      </c>
      <c r="H108" t="n">
        <v>0</v>
      </c>
      <c r="I108" t="n">
        <v>32.708571</v>
      </c>
      <c r="J108" t="n">
        <v>0.3</v>
      </c>
      <c r="K108" t="n">
        <v>76.31999999999999</v>
      </c>
      <c r="L108" t="n">
        <v>0.7</v>
      </c>
      <c r="M108" t="n">
        <v>99.489998</v>
      </c>
      <c r="N108" t="n">
        <v>1</v>
      </c>
      <c r="O108" t="n">
        <v>100</v>
      </c>
      <c r="P108" t="n">
        <v>1</v>
      </c>
      <c r="Q108" t="n">
        <v>42.521143</v>
      </c>
      <c r="R108" t="n">
        <v>75.229714</v>
      </c>
      <c r="S108" t="n">
        <v>76.31999999999999</v>
      </c>
      <c r="T108" t="n">
        <v>94.839996</v>
      </c>
      <c r="U108" t="n">
        <v>99.489998</v>
      </c>
      <c r="V108" t="inlineStr">
        <is>
          <t>complete</t>
        </is>
      </c>
    </row>
    <row r="109">
      <c r="A109" t="inlineStr">
        <is>
          <t>corridor-woody|national</t>
        </is>
      </c>
      <c r="B109" t="inlineStr">
        <is>
          <t>corridor-woody</t>
        </is>
      </c>
      <c r="C109" t="inlineStr">
        <is>
          <t>national</t>
        </is>
      </c>
      <c r="D109" t="inlineStr">
        <is>
          <t>TRUE</t>
        </is>
      </c>
      <c r="E109" t="n">
        <v>53175</v>
      </c>
      <c r="F109" t="n">
        <v>53210</v>
      </c>
      <c r="G109" t="n">
        <v>0</v>
      </c>
      <c r="H109" t="n">
        <v>0</v>
      </c>
      <c r="I109" t="n">
        <v>29.695715</v>
      </c>
      <c r="J109" t="n">
        <v>0.3</v>
      </c>
      <c r="K109" t="n">
        <v>69.290001</v>
      </c>
      <c r="L109" t="n">
        <v>0.7</v>
      </c>
      <c r="M109" t="n">
        <v>98.16999800000001</v>
      </c>
      <c r="N109" t="n">
        <v>1</v>
      </c>
      <c r="O109" t="n">
        <v>100</v>
      </c>
      <c r="P109" t="n">
        <v>1</v>
      </c>
      <c r="Q109" t="n">
        <v>38.604429</v>
      </c>
      <c r="R109" t="n">
        <v>68.300144</v>
      </c>
      <c r="S109" t="n">
        <v>69.290001</v>
      </c>
      <c r="T109" t="n">
        <v>91.150002</v>
      </c>
      <c r="U109" t="n">
        <v>98.16999800000001</v>
      </c>
      <c r="V109" t="inlineStr">
        <is>
          <t>complete</t>
        </is>
      </c>
    </row>
    <row r="110">
      <c r="A110" t="inlineStr">
        <is>
          <t>entrenchment|0.5_to_2</t>
        </is>
      </c>
      <c r="B110" t="inlineStr">
        <is>
          <t>entrenchment</t>
        </is>
      </c>
      <c r="C110" t="inlineStr">
        <is>
          <t>0.5_to_2</t>
        </is>
      </c>
      <c r="D110" t="inlineStr">
        <is>
          <t>TRUE</t>
        </is>
      </c>
      <c r="E110" t="n">
        <v>9416</v>
      </c>
      <c r="F110" t="n">
        <v>17925</v>
      </c>
      <c r="G110" t="n">
        <v>0</v>
      </c>
      <c r="H110" t="n">
        <v>0</v>
      </c>
      <c r="I110" t="n">
        <v>0.621429</v>
      </c>
      <c r="J110" t="n">
        <v>0.3</v>
      </c>
      <c r="K110" t="n">
        <v>1.45</v>
      </c>
      <c r="L110" t="n">
        <v>0.7</v>
      </c>
      <c r="M110" t="n">
        <v>2.39</v>
      </c>
      <c r="N110" t="n">
        <v>1</v>
      </c>
      <c r="O110" t="n">
        <v>2.672</v>
      </c>
      <c r="P110" t="n">
        <v>1</v>
      </c>
      <c r="Q110" t="n">
        <v>0.807857</v>
      </c>
      <c r="R110" t="n">
        <v>1.429286</v>
      </c>
      <c r="S110" t="n">
        <v>1.45</v>
      </c>
      <c r="T110" t="n">
        <v>1.7</v>
      </c>
      <c r="U110" t="n">
        <v>2.39</v>
      </c>
      <c r="V110" t="inlineStr">
        <is>
          <t>complete</t>
        </is>
      </c>
    </row>
    <row r="111">
      <c r="A111" t="inlineStr">
        <is>
          <t>entrenchment|ge_2</t>
        </is>
      </c>
      <c r="B111" t="inlineStr">
        <is>
          <t>entrenchment</t>
        </is>
      </c>
      <c r="C111" t="inlineStr">
        <is>
          <t>ge_2</t>
        </is>
      </c>
      <c r="D111" t="inlineStr">
        <is>
          <t>TRUE</t>
        </is>
      </c>
      <c r="E111" t="n">
        <v>12473</v>
      </c>
      <c r="F111" t="n">
        <v>22316</v>
      </c>
      <c r="G111" t="n">
        <v>0</v>
      </c>
      <c r="H111" t="n">
        <v>0</v>
      </c>
      <c r="I111" t="n">
        <v>0.63</v>
      </c>
      <c r="J111" t="n">
        <v>0.3</v>
      </c>
      <c r="K111" t="n">
        <v>1.47</v>
      </c>
      <c r="L111" t="n">
        <v>0.7</v>
      </c>
      <c r="M111" t="n">
        <v>1.91</v>
      </c>
      <c r="N111" t="n">
        <v>1</v>
      </c>
      <c r="O111" t="n">
        <v>2.042</v>
      </c>
      <c r="P111" t="n">
        <v>1</v>
      </c>
      <c r="Q111" t="n">
        <v>0.819</v>
      </c>
      <c r="R111" t="n">
        <v>1.449</v>
      </c>
      <c r="S111" t="n">
        <v>1.47</v>
      </c>
      <c r="T111" t="n">
        <v>1.6</v>
      </c>
      <c r="U111" t="n">
        <v>1.91</v>
      </c>
      <c r="V111" t="inlineStr">
        <is>
          <t>complete</t>
        </is>
      </c>
    </row>
    <row r="112">
      <c r="A112" t="inlineStr">
        <is>
          <t>entrenchment|lt_0.5</t>
        </is>
      </c>
      <c r="B112" t="inlineStr">
        <is>
          <t>entrenchment</t>
        </is>
      </c>
      <c r="C112" t="inlineStr">
        <is>
          <t>lt_0.5</t>
        </is>
      </c>
      <c r="D112" t="inlineStr">
        <is>
          <t>TRUE</t>
        </is>
      </c>
      <c r="E112" t="n">
        <v>6136</v>
      </c>
      <c r="F112" t="n">
        <v>12426</v>
      </c>
      <c r="G112" t="n">
        <v>0</v>
      </c>
      <c r="H112" t="n">
        <v>0</v>
      </c>
      <c r="I112" t="n">
        <v>0.497143</v>
      </c>
      <c r="J112" t="n">
        <v>0.3</v>
      </c>
      <c r="K112" t="n">
        <v>1.16</v>
      </c>
      <c r="L112" t="n">
        <v>0.7</v>
      </c>
      <c r="M112" t="n">
        <v>2.5325</v>
      </c>
      <c r="N112" t="n">
        <v>1</v>
      </c>
      <c r="O112" t="n">
        <v>2.94425</v>
      </c>
      <c r="P112" t="n">
        <v>1</v>
      </c>
      <c r="Q112" t="n">
        <v>0.646286</v>
      </c>
      <c r="R112" t="n">
        <v>1.143429</v>
      </c>
      <c r="S112" t="n">
        <v>1.16</v>
      </c>
      <c r="T112" t="n">
        <v>1.58</v>
      </c>
      <c r="U112" t="n">
        <v>2.5325</v>
      </c>
      <c r="V112" t="inlineStr">
        <is>
          <t>complete</t>
        </is>
      </c>
    </row>
    <row r="113">
      <c r="A113" t="inlineStr">
        <is>
          <t>entrenchment|national</t>
        </is>
      </c>
      <c r="B113" t="inlineStr">
        <is>
          <t>entrenchment</t>
        </is>
      </c>
      <c r="C113" t="inlineStr">
        <is>
          <t>national</t>
        </is>
      </c>
      <c r="D113" t="inlineStr">
        <is>
          <t>TRUE</t>
        </is>
      </c>
      <c r="E113" t="n">
        <v>28287</v>
      </c>
      <c r="F113" t="n">
        <v>53210</v>
      </c>
      <c r="G113" t="n">
        <v>0</v>
      </c>
      <c r="H113" t="n">
        <v>0</v>
      </c>
      <c r="I113" t="n">
        <v>0.612857</v>
      </c>
      <c r="J113" t="n">
        <v>0.3</v>
      </c>
      <c r="K113" t="n">
        <v>1.43</v>
      </c>
      <c r="L113" t="n">
        <v>0.7</v>
      </c>
      <c r="M113" t="n">
        <v>2.09</v>
      </c>
      <c r="N113" t="n">
        <v>1</v>
      </c>
      <c r="O113" t="n">
        <v>2.288</v>
      </c>
      <c r="P113" t="n">
        <v>1</v>
      </c>
      <c r="Q113" t="n">
        <v>0.796714</v>
      </c>
      <c r="R113" t="n">
        <v>1.409571</v>
      </c>
      <c r="S113" t="n">
        <v>1.43</v>
      </c>
      <c r="T113" t="n">
        <v>1.62</v>
      </c>
      <c r="U113" t="n">
        <v>2.09</v>
      </c>
      <c r="V113" t="inlineStr">
        <is>
          <t>complete</t>
        </is>
      </c>
    </row>
    <row r="114">
      <c r="A114" t="inlineStr">
        <is>
          <t>flow-variability|CPL</t>
        </is>
      </c>
      <c r="B114" t="inlineStr">
        <is>
          <t>flow-variability</t>
        </is>
      </c>
      <c r="C114" t="inlineStr">
        <is>
          <t>CPL</t>
        </is>
      </c>
      <c r="D114" t="inlineStr">
        <is>
          <t>FALSE</t>
        </is>
      </c>
      <c r="E114" t="n">
        <v>6129</v>
      </c>
      <c r="F114" t="n">
        <v>6130</v>
      </c>
      <c r="G114" t="n">
        <v>0.390855</v>
      </c>
      <c r="H114" t="n">
        <v>1</v>
      </c>
      <c r="I114" t="n">
        <v>0.48476</v>
      </c>
      <c r="J114" t="n">
        <v>1</v>
      </c>
      <c r="K114" t="n">
        <v>0.797778</v>
      </c>
      <c r="L114" t="n">
        <v>0.7</v>
      </c>
      <c r="M114" t="n">
        <v>1.215135</v>
      </c>
      <c r="N114" t="n">
        <v>0.3</v>
      </c>
      <c r="O114" t="n">
        <v>1.528152</v>
      </c>
      <c r="P114" t="n">
        <v>0</v>
      </c>
      <c r="Q114" t="n">
        <v>1.121229</v>
      </c>
      <c r="R114" t="n">
        <v>0.808212</v>
      </c>
      <c r="S114" t="n">
        <v>0.48476</v>
      </c>
      <c r="T114" t="n">
        <v>0.570686</v>
      </c>
      <c r="U114" t="n">
        <v>0.797778</v>
      </c>
      <c r="V114" t="inlineStr">
        <is>
          <t>complete</t>
        </is>
      </c>
    </row>
    <row r="115">
      <c r="A115" t="inlineStr">
        <is>
          <t>flow-variability|NAP</t>
        </is>
      </c>
      <c r="B115" t="inlineStr">
        <is>
          <t>flow-variability</t>
        </is>
      </c>
      <c r="C115" t="inlineStr">
        <is>
          <t>NAP</t>
        </is>
      </c>
      <c r="D115" t="inlineStr">
        <is>
          <t>FALSE</t>
        </is>
      </c>
      <c r="E115" t="n">
        <v>3005</v>
      </c>
      <c r="F115" t="n">
        <v>3005</v>
      </c>
      <c r="G115" t="n">
        <v>0.293031</v>
      </c>
      <c r="H115" t="n">
        <v>1</v>
      </c>
      <c r="I115" t="n">
        <v>0.43709</v>
      </c>
      <c r="J115" t="n">
        <v>1</v>
      </c>
      <c r="K115" t="n">
        <v>0.917287</v>
      </c>
      <c r="L115" t="n">
        <v>0.7</v>
      </c>
      <c r="M115" t="n">
        <v>1.55755</v>
      </c>
      <c r="N115" t="n">
        <v>0.3</v>
      </c>
      <c r="O115" t="n">
        <v>2.037747</v>
      </c>
      <c r="P115" t="n">
        <v>0</v>
      </c>
      <c r="Q115" t="n">
        <v>1.413491</v>
      </c>
      <c r="R115" t="n">
        <v>0.933294</v>
      </c>
      <c r="S115" t="n">
        <v>0.43709</v>
      </c>
      <c r="T115" t="n">
        <v>0.5185999999999999</v>
      </c>
      <c r="U115" t="n">
        <v>0.917287</v>
      </c>
      <c r="V115" t="inlineStr">
        <is>
          <t>complete</t>
        </is>
      </c>
    </row>
    <row r="116">
      <c r="A116" t="inlineStr">
        <is>
          <t>flow-variability|NPL</t>
        </is>
      </c>
      <c r="B116" t="inlineStr">
        <is>
          <t>flow-variability</t>
        </is>
      </c>
      <c r="C116" t="inlineStr">
        <is>
          <t>NPL</t>
        </is>
      </c>
      <c r="D116" t="inlineStr">
        <is>
          <t>FALSE</t>
        </is>
      </c>
      <c r="E116" t="n">
        <v>4319</v>
      </c>
      <c r="F116" t="n">
        <v>4319</v>
      </c>
      <c r="G116" t="n">
        <v>1.295511</v>
      </c>
      <c r="H116" t="n">
        <v>1</v>
      </c>
      <c r="I116" t="n">
        <v>1.420847</v>
      </c>
      <c r="J116" t="n">
        <v>1</v>
      </c>
      <c r="K116" t="n">
        <v>1.838634</v>
      </c>
      <c r="L116" t="n">
        <v>0.7</v>
      </c>
      <c r="M116" t="n">
        <v>2.395684</v>
      </c>
      <c r="N116" t="n">
        <v>0.3</v>
      </c>
      <c r="O116" t="n">
        <v>2.81347</v>
      </c>
      <c r="P116" t="n">
        <v>0</v>
      </c>
      <c r="Q116" t="n">
        <v>2.270347</v>
      </c>
      <c r="R116" t="n">
        <v>1.85256</v>
      </c>
      <c r="S116" t="n">
        <v>1.420847</v>
      </c>
      <c r="T116" t="n">
        <v>1.65361</v>
      </c>
      <c r="U116" t="n">
        <v>1.838634</v>
      </c>
      <c r="V116" t="inlineStr">
        <is>
          <t>complete</t>
        </is>
      </c>
    </row>
    <row r="117">
      <c r="A117" t="inlineStr">
        <is>
          <t>flow-variability|SAP</t>
        </is>
      </c>
      <c r="B117" t="inlineStr">
        <is>
          <t>flow-variability</t>
        </is>
      </c>
      <c r="C117" t="inlineStr">
        <is>
          <t>SAP</t>
        </is>
      </c>
      <c r="D117" t="inlineStr">
        <is>
          <t>FALSE</t>
        </is>
      </c>
      <c r="E117" t="n">
        <v>6246</v>
      </c>
      <c r="F117" t="n">
        <v>6246</v>
      </c>
      <c r="G117" t="n">
        <v>0.352293</v>
      </c>
      <c r="H117" t="n">
        <v>1</v>
      </c>
      <c r="I117" t="n">
        <v>0.5165999999999999</v>
      </c>
      <c r="J117" t="n">
        <v>1</v>
      </c>
      <c r="K117" t="n">
        <v>1.064292</v>
      </c>
      <c r="L117" t="n">
        <v>0.7</v>
      </c>
      <c r="M117" t="n">
        <v>1.794548</v>
      </c>
      <c r="N117" t="n">
        <v>0.3</v>
      </c>
      <c r="O117" t="n">
        <v>2.342239</v>
      </c>
      <c r="P117" t="n">
        <v>0</v>
      </c>
      <c r="Q117" t="n">
        <v>1.63024</v>
      </c>
      <c r="R117" t="n">
        <v>1.082549</v>
      </c>
      <c r="S117" t="n">
        <v>0.5165999999999999</v>
      </c>
      <c r="T117" t="n">
        <v>0.799475</v>
      </c>
      <c r="U117" t="n">
        <v>1.064292</v>
      </c>
      <c r="V117" t="inlineStr">
        <is>
          <t>complete</t>
        </is>
      </c>
    </row>
    <row r="118">
      <c r="A118" t="inlineStr">
        <is>
          <t>flow-variability|SPL</t>
        </is>
      </c>
      <c r="B118" t="inlineStr">
        <is>
          <t>flow-variability</t>
        </is>
      </c>
      <c r="C118" t="inlineStr">
        <is>
          <t>SPL</t>
        </is>
      </c>
      <c r="D118" t="inlineStr">
        <is>
          <t>FALSE</t>
        </is>
      </c>
      <c r="E118" t="n">
        <v>5955</v>
      </c>
      <c r="F118" t="n">
        <v>5960</v>
      </c>
      <c r="G118" t="n">
        <v>0.483146</v>
      </c>
      <c r="H118" t="n">
        <v>1</v>
      </c>
      <c r="I118" t="n">
        <v>0.550742</v>
      </c>
      <c r="J118" t="n">
        <v>1</v>
      </c>
      <c r="K118" t="n">
        <v>0.776062</v>
      </c>
      <c r="L118" t="n">
        <v>0.7</v>
      </c>
      <c r="M118" t="n">
        <v>1.076488</v>
      </c>
      <c r="N118" t="n">
        <v>0.3</v>
      </c>
      <c r="O118" t="n">
        <v>1.301808</v>
      </c>
      <c r="P118" t="n">
        <v>0</v>
      </c>
      <c r="Q118" t="n">
        <v>1.008892</v>
      </c>
      <c r="R118" t="n">
        <v>0.783572</v>
      </c>
      <c r="S118" t="n">
        <v>0.550742</v>
      </c>
      <c r="T118" t="n">
        <v>0.66752</v>
      </c>
      <c r="U118" t="n">
        <v>0.776062</v>
      </c>
      <c r="V118" t="inlineStr">
        <is>
          <t>complete</t>
        </is>
      </c>
    </row>
    <row r="119">
      <c r="A119" t="inlineStr">
        <is>
          <t>flow-variability|TPL</t>
        </is>
      </c>
      <c r="B119" t="inlineStr">
        <is>
          <t>flow-variability</t>
        </is>
      </c>
      <c r="C119" t="inlineStr">
        <is>
          <t>TPL</t>
        </is>
      </c>
      <c r="D119" t="inlineStr">
        <is>
          <t>FALSE</t>
        </is>
      </c>
      <c r="E119" t="n">
        <v>874</v>
      </c>
      <c r="F119" t="n">
        <v>874</v>
      </c>
      <c r="G119" t="n">
        <v>0.399244</v>
      </c>
      <c r="H119" t="n">
        <v>1</v>
      </c>
      <c r="I119" t="n">
        <v>0.795748</v>
      </c>
      <c r="J119" t="n">
        <v>1</v>
      </c>
      <c r="K119" t="n">
        <v>2.11743</v>
      </c>
      <c r="L119" t="n">
        <v>0.7</v>
      </c>
      <c r="M119" t="n">
        <v>3.879673</v>
      </c>
      <c r="N119" t="n">
        <v>0.3</v>
      </c>
      <c r="O119" t="n">
        <v>5.201354</v>
      </c>
      <c r="P119" t="n">
        <v>0</v>
      </c>
      <c r="Q119" t="n">
        <v>3.483168</v>
      </c>
      <c r="R119" t="n">
        <v>2.161486</v>
      </c>
      <c r="S119" t="n">
        <v>0.795748</v>
      </c>
      <c r="T119" t="n">
        <v>1.071896</v>
      </c>
      <c r="U119" t="n">
        <v>2.11743</v>
      </c>
      <c r="V119" t="inlineStr">
        <is>
          <t>complete</t>
        </is>
      </c>
    </row>
    <row r="120">
      <c r="A120" t="inlineStr">
        <is>
          <t>flow-variability|UMW</t>
        </is>
      </c>
      <c r="B120" t="inlineStr">
        <is>
          <t>flow-variability</t>
        </is>
      </c>
      <c r="C120" t="inlineStr">
        <is>
          <t>UMW</t>
        </is>
      </c>
      <c r="D120" t="inlineStr">
        <is>
          <t>FALSE</t>
        </is>
      </c>
      <c r="E120" t="n">
        <v>2432</v>
      </c>
      <c r="F120" t="n">
        <v>2432</v>
      </c>
      <c r="G120" t="n">
        <v>0.35689</v>
      </c>
      <c r="H120" t="n">
        <v>1</v>
      </c>
      <c r="I120" t="n">
        <v>0.641498</v>
      </c>
      <c r="J120" t="n">
        <v>1</v>
      </c>
      <c r="K120" t="n">
        <v>1.590192</v>
      </c>
      <c r="L120" t="n">
        <v>0.7</v>
      </c>
      <c r="M120" t="n">
        <v>2.855118</v>
      </c>
      <c r="N120" t="n">
        <v>0.3</v>
      </c>
      <c r="O120" t="n">
        <v>3.803812</v>
      </c>
      <c r="P120" t="n">
        <v>0</v>
      </c>
      <c r="Q120" t="n">
        <v>2.57051</v>
      </c>
      <c r="R120" t="n">
        <v>1.621816</v>
      </c>
      <c r="S120" t="n">
        <v>0.641498</v>
      </c>
      <c r="T120" t="n">
        <v>0.927893</v>
      </c>
      <c r="U120" t="n">
        <v>1.590192</v>
      </c>
      <c r="V120" t="inlineStr">
        <is>
          <t>complete</t>
        </is>
      </c>
    </row>
    <row r="121">
      <c r="A121" t="inlineStr">
        <is>
          <t>flow-variability|WMT</t>
        </is>
      </c>
      <c r="B121" t="inlineStr">
        <is>
          <t>flow-variability</t>
        </is>
      </c>
      <c r="C121" t="inlineStr">
        <is>
          <t>WMT</t>
        </is>
      </c>
      <c r="D121" t="inlineStr">
        <is>
          <t>FALSE</t>
        </is>
      </c>
      <c r="E121" t="n">
        <v>12591</v>
      </c>
      <c r="F121" t="n">
        <v>12592</v>
      </c>
      <c r="G121" t="n">
        <v>0.597791</v>
      </c>
      <c r="H121" t="n">
        <v>1</v>
      </c>
      <c r="I121" t="n">
        <v>0.761547</v>
      </c>
      <c r="J121" t="n">
        <v>1</v>
      </c>
      <c r="K121" t="n">
        <v>1.3074</v>
      </c>
      <c r="L121" t="n">
        <v>0.7</v>
      </c>
      <c r="M121" t="n">
        <v>2.035204</v>
      </c>
      <c r="N121" t="n">
        <v>0.3</v>
      </c>
      <c r="O121" t="n">
        <v>2.581056</v>
      </c>
      <c r="P121" t="n">
        <v>0</v>
      </c>
      <c r="Q121" t="n">
        <v>1.871448</v>
      </c>
      <c r="R121" t="n">
        <v>1.325595</v>
      </c>
      <c r="S121" t="n">
        <v>0.761547</v>
      </c>
      <c r="T121" t="n">
        <v>1.045299</v>
      </c>
      <c r="U121" t="n">
        <v>1.3074</v>
      </c>
      <c r="V121" t="inlineStr">
        <is>
          <t>complete</t>
        </is>
      </c>
    </row>
    <row r="122">
      <c r="A122" t="inlineStr">
        <is>
          <t>flow-variability|XER</t>
        </is>
      </c>
      <c r="B122" t="inlineStr">
        <is>
          <t>flow-variability</t>
        </is>
      </c>
      <c r="C122" t="inlineStr">
        <is>
          <t>XER</t>
        </is>
      </c>
      <c r="D122" t="inlineStr">
        <is>
          <t>FALSE</t>
        </is>
      </c>
      <c r="E122" t="n">
        <v>14645</v>
      </c>
      <c r="F122" t="n">
        <v>14654</v>
      </c>
      <c r="G122" t="n">
        <v>0.8921559999999999</v>
      </c>
      <c r="H122" t="n">
        <v>1</v>
      </c>
      <c r="I122" t="n">
        <v>1.115726</v>
      </c>
      <c r="J122" t="n">
        <v>1</v>
      </c>
      <c r="K122" t="n">
        <v>1.860961</v>
      </c>
      <c r="L122" t="n">
        <v>0.7</v>
      </c>
      <c r="M122" t="n">
        <v>2.854607</v>
      </c>
      <c r="N122" t="n">
        <v>0.3</v>
      </c>
      <c r="O122" t="n">
        <v>3.599841</v>
      </c>
      <c r="P122" t="n">
        <v>0</v>
      </c>
      <c r="Q122" t="n">
        <v>2.631037</v>
      </c>
      <c r="R122" t="n">
        <v>1.885802</v>
      </c>
      <c r="S122" t="n">
        <v>1.115726</v>
      </c>
      <c r="T122" t="n">
        <v>1.421819</v>
      </c>
      <c r="U122" t="n">
        <v>1.860961</v>
      </c>
      <c r="V122" t="inlineStr">
        <is>
          <t>complete</t>
        </is>
      </c>
    </row>
    <row r="123">
      <c r="A123" t="inlineStr">
        <is>
          <t>flow-variability|national</t>
        </is>
      </c>
      <c r="B123" t="inlineStr">
        <is>
          <t>flow-variability</t>
        </is>
      </c>
      <c r="C123" t="inlineStr">
        <is>
          <t>national</t>
        </is>
      </c>
      <c r="D123" t="inlineStr">
        <is>
          <t>FALSE</t>
        </is>
      </c>
      <c r="E123" t="n">
        <v>53197</v>
      </c>
      <c r="F123" t="n">
        <v>53210</v>
      </c>
      <c r="G123" t="n">
        <v>0.38078</v>
      </c>
      <c r="H123" t="n">
        <v>1</v>
      </c>
      <c r="I123" t="n">
        <v>0.630809</v>
      </c>
      <c r="J123" t="n">
        <v>1</v>
      </c>
      <c r="K123" t="n">
        <v>1.464239</v>
      </c>
      <c r="L123" t="n">
        <v>0.7</v>
      </c>
      <c r="M123" t="n">
        <v>2.575479</v>
      </c>
      <c r="N123" t="n">
        <v>0.3</v>
      </c>
      <c r="O123" t="n">
        <v>3.408909</v>
      </c>
      <c r="P123" t="n">
        <v>0</v>
      </c>
      <c r="Q123" t="n">
        <v>2.32545</v>
      </c>
      <c r="R123" t="n">
        <v>1.49202</v>
      </c>
      <c r="S123" t="n">
        <v>0.630809</v>
      </c>
      <c r="T123" t="n">
        <v>1.00673</v>
      </c>
      <c r="U123" t="n">
        <v>1.464239</v>
      </c>
      <c r="V123" t="inlineStr">
        <is>
          <t>complete</t>
        </is>
      </c>
    </row>
    <row r="125">
      <c r="A125" s="135" t="inlineStr">
        <is>
          <t>Nutrient regional thresholds by NARS-9 region (mg/L): Good at or below the first value, Poor at or above the second, Fair between</t>
        </is>
      </c>
    </row>
    <row r="126">
      <c r="A126" s="136" t="inlineStr">
        <is>
          <t>Region</t>
        </is>
      </c>
      <c r="B126" s="136" t="inlineStr">
        <is>
          <t>TN good/fair</t>
        </is>
      </c>
      <c r="C126" s="136" t="inlineStr">
        <is>
          <t>TN fair/poor</t>
        </is>
      </c>
      <c r="D126" s="136" t="inlineStr">
        <is>
          <t>TP good/fair</t>
        </is>
      </c>
      <c r="E126" s="136" t="inlineStr">
        <is>
          <t>TP fair/poor</t>
        </is>
      </c>
    </row>
    <row r="127">
      <c r="A127" t="inlineStr">
        <is>
          <t>CPL</t>
        </is>
      </c>
      <c r="B127" t="n">
        <v>0.624</v>
      </c>
      <c r="C127" t="n">
        <v>1.081</v>
      </c>
      <c r="D127" t="n">
        <v>0.0559</v>
      </c>
      <c r="E127" t="n">
        <v>0.103</v>
      </c>
    </row>
    <row r="128">
      <c r="A128" t="inlineStr">
        <is>
          <t>NAP</t>
        </is>
      </c>
      <c r="B128" t="n">
        <v>0.345</v>
      </c>
      <c r="C128" t="n">
        <v>0.482</v>
      </c>
      <c r="D128" t="n">
        <v>0.0171</v>
      </c>
      <c r="E128" t="n">
        <v>0.0326</v>
      </c>
    </row>
    <row r="129">
      <c r="A129" t="inlineStr">
        <is>
          <t>NPL</t>
        </is>
      </c>
      <c r="B129" t="n">
        <v>0.575</v>
      </c>
      <c r="C129" t="n">
        <v>0.9370000000000001</v>
      </c>
      <c r="D129" t="n">
        <v>0.064</v>
      </c>
      <c r="E129" t="n">
        <v>0.107</v>
      </c>
    </row>
    <row r="130">
      <c r="A130" t="inlineStr">
        <is>
          <t>SAP</t>
        </is>
      </c>
      <c r="B130" t="n">
        <v>0.24</v>
      </c>
      <c r="C130" t="n">
        <v>0.456</v>
      </c>
      <c r="D130" t="n">
        <v>0.0148</v>
      </c>
      <c r="E130" t="n">
        <v>0.0244</v>
      </c>
    </row>
    <row r="131">
      <c r="A131" t="inlineStr">
        <is>
          <t>SPL</t>
        </is>
      </c>
      <c r="B131" t="n">
        <v>0.581</v>
      </c>
      <c r="C131" t="n">
        <v>1.069</v>
      </c>
      <c r="D131" t="n">
        <v>0.0558</v>
      </c>
      <c r="E131" t="n">
        <v>0.127</v>
      </c>
    </row>
    <row r="132">
      <c r="A132" t="inlineStr">
        <is>
          <t>TPL</t>
        </is>
      </c>
      <c r="B132" t="n">
        <v>0.7</v>
      </c>
      <c r="C132" t="n">
        <v>1.274</v>
      </c>
      <c r="D132" t="n">
        <v>0.0886</v>
      </c>
      <c r="E132" t="n">
        <v>0.143</v>
      </c>
    </row>
    <row r="133">
      <c r="A133" t="inlineStr">
        <is>
          <t>UMW</t>
        </is>
      </c>
      <c r="B133" t="n">
        <v>0.583</v>
      </c>
      <c r="C133" t="n">
        <v>1.024</v>
      </c>
      <c r="D133" t="n">
        <v>0.0363</v>
      </c>
      <c r="E133" t="n">
        <v>0.0499</v>
      </c>
    </row>
    <row r="134">
      <c r="A134" t="inlineStr">
        <is>
          <t>WMT</t>
        </is>
      </c>
      <c r="B134" t="n">
        <v>0.139</v>
      </c>
      <c r="C134" t="n">
        <v>0.249</v>
      </c>
      <c r="D134" t="n">
        <v>0.0177</v>
      </c>
      <c r="E134" t="n">
        <v>0.041</v>
      </c>
    </row>
    <row r="135">
      <c r="A135" t="inlineStr">
        <is>
          <t>XER</t>
        </is>
      </c>
      <c r="B135" t="n">
        <v>0.285</v>
      </c>
      <c r="C135" t="n">
        <v>0.529</v>
      </c>
      <c r="D135" t="n">
        <v>0.052</v>
      </c>
      <c r="E135" t="n">
        <v>0.0959</v>
      </c>
    </row>
    <row r="137">
      <c r="A137" s="135" t="inlineStr">
        <is>
          <t>ATTAINS category lookup (category 3 is inconclusive and falls back to the CHEM index)</t>
        </is>
      </c>
    </row>
    <row r="138">
      <c r="A138" s="136" t="inlineStr">
        <is>
          <t>Category</t>
        </is>
      </c>
      <c r="B138" s="136" t="inlineStr">
        <is>
          <t>Rating</t>
        </is>
      </c>
      <c r="C138" s="136" t="inlineStr">
        <is>
          <t>Label</t>
        </is>
      </c>
    </row>
    <row r="139">
      <c r="A139" t="inlineStr">
        <is>
          <t>1</t>
        </is>
      </c>
      <c r="B139" t="inlineStr">
        <is>
          <t>Good</t>
        </is>
      </c>
      <c r="C139" t="inlineStr">
        <is>
          <t>Category 1</t>
        </is>
      </c>
    </row>
    <row r="140">
      <c r="A140" t="inlineStr">
        <is>
          <t>2</t>
        </is>
      </c>
      <c r="B140" t="inlineStr">
        <is>
          <t>Good</t>
        </is>
      </c>
      <c r="C140" t="inlineStr">
        <is>
          <t>Category 2</t>
        </is>
      </c>
    </row>
    <row r="141">
      <c r="A141" t="inlineStr">
        <is>
          <t>3</t>
        </is>
      </c>
      <c r="B141" t="inlineStr">
        <is>
          <t>none</t>
        </is>
      </c>
      <c r="C141" t="inlineStr">
        <is>
          <t>Category 3 (insufficient evidence)</t>
        </is>
      </c>
    </row>
    <row r="142">
      <c r="A142" t="inlineStr">
        <is>
          <t>4A</t>
        </is>
      </c>
      <c r="B142" t="inlineStr">
        <is>
          <t>Fair</t>
        </is>
      </c>
      <c r="C142" t="inlineStr">
        <is>
          <t>Category 4a</t>
        </is>
      </c>
    </row>
    <row r="143">
      <c r="A143" t="inlineStr">
        <is>
          <t>4B</t>
        </is>
      </c>
      <c r="B143" t="inlineStr">
        <is>
          <t>Fair</t>
        </is>
      </c>
      <c r="C143" t="inlineStr">
        <is>
          <t>Category 4b</t>
        </is>
      </c>
    </row>
    <row r="144">
      <c r="A144" t="inlineStr">
        <is>
          <t>4C</t>
        </is>
      </c>
      <c r="B144" t="inlineStr">
        <is>
          <t>Poor</t>
        </is>
      </c>
      <c r="C144" t="inlineStr">
        <is>
          <t>Category 4c</t>
        </is>
      </c>
    </row>
    <row r="145">
      <c r="A145" t="inlineStr">
        <is>
          <t>5</t>
        </is>
      </c>
      <c r="B145" t="inlineStr">
        <is>
          <t>Poor</t>
        </is>
      </c>
      <c r="C145" t="inlineStr">
        <is>
          <t>Category 5</t>
        </is>
      </c>
    </row>
    <row r="147">
      <c r="A147" s="135" t="inlineStr">
        <is>
          <t>Canal and ditch feature codes (Channel evolution rates Poor)</t>
        </is>
      </c>
    </row>
    <row r="148">
      <c r="A148" s="136" t="inlineStr">
        <is>
          <t>FCODE</t>
        </is>
      </c>
      <c r="B148" s="136" t="inlineStr">
        <is>
          <t>Rating</t>
        </is>
      </c>
    </row>
    <row r="149">
      <c r="A149" t="n">
        <v>33600</v>
      </c>
      <c r="B149" t="inlineStr">
        <is>
          <t>Poor</t>
        </is>
      </c>
    </row>
    <row r="150">
      <c r="A150" t="n">
        <v>33601</v>
      </c>
      <c r="B150" t="inlineStr">
        <is>
          <t>Poor</t>
        </is>
      </c>
    </row>
    <row r="151">
      <c r="A151" t="n">
        <v>33603</v>
      </c>
      <c r="B151" t="inlineStr">
        <is>
          <t>Poor</t>
        </is>
      </c>
    </row>
    <row r="153">
      <c r="A153" s="135" t="inlineStr">
        <is>
          <t>Function to outcome mapping and weights (D direct, i indirect)</t>
        </is>
      </c>
    </row>
    <row r="154">
      <c r="A154" s="136" t="inlineStr">
        <is>
          <t>Function</t>
        </is>
      </c>
      <c r="B154" s="136" t="inlineStr">
        <is>
          <t>Physical</t>
        </is>
      </c>
      <c r="C154" s="136" t="inlineStr">
        <is>
          <t>Chemical</t>
        </is>
      </c>
      <c r="D154" s="136" t="inlineStr">
        <is>
          <t>Biological</t>
        </is>
      </c>
      <c r="E154" s="136" t="inlineStr">
        <is>
          <t>Weight D</t>
        </is>
      </c>
      <c r="F154" s="136" t="inlineStr">
        <is>
          <t>Weight i</t>
        </is>
      </c>
    </row>
    <row r="155">
      <c r="A155" t="inlineStr">
        <is>
          <t>Catchment hydrology</t>
        </is>
      </c>
      <c r="B155" t="inlineStr">
        <is>
          <t>D</t>
        </is>
      </c>
      <c r="C155" t="inlineStr">
        <is>
          <t>i</t>
        </is>
      </c>
      <c r="D155" t="inlineStr">
        <is>
          <t>i</t>
        </is>
      </c>
      <c r="E155" t="n">
        <v>1</v>
      </c>
      <c r="F155" t="n">
        <v>0.1</v>
      </c>
    </row>
    <row r="156">
      <c r="A156" t="inlineStr">
        <is>
          <t>Surface water storage</t>
        </is>
      </c>
      <c r="B156" t="inlineStr">
        <is>
          <t>D</t>
        </is>
      </c>
      <c r="C156" t="inlineStr">
        <is>
          <t>i</t>
        </is>
      </c>
      <c r="D156" t="inlineStr">
        <is>
          <t>i</t>
        </is>
      </c>
      <c r="E156" t="n">
        <v>1</v>
      </c>
      <c r="F156" t="n">
        <v>0.1</v>
      </c>
    </row>
    <row r="157">
      <c r="A157" t="inlineStr">
        <is>
          <t>Reach inflow</t>
        </is>
      </c>
      <c r="B157" t="inlineStr">
        <is>
          <t>D</t>
        </is>
      </c>
      <c r="C157" t="inlineStr">
        <is>
          <t>i</t>
        </is>
      </c>
      <c r="D157" t="inlineStr">
        <is>
          <t>i</t>
        </is>
      </c>
      <c r="E157" t="n">
        <v>1</v>
      </c>
      <c r="F157" t="n">
        <v>0.1</v>
      </c>
    </row>
    <row r="158">
      <c r="A158" t="inlineStr">
        <is>
          <t>Streamflow regime</t>
        </is>
      </c>
      <c r="B158" t="inlineStr">
        <is>
          <t>D</t>
        </is>
      </c>
      <c r="C158" t="inlineStr">
        <is>
          <t>i</t>
        </is>
      </c>
      <c r="D158" t="inlineStr">
        <is>
          <t>i</t>
        </is>
      </c>
      <c r="E158" t="n">
        <v>1</v>
      </c>
      <c r="F158" t="n">
        <v>0.1</v>
      </c>
    </row>
    <row r="159">
      <c r="A159" t="inlineStr">
        <is>
          <t>Low flow and baseflow dynamics</t>
        </is>
      </c>
      <c r="B159" t="inlineStr">
        <is>
          <t>D</t>
        </is>
      </c>
      <c r="C159" t="inlineStr">
        <is>
          <t>i</t>
        </is>
      </c>
      <c r="D159" t="inlineStr">
        <is>
          <t>i</t>
        </is>
      </c>
      <c r="E159" t="n">
        <v>1</v>
      </c>
      <c r="F159" t="n">
        <v>0.1</v>
      </c>
    </row>
    <row r="160">
      <c r="A160" t="inlineStr">
        <is>
          <t>High flow dynamics</t>
        </is>
      </c>
      <c r="B160" t="inlineStr">
        <is>
          <t>D</t>
        </is>
      </c>
      <c r="C160" t="inlineStr">
        <is>
          <t>i</t>
        </is>
      </c>
      <c r="D160" t="inlineStr">
        <is>
          <t>i</t>
        </is>
      </c>
      <c r="E160" t="n">
        <v>1</v>
      </c>
      <c r="F160" t="n">
        <v>0.1</v>
      </c>
    </row>
    <row r="161">
      <c r="A161" t="inlineStr">
        <is>
          <t>Floodplain connectivity</t>
        </is>
      </c>
      <c r="B161" t="inlineStr">
        <is>
          <t>D</t>
        </is>
      </c>
      <c r="C161" t="inlineStr">
        <is>
          <t>i</t>
        </is>
      </c>
      <c r="D161" t="inlineStr">
        <is>
          <t>i</t>
        </is>
      </c>
      <c r="E161" t="n">
        <v>1</v>
      </c>
      <c r="F161" t="n">
        <v>0.1</v>
      </c>
    </row>
    <row r="162">
      <c r="A162" t="inlineStr">
        <is>
          <t>Hyporheic connectivity</t>
        </is>
      </c>
      <c r="B162" t="inlineStr">
        <is>
          <t>D</t>
        </is>
      </c>
      <c r="C162" t="inlineStr">
        <is>
          <t>i</t>
        </is>
      </c>
      <c r="D162" t="inlineStr">
        <is>
          <t>i</t>
        </is>
      </c>
      <c r="E162" t="n">
        <v>1</v>
      </c>
      <c r="F162" t="n">
        <v>0.1</v>
      </c>
    </row>
    <row r="163">
      <c r="A163" t="inlineStr">
        <is>
          <t>Channel evolution</t>
        </is>
      </c>
      <c r="B163" t="inlineStr">
        <is>
          <t>D</t>
        </is>
      </c>
      <c r="C163" t="inlineStr">
        <is>
          <t>i</t>
        </is>
      </c>
      <c r="D163" t="inlineStr">
        <is>
          <t>i</t>
        </is>
      </c>
      <c r="E163" t="n">
        <v>1</v>
      </c>
      <c r="F163" t="n">
        <v>0.1</v>
      </c>
    </row>
    <row r="164">
      <c r="A164" t="inlineStr">
        <is>
          <t>Channel and floodplain dynamics</t>
        </is>
      </c>
      <c r="B164" t="inlineStr">
        <is>
          <t>D</t>
        </is>
      </c>
      <c r="C164" t="inlineStr">
        <is>
          <t>i</t>
        </is>
      </c>
      <c r="D164" t="inlineStr">
        <is>
          <t>i</t>
        </is>
      </c>
      <c r="E164" t="n">
        <v>1</v>
      </c>
      <c r="F164" t="n">
        <v>0.1</v>
      </c>
    </row>
    <row r="165">
      <c r="A165" t="inlineStr">
        <is>
          <t>Sediment continuity</t>
        </is>
      </c>
      <c r="B165" t="inlineStr">
        <is>
          <t>D</t>
        </is>
      </c>
      <c r="C165" t="inlineStr">
        <is>
          <t>i</t>
        </is>
      </c>
      <c r="D165" t="inlineStr">
        <is>
          <t>i</t>
        </is>
      </c>
      <c r="E165" t="n">
        <v>1</v>
      </c>
      <c r="F165" t="n">
        <v>0.1</v>
      </c>
    </row>
    <row r="166">
      <c r="A166" t="inlineStr">
        <is>
          <t>Bed composition and large wood</t>
        </is>
      </c>
      <c r="B166" t="inlineStr">
        <is>
          <t>D</t>
        </is>
      </c>
      <c r="C166" t="inlineStr">
        <is>
          <t>i</t>
        </is>
      </c>
      <c r="D166" t="inlineStr">
        <is>
          <t>i</t>
        </is>
      </c>
      <c r="E166" t="n">
        <v>1</v>
      </c>
      <c r="F166" t="n">
        <v>0.1</v>
      </c>
    </row>
    <row r="167">
      <c r="A167" t="inlineStr">
        <is>
          <t>Light &amp; thermal regime</t>
        </is>
      </c>
      <c r="B167" t="inlineStr">
        <is>
          <t>-</t>
        </is>
      </c>
      <c r="C167" t="inlineStr">
        <is>
          <t>D</t>
        </is>
      </c>
      <c r="D167" t="inlineStr">
        <is>
          <t>i</t>
        </is>
      </c>
      <c r="E167" t="n">
        <v>1</v>
      </c>
      <c r="F167" t="n">
        <v>0.1</v>
      </c>
    </row>
    <row r="168">
      <c r="A168" t="inlineStr">
        <is>
          <t>Carbon processing</t>
        </is>
      </c>
      <c r="B168" t="inlineStr">
        <is>
          <t>-</t>
        </is>
      </c>
      <c r="C168" t="inlineStr">
        <is>
          <t>D</t>
        </is>
      </c>
      <c r="D168" t="inlineStr">
        <is>
          <t>i</t>
        </is>
      </c>
      <c r="E168" t="n">
        <v>1</v>
      </c>
      <c r="F168" t="n">
        <v>0.1</v>
      </c>
    </row>
    <row r="169">
      <c r="A169" t="inlineStr">
        <is>
          <t>Nutrient cycling</t>
        </is>
      </c>
      <c r="B169" t="inlineStr">
        <is>
          <t>i</t>
        </is>
      </c>
      <c r="C169" t="inlineStr">
        <is>
          <t>D</t>
        </is>
      </c>
      <c r="D169" t="inlineStr">
        <is>
          <t>i</t>
        </is>
      </c>
      <c r="E169" t="n">
        <v>1</v>
      </c>
      <c r="F169" t="n">
        <v>0.1</v>
      </c>
    </row>
    <row r="170">
      <c r="A170" t="inlineStr">
        <is>
          <t>Water &amp; soil quality</t>
        </is>
      </c>
      <c r="B170" t="inlineStr">
        <is>
          <t>i</t>
        </is>
      </c>
      <c r="C170" t="inlineStr">
        <is>
          <t>D</t>
        </is>
      </c>
      <c r="D170" t="inlineStr">
        <is>
          <t>i</t>
        </is>
      </c>
      <c r="E170" t="n">
        <v>1</v>
      </c>
      <c r="F170" t="n">
        <v>0.1</v>
      </c>
    </row>
    <row r="171">
      <c r="A171" t="inlineStr">
        <is>
          <t>Habitat provision</t>
        </is>
      </c>
      <c r="B171" t="inlineStr">
        <is>
          <t>-</t>
        </is>
      </c>
      <c r="C171" t="inlineStr">
        <is>
          <t>-</t>
        </is>
      </c>
      <c r="D171" t="inlineStr">
        <is>
          <t>D</t>
        </is>
      </c>
      <c r="E171" t="n">
        <v>1</v>
      </c>
      <c r="F171" t="n">
        <v>0.1</v>
      </c>
    </row>
    <row r="172">
      <c r="A172" t="inlineStr">
        <is>
          <t>Population support</t>
        </is>
      </c>
      <c r="B172" t="inlineStr">
        <is>
          <t>i</t>
        </is>
      </c>
      <c r="C172" t="inlineStr">
        <is>
          <t>i</t>
        </is>
      </c>
      <c r="D172" t="inlineStr">
        <is>
          <t>D</t>
        </is>
      </c>
      <c r="E172" t="n">
        <v>1</v>
      </c>
      <c r="F172" t="n">
        <v>0.1</v>
      </c>
    </row>
    <row r="173">
      <c r="A173" t="inlineStr">
        <is>
          <t>Community dynamics</t>
        </is>
      </c>
      <c r="B173" t="inlineStr">
        <is>
          <t>i</t>
        </is>
      </c>
      <c r="C173" t="inlineStr">
        <is>
          <t>i</t>
        </is>
      </c>
      <c r="D173" t="inlineStr">
        <is>
          <t>D</t>
        </is>
      </c>
      <c r="E173" t="n">
        <v>1</v>
      </c>
      <c r="F173" t="n">
        <v>0.1</v>
      </c>
    </row>
    <row r="174">
      <c r="A174" t="inlineStr">
        <is>
          <t>Watershed connectivity</t>
        </is>
      </c>
      <c r="B174" t="inlineStr">
        <is>
          <t>i</t>
        </is>
      </c>
      <c r="C174" t="inlineStr">
        <is>
          <t>-</t>
        </is>
      </c>
      <c r="D174" t="inlineStr">
        <is>
          <t>D</t>
        </is>
      </c>
      <c r="E174" t="n">
        <v>1</v>
      </c>
      <c r="F174" t="n">
        <v>0.1</v>
      </c>
    </row>
    <row r="176">
      <c r="A176" s="135" t="inlineStr">
        <is>
          <t>Slope classes for the entrenchment curves</t>
        </is>
      </c>
    </row>
    <row r="177">
      <c r="A177" s="136" t="inlineStr">
        <is>
          <t>Class</t>
        </is>
      </c>
      <c r="B177" s="136" t="inlineStr">
        <is>
          <t>Channel slope</t>
        </is>
      </c>
    </row>
    <row r="178">
      <c r="A178" t="inlineStr">
        <is>
          <t>lt_0.5</t>
        </is>
      </c>
      <c r="B178" t="inlineStr">
        <is>
          <t>below 0.005 m/m</t>
        </is>
      </c>
    </row>
    <row r="179">
      <c r="A179" t="inlineStr">
        <is>
          <t>0.5_to_2</t>
        </is>
      </c>
      <c r="B179" t="inlineStr">
        <is>
          <t>0.005 to below 0.02 m/m</t>
        </is>
      </c>
    </row>
    <row r="180">
      <c r="A180" t="inlineStr">
        <is>
          <t>ge_2</t>
        </is>
      </c>
      <c r="B180" t="inlineStr">
        <is>
          <t>0.02 m/m and above</t>
        </is>
      </c>
    </row>
    <row r="181">
      <c r="A181" t="inlineStr">
        <is>
          <t>national</t>
        </is>
      </c>
      <c r="B181" t="inlineStr">
        <is>
          <t>slope unknown or negative</t>
        </is>
      </c>
    </row>
  </sheetData>
  <sheetProtection selectLockedCells="0" selectUnlockedCells="0" sheet="1" objects="0" insertRows="1" insertHyperlinks="1" autoFilter="1" scenarios="0" formatColumns="1" deleteColumns="1" insertColumns="1" pivotTables="1" deleteRows="1" formatCells="1" formatRows="1" sort="1" password="CA09"/>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22"/>
  <sheetViews>
    <sheetView showGridLines="0" tabSelected="0" workbookViewId="0">
      <selection activeCell="A1" sqref="A1"/>
    </sheetView>
  </sheetViews>
  <sheetFormatPr baseColWidth="8" defaultRowHeight="15"/>
  <cols>
    <col width="28" customWidth="1" min="1" max="1"/>
    <col width="110" customWidth="1" min="2" max="2"/>
  </cols>
  <sheetData>
    <row r="1">
      <c r="A1" s="134" t="inlineStr">
        <is>
          <t>Metadata and version information</t>
        </is>
      </c>
    </row>
    <row r="2">
      <c r="A2" s="136" t="inlineStr">
        <is>
          <t>Item</t>
        </is>
      </c>
      <c r="B2" s="136" t="inlineStr">
        <is>
          <t>Value</t>
        </is>
      </c>
    </row>
    <row r="3">
      <c r="A3" s="12" t="inlineStr">
        <is>
          <t>Calculator version</t>
        </is>
      </c>
      <c r="B3" s="12" t="inlineStr">
        <is>
          <t>1.1</t>
        </is>
      </c>
    </row>
    <row r="4">
      <c r="A4" s="12" t="inlineStr">
        <is>
          <t>Calculator date</t>
        </is>
      </c>
      <c r="B4" s="12" t="inlineStr">
        <is>
          <t>2026-09-18</t>
        </is>
      </c>
    </row>
    <row r="5">
      <c r="A5" s="12" t="inlineStr">
        <is>
          <t>Scoring method digest</t>
        </is>
      </c>
      <c r="B5" s="12" t="inlineStr">
        <is>
          <t>e91118cc821c</t>
        </is>
      </c>
    </row>
    <row r="6">
      <c r="A6" s="12" t="inlineStr">
        <is>
          <t>Scoring identity</t>
        </is>
      </c>
      <c r="B6" s="12" t="inlineStr">
        <is>
          <t>alternative-2-e5b (Alternative 2 with corrected cross-section quality checks (E5b))</t>
        </is>
      </c>
    </row>
    <row r="7">
      <c r="A7" s="12" t="inlineStr">
        <is>
          <t>Criteria set</t>
        </is>
      </c>
      <c r="B7" s="12" t="inlineStr">
        <is>
          <t>regional</t>
        </is>
      </c>
    </row>
    <row r="8">
      <c r="A8" s="12" t="inlineStr">
        <is>
          <t>Reference curves</t>
        </is>
      </c>
      <c r="B8" s="12" t="inlineStr">
        <is>
          <t>34 curves</t>
        </is>
      </c>
    </row>
    <row r="9">
      <c r="A9" s="12" t="inlineStr">
        <is>
          <t>Catalog sha256</t>
        </is>
      </c>
      <c r="B9" s="12" t="inlineStr">
        <is>
          <t>e754bf570291e0231d11e127e594a7fa375b3f227ee2f0d6591c45f9faa4ac49</t>
        </is>
      </c>
    </row>
    <row r="10">
      <c r="A10" s="12" t="inlineStr">
        <is>
          <t>Curves sha256</t>
        </is>
      </c>
      <c r="B10" s="12" t="inlineStr">
        <is>
          <t>a824e2c254dea1c22af62d2a6f5fd3d0862ff0574190111655aa5b34dbce4887</t>
        </is>
      </c>
    </row>
    <row r="11">
      <c r="A11" s="12" t="inlineStr">
        <is>
          <t>NARS-9 geography sha256</t>
        </is>
      </c>
      <c r="B11" s="12" t="inlineStr">
        <is>
          <t>f08b5be1ec4149da224f7fc5185c755f0d612d9115c53a172081c67009ab0300</t>
        </is>
      </c>
    </row>
    <row r="12">
      <c r="A12" s="12" t="inlineStr">
        <is>
          <t>Rating anchors</t>
        </is>
      </c>
      <c r="B12" s="12" t="inlineStr">
        <is>
          <t>Good 0.85, Fair 0.545, Poor 0.195</t>
        </is>
      </c>
    </row>
    <row r="13">
      <c r="A13" s="12" t="inlineStr">
        <is>
          <t>Function scores</t>
        </is>
      </c>
      <c r="B13" s="12" t="inlineStr">
        <is>
          <t>Good 13, Fair 8, Poor 3</t>
        </is>
      </c>
    </row>
    <row r="14">
      <c r="A14" s="12" t="inlineStr">
        <is>
          <t>Outcome weights</t>
        </is>
      </c>
      <c r="B14" s="12" t="inlineStr">
        <is>
          <t>direct 1.0, indirect 0.1</t>
        </is>
      </c>
    </row>
    <row r="15">
      <c r="A15" s="12" t="inlineStr">
        <is>
          <t>Condition classes</t>
        </is>
      </c>
      <c r="B15" s="12" t="inlineStr">
        <is>
          <t>index at or below 0.39 Non-Functioning, at or below 0.69 Functioning-at-Risk, else Functioning</t>
        </is>
      </c>
    </row>
    <row r="16">
      <c r="A16" s="12" t="inlineStr">
        <is>
          <t>Coverage threshold</t>
        </is>
      </c>
      <c r="B16" s="12" t="inlineStr">
        <is>
          <t>0.7</t>
        </is>
      </c>
    </row>
    <row r="17">
      <c r="A17" s="12" t="inlineStr">
        <is>
          <t>Worksheet layout</t>
        </is>
      </c>
      <c r="B17" s="12" t="inlineStr">
        <is>
          <t>EASI Score worksheet modelled on the SFARI calculator (entries, summary table, legends and charts on one sheet); Metrics and Results carry the formulas</t>
        </is>
      </c>
    </row>
    <row r="18">
      <c r="A18" s="12" t="inlineStr">
        <is>
          <t>Generator</t>
        </is>
      </c>
      <c r="B18" s="12" t="inlineStr">
        <is>
          <t>apps/easi/scripts/build_calculator.py</t>
        </is>
      </c>
    </row>
    <row r="19">
      <c r="A19" s="12" t="inlineStr">
        <is>
          <t>Generator sha256</t>
        </is>
      </c>
      <c r="B19" s="12" t="inlineStr">
        <is>
          <t>0a64ec17b365f914d5700694bd9e632f0bfe6664456033bb57c70f698d6f3024</t>
        </is>
      </c>
    </row>
    <row r="20">
      <c r="A20" s="12" t="inlineStr">
        <is>
          <t>Generated from</t>
        </is>
      </c>
      <c r="B20" s="12" t="inlineStr">
        <is>
          <t>apps/easi/data/screening-methods.json, reference-curves.json, cwa-mapping.json, easi-metrics.json, scoring-identity.json</t>
        </is>
      </c>
    </row>
    <row r="21">
      <c r="A21" s="12" t="inlineStr">
        <is>
          <t>Application</t>
        </is>
      </c>
      <c r="B21" s="12" t="inlineStr">
        <is>
          <t>EASI (apps/easi), STAF, USACE-WRISES/staf</t>
        </is>
      </c>
    </row>
    <row r="22">
      <c r="A22" s="12" t="inlineStr">
        <is>
          <t>Formula vocabulary</t>
        </is>
      </c>
      <c r="B22" s="12" t="inlineStr">
        <is>
          <t>IF AND OR NOT MIN MAX ROUND INDEX MATCH IFERROR ISNUMBER COUNT SUM SUMPRODUCT AVERAGE STDEV.P PRODUCT UPPER TRIM SUBSTITUTE LEN NA</t>
        </is>
      </c>
    </row>
  </sheetData>
  <sheetProtection selectLockedCells="0" selectUnlockedCells="0" sheet="1" objects="0" insertRows="1" insertHyperlinks="1" autoFilter="1" scenarios="0" formatColumns="1" deleteColumns="1" insertColumns="1" pivotTables="1" deleteRows="1" formatCells="1" formatRows="1" sort="1" password="CA09"/>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27"/>
  <sheetViews>
    <sheetView tabSelected="0" workbookViewId="0">
      <selection activeCell="A1" sqref="A1"/>
    </sheetView>
  </sheetViews>
  <sheetFormatPr baseColWidth="8" defaultRowHeight="15"/>
  <cols>
    <col width="34" customWidth="1" min="1" max="1"/>
  </cols>
  <sheetData>
    <row r="1">
      <c r="A1" s="8" t="inlineStr">
        <is>
          <t>Chart series (hidden). One column per class so each bar takes the class colour.</t>
        </is>
      </c>
    </row>
    <row r="2">
      <c r="A2" s="145" t="inlineStr">
        <is>
          <t>Function</t>
        </is>
      </c>
      <c r="B2" s="145" t="inlineStr">
        <is>
          <t>Score</t>
        </is>
      </c>
      <c r="C2" s="145" t="inlineStr">
        <is>
          <t>Non-Functioning (0-5)</t>
        </is>
      </c>
      <c r="D2" s="145" t="inlineStr">
        <is>
          <t>Functioning At-Risk (6-10)</t>
        </is>
      </c>
      <c r="E2" s="145" t="inlineStr">
        <is>
          <t>Functioning (11-15)</t>
        </is>
      </c>
    </row>
    <row r="3">
      <c r="A3" t="inlineStr">
        <is>
          <t>Catchment hydrology</t>
        </is>
      </c>
      <c r="B3">
        <f>IF('EASI Score'!$H$8="","",'EASI Score'!$H$8)</f>
        <v/>
      </c>
      <c r="C3">
        <f>IF(ISNUMBER('ChartData'!$B$3),IF('ChartData'!$B$3&lt;=5,'ChartData'!$B$3,NA()),NA())</f>
        <v/>
      </c>
      <c r="D3">
        <f>IF(ISNUMBER('ChartData'!$B$3),IF(AND('ChartData'!$B$3&gt;5,'ChartData'!$B$3&lt;=10),'ChartData'!$B$3,NA()),NA())</f>
        <v/>
      </c>
      <c r="E3">
        <f>IF(ISNUMBER('ChartData'!$B$3),IF('ChartData'!$B$3&gt;10,'ChartData'!$B$3,NA()),NA())</f>
        <v/>
      </c>
    </row>
    <row r="4">
      <c r="A4" t="inlineStr">
        <is>
          <t>Surface water storage</t>
        </is>
      </c>
      <c r="B4">
        <f>IF('EASI Score'!$H$11="","",'EASI Score'!$H$11)</f>
        <v/>
      </c>
      <c r="C4">
        <f>IF(ISNUMBER('ChartData'!$B$4),IF('ChartData'!$B$4&lt;=5,'ChartData'!$B$4,NA()),NA())</f>
        <v/>
      </c>
      <c r="D4">
        <f>IF(ISNUMBER('ChartData'!$B$4),IF(AND('ChartData'!$B$4&gt;5,'ChartData'!$B$4&lt;=10),'ChartData'!$B$4,NA()),NA())</f>
        <v/>
      </c>
      <c r="E4">
        <f>IF(ISNUMBER('ChartData'!$B$4),IF('ChartData'!$B$4&gt;10,'ChartData'!$B$4,NA()),NA())</f>
        <v/>
      </c>
    </row>
    <row r="5">
      <c r="A5" t="inlineStr">
        <is>
          <t>Reach inflow</t>
        </is>
      </c>
      <c r="B5">
        <f>IF('EASI Score'!$H$15="","",'EASI Score'!$H$15)</f>
        <v/>
      </c>
      <c r="C5">
        <f>IF(ISNUMBER('ChartData'!$B$5),IF('ChartData'!$B$5&lt;=5,'ChartData'!$B$5,NA()),NA())</f>
        <v/>
      </c>
      <c r="D5">
        <f>IF(ISNUMBER('ChartData'!$B$5),IF(AND('ChartData'!$B$5&gt;5,'ChartData'!$B$5&lt;=10),'ChartData'!$B$5,NA()),NA())</f>
        <v/>
      </c>
      <c r="E5">
        <f>IF(ISNUMBER('ChartData'!$B$5),IF('ChartData'!$B$5&gt;10,'ChartData'!$B$5,NA()),NA())</f>
        <v/>
      </c>
    </row>
    <row r="6">
      <c r="A6" t="inlineStr">
        <is>
          <t>Streamflow regime</t>
        </is>
      </c>
      <c r="B6">
        <f>IF('EASI Score'!$H$17="","",'EASI Score'!$H$17)</f>
        <v/>
      </c>
      <c r="C6">
        <f>IF(ISNUMBER('ChartData'!$B$6),IF('ChartData'!$B$6&lt;=5,'ChartData'!$B$6,NA()),NA())</f>
        <v/>
      </c>
      <c r="D6">
        <f>IF(ISNUMBER('ChartData'!$B$6),IF(AND('ChartData'!$B$6&gt;5,'ChartData'!$B$6&lt;=10),'ChartData'!$B$6,NA()),NA())</f>
        <v/>
      </c>
      <c r="E6">
        <f>IF(ISNUMBER('ChartData'!$B$6),IF('ChartData'!$B$6&gt;10,'ChartData'!$B$6,NA()),NA())</f>
        <v/>
      </c>
    </row>
    <row r="7">
      <c r="A7" t="inlineStr">
        <is>
          <t>Low flow and baseflow dynamics</t>
        </is>
      </c>
      <c r="B7">
        <f>IF('EASI Score'!$H$21="","",'EASI Score'!$H$21)</f>
        <v/>
      </c>
      <c r="C7">
        <f>IF(ISNUMBER('ChartData'!$B$7),IF('ChartData'!$B$7&lt;=5,'ChartData'!$B$7,NA()),NA())</f>
        <v/>
      </c>
      <c r="D7">
        <f>IF(ISNUMBER('ChartData'!$B$7),IF(AND('ChartData'!$B$7&gt;5,'ChartData'!$B$7&lt;=10),'ChartData'!$B$7,NA()),NA())</f>
        <v/>
      </c>
      <c r="E7">
        <f>IF(ISNUMBER('ChartData'!$B$7),IF('ChartData'!$B$7&gt;10,'ChartData'!$B$7,NA()),NA())</f>
        <v/>
      </c>
    </row>
    <row r="8">
      <c r="A8" t="inlineStr">
        <is>
          <t>High flow dynamics</t>
        </is>
      </c>
      <c r="B8">
        <f>IF('EASI Score'!$H$23="","",'EASI Score'!$H$23)</f>
        <v/>
      </c>
      <c r="C8">
        <f>IF(ISNUMBER('ChartData'!$B$8),IF('ChartData'!$B$8&lt;=5,'ChartData'!$B$8,NA()),NA())</f>
        <v/>
      </c>
      <c r="D8">
        <f>IF(ISNUMBER('ChartData'!$B$8),IF(AND('ChartData'!$B$8&gt;5,'ChartData'!$B$8&lt;=10),'ChartData'!$B$8,NA()),NA())</f>
        <v/>
      </c>
      <c r="E8">
        <f>IF(ISNUMBER('ChartData'!$B$8),IF('ChartData'!$B$8&gt;10,'ChartData'!$B$8,NA()),NA())</f>
        <v/>
      </c>
    </row>
    <row r="9">
      <c r="A9" t="inlineStr">
        <is>
          <t>Floodplain connectivity</t>
        </is>
      </c>
      <c r="B9">
        <f>IF('EASI Score'!$H$25="","",'EASI Score'!$H$25)</f>
        <v/>
      </c>
      <c r="C9">
        <f>IF(ISNUMBER('ChartData'!$B$9),IF('ChartData'!$B$9&lt;=5,'ChartData'!$B$9,NA()),NA())</f>
        <v/>
      </c>
      <c r="D9">
        <f>IF(ISNUMBER('ChartData'!$B$9),IF(AND('ChartData'!$B$9&gt;5,'ChartData'!$B$9&lt;=10),'ChartData'!$B$9,NA()),NA())</f>
        <v/>
      </c>
      <c r="E9">
        <f>IF(ISNUMBER('ChartData'!$B$9),IF('ChartData'!$B$9&gt;10,'ChartData'!$B$9,NA()),NA())</f>
        <v/>
      </c>
    </row>
    <row r="10">
      <c r="A10" t="inlineStr">
        <is>
          <t>Hyporheic connectivity</t>
        </is>
      </c>
      <c r="B10">
        <f>IF('EASI Score'!$H$28="","",'EASI Score'!$H$28)</f>
        <v/>
      </c>
      <c r="C10">
        <f>IF(ISNUMBER('ChartData'!$B$10),IF('ChartData'!$B$10&lt;=5,'ChartData'!$B$10,NA()),NA())</f>
        <v/>
      </c>
      <c r="D10">
        <f>IF(ISNUMBER('ChartData'!$B$10),IF(AND('ChartData'!$B$10&gt;5,'ChartData'!$B$10&lt;=10),'ChartData'!$B$10,NA()),NA())</f>
        <v/>
      </c>
      <c r="E10">
        <f>IF(ISNUMBER('ChartData'!$B$10),IF('ChartData'!$B$10&gt;10,'ChartData'!$B$10,NA()),NA())</f>
        <v/>
      </c>
    </row>
    <row r="11">
      <c r="A11" t="inlineStr">
        <is>
          <t>Channel evolution</t>
        </is>
      </c>
      <c r="B11">
        <f>IF('EASI Score'!$H$31="","",'EASI Score'!$H$31)</f>
        <v/>
      </c>
      <c r="C11">
        <f>IF(ISNUMBER('ChartData'!$B$11),IF('ChartData'!$B$11&lt;=5,'ChartData'!$B$11,NA()),NA())</f>
        <v/>
      </c>
      <c r="D11">
        <f>IF(ISNUMBER('ChartData'!$B$11),IF(AND('ChartData'!$B$11&gt;5,'ChartData'!$B$11&lt;=10),'ChartData'!$B$11,NA()),NA())</f>
        <v/>
      </c>
      <c r="E11">
        <f>IF(ISNUMBER('ChartData'!$B$11),IF('ChartData'!$B$11&gt;10,'ChartData'!$B$11,NA()),NA())</f>
        <v/>
      </c>
    </row>
    <row r="12">
      <c r="A12" t="inlineStr">
        <is>
          <t>Channel and floodplain dynamics</t>
        </is>
      </c>
      <c r="B12">
        <f>IF('EASI Score'!$H$36="","",'EASI Score'!$H$36)</f>
        <v/>
      </c>
      <c r="C12">
        <f>IF(ISNUMBER('ChartData'!$B$12),IF('ChartData'!$B$12&lt;=5,'ChartData'!$B$12,NA()),NA())</f>
        <v/>
      </c>
      <c r="D12">
        <f>IF(ISNUMBER('ChartData'!$B$12),IF(AND('ChartData'!$B$12&gt;5,'ChartData'!$B$12&lt;=10),'ChartData'!$B$12,NA()),NA())</f>
        <v/>
      </c>
      <c r="E12">
        <f>IF(ISNUMBER('ChartData'!$B$12),IF('ChartData'!$B$12&gt;10,'ChartData'!$B$12,NA()),NA())</f>
        <v/>
      </c>
    </row>
    <row r="13">
      <c r="A13" t="inlineStr">
        <is>
          <t>Sediment continuity</t>
        </is>
      </c>
      <c r="B13">
        <f>IF('EASI Score'!$H$40="","",'EASI Score'!$H$40)</f>
        <v/>
      </c>
      <c r="C13">
        <f>IF(ISNUMBER('ChartData'!$B$13),IF('ChartData'!$B$13&lt;=5,'ChartData'!$B$13,NA()),NA())</f>
        <v/>
      </c>
      <c r="D13">
        <f>IF(ISNUMBER('ChartData'!$B$13),IF(AND('ChartData'!$B$13&gt;5,'ChartData'!$B$13&lt;=10),'ChartData'!$B$13,NA()),NA())</f>
        <v/>
      </c>
      <c r="E13">
        <f>IF(ISNUMBER('ChartData'!$B$13),IF('ChartData'!$B$13&gt;10,'ChartData'!$B$13,NA()),NA())</f>
        <v/>
      </c>
    </row>
    <row r="14">
      <c r="A14" t="inlineStr">
        <is>
          <t>Bed composition and large wood</t>
        </is>
      </c>
      <c r="B14">
        <f>IF('EASI Score'!$H$44="","",'EASI Score'!$H$44)</f>
        <v/>
      </c>
      <c r="C14">
        <f>IF(ISNUMBER('ChartData'!$B$14),IF('ChartData'!$B$14&lt;=5,'ChartData'!$B$14,NA()),NA())</f>
        <v/>
      </c>
      <c r="D14">
        <f>IF(ISNUMBER('ChartData'!$B$14),IF(AND('ChartData'!$B$14&gt;5,'ChartData'!$B$14&lt;=10),'ChartData'!$B$14,NA()),NA())</f>
        <v/>
      </c>
      <c r="E14">
        <f>IF(ISNUMBER('ChartData'!$B$14),IF('ChartData'!$B$14&gt;10,'ChartData'!$B$14,NA()),NA())</f>
        <v/>
      </c>
    </row>
    <row r="15">
      <c r="A15" t="inlineStr">
        <is>
          <t>Light &amp; thermal regime</t>
        </is>
      </c>
      <c r="B15">
        <f>IF('EASI Score'!$H$46="","",'EASI Score'!$H$46)</f>
        <v/>
      </c>
      <c r="C15">
        <f>IF(ISNUMBER('ChartData'!$B$15),IF('ChartData'!$B$15&lt;=5,'ChartData'!$B$15,NA()),NA())</f>
        <v/>
      </c>
      <c r="D15">
        <f>IF(ISNUMBER('ChartData'!$B$15),IF(AND('ChartData'!$B$15&gt;5,'ChartData'!$B$15&lt;=10),'ChartData'!$B$15,NA()),NA())</f>
        <v/>
      </c>
      <c r="E15">
        <f>IF(ISNUMBER('ChartData'!$B$15),IF('ChartData'!$B$15&gt;10,'ChartData'!$B$15,NA()),NA())</f>
        <v/>
      </c>
    </row>
    <row r="16">
      <c r="A16" t="inlineStr">
        <is>
          <t>Carbon processing</t>
        </is>
      </c>
      <c r="B16">
        <f>IF('EASI Score'!$H$49="","",'EASI Score'!$H$49)</f>
        <v/>
      </c>
      <c r="C16">
        <f>IF(ISNUMBER('ChartData'!$B$16),IF('ChartData'!$B$16&lt;=5,'ChartData'!$B$16,NA()),NA())</f>
        <v/>
      </c>
      <c r="D16">
        <f>IF(ISNUMBER('ChartData'!$B$16),IF(AND('ChartData'!$B$16&gt;5,'ChartData'!$B$16&lt;=10),'ChartData'!$B$16,NA()),NA())</f>
        <v/>
      </c>
      <c r="E16">
        <f>IF(ISNUMBER('ChartData'!$B$16),IF('ChartData'!$B$16&gt;10,'ChartData'!$B$16,NA()),NA())</f>
        <v/>
      </c>
    </row>
    <row r="17">
      <c r="A17" t="inlineStr">
        <is>
          <t>Nutrient cycling</t>
        </is>
      </c>
      <c r="B17">
        <f>IF('EASI Score'!$H$55="","",'EASI Score'!$H$55)</f>
        <v/>
      </c>
      <c r="C17">
        <f>IF(ISNUMBER('ChartData'!$B$17),IF('ChartData'!$B$17&lt;=5,'ChartData'!$B$17,NA()),NA())</f>
        <v/>
      </c>
      <c r="D17">
        <f>IF(ISNUMBER('ChartData'!$B$17),IF(AND('ChartData'!$B$17&gt;5,'ChartData'!$B$17&lt;=10),'ChartData'!$B$17,NA()),NA())</f>
        <v/>
      </c>
      <c r="E17">
        <f>IF(ISNUMBER('ChartData'!$B$17),IF('ChartData'!$B$17&gt;10,'ChartData'!$B$17,NA()),NA())</f>
        <v/>
      </c>
    </row>
    <row r="18">
      <c r="A18" t="inlineStr">
        <is>
          <t>Water &amp; soil quality</t>
        </is>
      </c>
      <c r="B18">
        <f>IF('EASI Score'!$H$60="","",'EASI Score'!$H$60)</f>
        <v/>
      </c>
      <c r="C18">
        <f>IF(ISNUMBER('ChartData'!$B$18),IF('ChartData'!$B$18&lt;=5,'ChartData'!$B$18,NA()),NA())</f>
        <v/>
      </c>
      <c r="D18">
        <f>IF(ISNUMBER('ChartData'!$B$18),IF(AND('ChartData'!$B$18&gt;5,'ChartData'!$B$18&lt;=10),'ChartData'!$B$18,NA()),NA())</f>
        <v/>
      </c>
      <c r="E18">
        <f>IF(ISNUMBER('ChartData'!$B$18),IF('ChartData'!$B$18&gt;10,'ChartData'!$B$18,NA()),NA())</f>
        <v/>
      </c>
    </row>
    <row r="19">
      <c r="A19" t="inlineStr">
        <is>
          <t>Habitat provision</t>
        </is>
      </c>
      <c r="B19">
        <f>IF('EASI Score'!$H$64="","",'EASI Score'!$H$64)</f>
        <v/>
      </c>
      <c r="C19">
        <f>IF(ISNUMBER('ChartData'!$B$19),IF('ChartData'!$B$19&lt;=5,'ChartData'!$B$19,NA()),NA())</f>
        <v/>
      </c>
      <c r="D19">
        <f>IF(ISNUMBER('ChartData'!$B$19),IF(AND('ChartData'!$B$19&gt;5,'ChartData'!$B$19&lt;=10),'ChartData'!$B$19,NA()),NA())</f>
        <v/>
      </c>
      <c r="E19">
        <f>IF(ISNUMBER('ChartData'!$B$19),IF('ChartData'!$B$19&gt;10,'ChartData'!$B$19,NA()),NA())</f>
        <v/>
      </c>
    </row>
    <row r="20">
      <c r="A20" t="inlineStr">
        <is>
          <t>Population support</t>
        </is>
      </c>
      <c r="B20">
        <f>IF('EASI Score'!$H$66="","",'EASI Score'!$H$66)</f>
        <v/>
      </c>
      <c r="C20">
        <f>IF(ISNUMBER('ChartData'!$B$20),IF('ChartData'!$B$20&lt;=5,'ChartData'!$B$20,NA()),NA())</f>
        <v/>
      </c>
      <c r="D20">
        <f>IF(ISNUMBER('ChartData'!$B$20),IF(AND('ChartData'!$B$20&gt;5,'ChartData'!$B$20&lt;=10),'ChartData'!$B$20,NA()),NA())</f>
        <v/>
      </c>
      <c r="E20">
        <f>IF(ISNUMBER('ChartData'!$B$20),IF('ChartData'!$B$20&gt;10,'ChartData'!$B$20,NA()),NA())</f>
        <v/>
      </c>
    </row>
    <row r="21">
      <c r="A21" t="inlineStr">
        <is>
          <t>Community dynamics</t>
        </is>
      </c>
      <c r="B21">
        <f>IF('EASI Score'!$H$82="","",'EASI Score'!$H$82)</f>
        <v/>
      </c>
      <c r="C21">
        <f>IF(ISNUMBER('ChartData'!$B$21),IF('ChartData'!$B$21&lt;=5,'ChartData'!$B$21,NA()),NA())</f>
        <v/>
      </c>
      <c r="D21">
        <f>IF(ISNUMBER('ChartData'!$B$21),IF(AND('ChartData'!$B$21&gt;5,'ChartData'!$B$21&lt;=10),'ChartData'!$B$21,NA()),NA())</f>
        <v/>
      </c>
      <c r="E21">
        <f>IF(ISNUMBER('ChartData'!$B$21),IF('ChartData'!$B$21&gt;10,'ChartData'!$B$21,NA()),NA())</f>
        <v/>
      </c>
    </row>
    <row r="22">
      <c r="A22" t="inlineStr">
        <is>
          <t>Watershed connectivity</t>
        </is>
      </c>
      <c r="B22">
        <f>IF('EASI Score'!$H$84="","",'EASI Score'!$H$84)</f>
        <v/>
      </c>
      <c r="C22">
        <f>IF(ISNUMBER('ChartData'!$B$22),IF('ChartData'!$B$22&lt;=5,'ChartData'!$B$22,NA()),NA())</f>
        <v/>
      </c>
      <c r="D22">
        <f>IF(ISNUMBER('ChartData'!$B$22),IF(AND('ChartData'!$B$22&gt;5,'ChartData'!$B$22&lt;=10),'ChartData'!$B$22,NA()),NA())</f>
        <v/>
      </c>
      <c r="E22">
        <f>IF(ISNUMBER('ChartData'!$B$22),IF('ChartData'!$B$22&gt;10,'ChartData'!$B$22,NA()),NA())</f>
        <v/>
      </c>
    </row>
    <row r="24">
      <c r="A24" s="145" t="inlineStr">
        <is>
          <t>Outcome</t>
        </is>
      </c>
      <c r="B24" s="145" t="inlineStr">
        <is>
          <t>Score</t>
        </is>
      </c>
      <c r="C24" s="145" t="inlineStr">
        <is>
          <t>Non-Functioning (0.00-0.39)</t>
        </is>
      </c>
      <c r="D24" s="145" t="inlineStr">
        <is>
          <t>Functioning At-Risk (0.40-0.69)</t>
        </is>
      </c>
      <c r="E24" s="145" t="inlineStr">
        <is>
          <t>Functioning (0.70-1.00)</t>
        </is>
      </c>
    </row>
    <row r="25">
      <c r="A25" t="inlineStr">
        <is>
          <t>Physical</t>
        </is>
      </c>
      <c r="B25">
        <f>IF('Results'!$E$27="","",'Results'!$E$27)</f>
        <v/>
      </c>
      <c r="C25">
        <f>IF(ISNUMBER('ChartData'!$B$25),IF('ChartData'!$B$25&lt;=0.39,'ChartData'!$B$25,NA()),NA())</f>
        <v/>
      </c>
      <c r="D25">
        <f>IF(ISNUMBER('ChartData'!$B$25),IF(AND('ChartData'!$B$25&gt;0.39,'ChartData'!$B$25&lt;=0.69),'ChartData'!$B$25,NA()),NA())</f>
        <v/>
      </c>
      <c r="E25">
        <f>IF(ISNUMBER('ChartData'!$B$25),IF('ChartData'!$B$25&gt;0.69,'ChartData'!$B$25,NA()),NA())</f>
        <v/>
      </c>
    </row>
    <row r="26">
      <c r="A26" t="inlineStr">
        <is>
          <t>Chemical</t>
        </is>
      </c>
      <c r="B26">
        <f>IF('Results'!$E$28="","",'Results'!$E$28)</f>
        <v/>
      </c>
      <c r="C26">
        <f>IF(ISNUMBER('ChartData'!$B$26),IF('ChartData'!$B$26&lt;=0.39,'ChartData'!$B$26,NA()),NA())</f>
        <v/>
      </c>
      <c r="D26">
        <f>IF(ISNUMBER('ChartData'!$B$26),IF(AND('ChartData'!$B$26&gt;0.39,'ChartData'!$B$26&lt;=0.69),'ChartData'!$B$26,NA()),NA())</f>
        <v/>
      </c>
      <c r="E26">
        <f>IF(ISNUMBER('ChartData'!$B$26),IF('ChartData'!$B$26&gt;0.69,'ChartData'!$B$26,NA()),NA())</f>
        <v/>
      </c>
    </row>
    <row r="27">
      <c r="A27" t="inlineStr">
        <is>
          <t>Biological</t>
        </is>
      </c>
      <c r="B27">
        <f>IF('Results'!$E$29="","",'Results'!$E$29)</f>
        <v/>
      </c>
      <c r="C27">
        <f>IF(ISNUMBER('ChartData'!$B$27),IF('ChartData'!$B$27&lt;=0.39,'ChartData'!$B$27,NA()),NA())</f>
        <v/>
      </c>
      <c r="D27">
        <f>IF(ISNUMBER('ChartData'!$B$27),IF(AND('ChartData'!$B$27&gt;0.39,'ChartData'!$B$27&lt;=0.69),'ChartData'!$B$27,NA()),NA())</f>
        <v/>
      </c>
      <c r="E27">
        <f>IF(ISNUMBER('ChartData'!$B$27),IF('ChartData'!$B$27&gt;0.69,'ChartData'!$B$27,NA()),NA())</f>
        <v/>
      </c>
    </row>
  </sheetData>
  <sheetProtection selectLockedCells="0" selectUnlockedCells="0" sheet="1" objects="0" insertRows="1" insertHyperlinks="1" autoFilter="1" scenarios="0" formatColumns="1" deleteColumns="1" insertColumns="1" pivotTables="1" deleteRows="1" formatCells="1" formatRows="1" sort="1" password="CA0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EASI</dc:creator>
  <dc:title xmlns:dc="http://purl.org/dc/elements/1.1/">EASI calculator</dc:title>
  <dcterms:created xmlns:dcterms="http://purl.org/dc/terms/" xmlns:xsi="http://www.w3.org/2001/XMLSchema-instance" xsi:type="dcterms:W3CDTF">2026-09-18T00:00:00Z</dcterms:created>
  <dcterms:modified xmlns:dcterms="http://purl.org/dc/terms/" xmlns:xsi="http://www.w3.org/2001/XMLSchema-instance" xsi:type="dcterms:W3CDTF">2026-09-18T00:00:00Z</dcterms:modified>
  <cp:lastModifiedBy>EASI</cp:lastModifiedBy>
</cp:coreProperties>
</file>