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330"/>
  <workbookPr defaultThemeVersion="166925"/>
  <mc:AlternateContent xmlns:mc="http://schemas.openxmlformats.org/markup-compatibility/2006">
    <mc:Choice Requires="x15">
      <x15ac:absPath xmlns:x15ac="http://schemas.microsoft.com/office/spreadsheetml/2010/11/ac" url="C:\DrexelStuff\DEP_DrainageTool\FinalSpreadsheetFiles\"/>
    </mc:Choice>
  </mc:AlternateContent>
  <xr:revisionPtr revIDLastSave="0" documentId="13_ncr:1_{EE75EA7E-E2C7-4744-B3EE-63930CBA6308}" xr6:coauthVersionLast="47" xr6:coauthVersionMax="47" xr10:uidLastSave="{00000000-0000-0000-0000-000000000000}"/>
  <workbookProtection workbookAlgorithmName="SHA-512" workbookHashValue="nlJVvDhQr2KJNN+pYlqoyRxISWUO6zXGuqMUXBsmG0mKcYIR9Hl47Wp0NXmOKjRbJZG0xWVk4vplWMVMud5dLg==" workbookSaltValue="VIvXsiZcP20QcOXMZRhLsw==" workbookSpinCount="100000" lockStructure="1"/>
  <bookViews>
    <workbookView xWindow="540" yWindow="345" windowWidth="19920" windowHeight="10950" xr2:uid="{00000000-000D-0000-FFFF-FFFF00000000}"/>
  </bookViews>
  <sheets>
    <sheet name="Overview" sheetId="14" r:id="rId1"/>
    <sheet name="TechDocs" sheetId="3" r:id="rId2"/>
    <sheet name="MMW Output" sheetId="4" r:id="rId3"/>
    <sheet name="Landcover Loading Rates" sheetId="1" r:id="rId4"/>
    <sheet name="Farm Animal Loading rates" sheetId="5" r:id="rId5"/>
    <sheet name="Stream Bank Loading Rates" sheetId="6" r:id="rId6"/>
    <sheet name="Urban BMPs" sheetId="11" r:id="rId7"/>
    <sheet name="Agricultural BMPs" sheetId="12" r:id="rId8"/>
    <sheet name="Floodplain Restoration" sheetId="15" r:id="rId9"/>
    <sheet name="Total Load Reductions" sheetId="13" r:id="rId10"/>
  </sheets>
  <definedNames>
    <definedName name="_xlnm._FilterDatabase" localSheetId="6" hidden="1">'Urban BMPs'!$A$10:$AD$10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N12" i="15" l="1"/>
  <c r="F10" i="15"/>
  <c r="F11" i="15"/>
  <c r="F12" i="15"/>
  <c r="F13" i="15"/>
  <c r="F14" i="15"/>
  <c r="F15" i="15"/>
  <c r="F16" i="15"/>
  <c r="F17" i="15"/>
  <c r="F18" i="15"/>
  <c r="F19" i="15"/>
  <c r="F20" i="15"/>
  <c r="F21" i="15"/>
  <c r="F22" i="15"/>
  <c r="F23" i="15"/>
  <c r="F24" i="15"/>
  <c r="F25" i="15"/>
  <c r="F26" i="15"/>
  <c r="F27" i="15"/>
  <c r="F28" i="15"/>
  <c r="F29" i="15"/>
  <c r="F30" i="15"/>
  <c r="E10" i="15"/>
  <c r="E11" i="15"/>
  <c r="E12" i="15"/>
  <c r="E13" i="15"/>
  <c r="E14" i="15"/>
  <c r="E15" i="15"/>
  <c r="E16" i="15"/>
  <c r="E17" i="15"/>
  <c r="E18" i="15"/>
  <c r="E19" i="15"/>
  <c r="E20" i="15"/>
  <c r="E21" i="15"/>
  <c r="E22" i="15"/>
  <c r="E23" i="15"/>
  <c r="E24" i="15"/>
  <c r="E25" i="15"/>
  <c r="E26" i="15"/>
  <c r="E27" i="15"/>
  <c r="E28" i="15"/>
  <c r="E29" i="15"/>
  <c r="E30" i="15"/>
  <c r="E9" i="15"/>
  <c r="F9" i="15"/>
  <c r="D10" i="15"/>
  <c r="D11" i="15"/>
  <c r="D12" i="15"/>
  <c r="D13" i="15"/>
  <c r="D14" i="15"/>
  <c r="D15" i="15"/>
  <c r="D16" i="15"/>
  <c r="D17" i="15"/>
  <c r="D18" i="15"/>
  <c r="D19" i="15"/>
  <c r="D20" i="15"/>
  <c r="D21" i="15"/>
  <c r="D22" i="15"/>
  <c r="D23" i="15"/>
  <c r="D24" i="15"/>
  <c r="D25" i="15"/>
  <c r="D26" i="15"/>
  <c r="D27" i="15"/>
  <c r="D28" i="15"/>
  <c r="D29" i="15"/>
  <c r="D30" i="15"/>
  <c r="D9" i="15"/>
  <c r="C4" i="12"/>
  <c r="C10" i="15"/>
  <c r="C11" i="15"/>
  <c r="C12" i="15"/>
  <c r="C13" i="15"/>
  <c r="C14" i="15"/>
  <c r="C15" i="15"/>
  <c r="C16" i="15"/>
  <c r="C17" i="15"/>
  <c r="C18" i="15"/>
  <c r="C19" i="15"/>
  <c r="C20" i="15"/>
  <c r="C21" i="15"/>
  <c r="C22" i="15"/>
  <c r="C23" i="15"/>
  <c r="C24" i="15"/>
  <c r="C25" i="15"/>
  <c r="C26" i="15"/>
  <c r="C27" i="15"/>
  <c r="C28" i="15"/>
  <c r="C29" i="15"/>
  <c r="C30" i="15"/>
  <c r="C9" i="15"/>
  <c r="S29" i="11"/>
  <c r="S30" i="11"/>
  <c r="S31" i="11"/>
  <c r="R30" i="11"/>
  <c r="R31" i="11"/>
  <c r="R29" i="11"/>
  <c r="P12" i="15"/>
  <c r="O12" i="15"/>
  <c r="L12" i="15"/>
  <c r="K12" i="15"/>
  <c r="J12" i="15" l="1"/>
  <c r="J63" i="12"/>
  <c r="I158" i="12"/>
  <c r="W11" i="11" l="1"/>
  <c r="W12" i="11"/>
  <c r="W13" i="11"/>
  <c r="W14" i="11"/>
  <c r="W15" i="11"/>
  <c r="W16" i="11"/>
  <c r="W17" i="11"/>
  <c r="W18" i="11"/>
  <c r="W21" i="11"/>
  <c r="W22" i="11"/>
  <c r="W23" i="11"/>
  <c r="V11" i="11"/>
  <c r="V12" i="11"/>
  <c r="V13" i="11"/>
  <c r="V14" i="11"/>
  <c r="V15" i="11"/>
  <c r="V16" i="11"/>
  <c r="V17" i="11"/>
  <c r="V18" i="11"/>
  <c r="V21" i="11"/>
  <c r="V22" i="11"/>
  <c r="V23" i="11"/>
  <c r="U11" i="11"/>
  <c r="U12" i="11"/>
  <c r="U13" i="11"/>
  <c r="U14" i="11"/>
  <c r="U15" i="11"/>
  <c r="U16" i="11"/>
  <c r="U17" i="11"/>
  <c r="U18" i="11"/>
  <c r="U21" i="11"/>
  <c r="U22" i="11"/>
  <c r="U23" i="11"/>
  <c r="P11" i="11"/>
  <c r="P13" i="11"/>
  <c r="P14" i="11"/>
  <c r="P15" i="11"/>
  <c r="Z12" i="11"/>
  <c r="Z16" i="11"/>
  <c r="AD16" i="11" s="1"/>
  <c r="Z17" i="11"/>
  <c r="AD17" i="11" s="1"/>
  <c r="Z18" i="11"/>
  <c r="AD18" i="11" s="1"/>
  <c r="Z19" i="11"/>
  <c r="Z20" i="11"/>
  <c r="Z21" i="11"/>
  <c r="AD21" i="11" s="1"/>
  <c r="Z22" i="11"/>
  <c r="AD22" i="11" s="1"/>
  <c r="Z23" i="11"/>
  <c r="AD23" i="11" s="1"/>
  <c r="Y12" i="11"/>
  <c r="Y16" i="11"/>
  <c r="AC16" i="11" s="1"/>
  <c r="Y17" i="11"/>
  <c r="AC17" i="11" s="1"/>
  <c r="Y18" i="11"/>
  <c r="Y19" i="11"/>
  <c r="Y20" i="11"/>
  <c r="Y21" i="11"/>
  <c r="AC21" i="11" s="1"/>
  <c r="Y22" i="11"/>
  <c r="AC22" i="11" s="1"/>
  <c r="Y23" i="11"/>
  <c r="AC23" i="11" s="1"/>
  <c r="X12" i="11"/>
  <c r="X16" i="11"/>
  <c r="AA16" i="11" s="1"/>
  <c r="X17" i="11"/>
  <c r="X18" i="11"/>
  <c r="AA18" i="11" s="1"/>
  <c r="X19" i="11"/>
  <c r="X20" i="11"/>
  <c r="X21" i="11"/>
  <c r="AA21" i="11" s="1"/>
  <c r="X22" i="11"/>
  <c r="AA22" i="11" s="1"/>
  <c r="X23" i="11"/>
  <c r="AA23" i="11" s="1"/>
  <c r="AC18" i="11" l="1"/>
  <c r="AA17" i="11"/>
  <c r="AA12" i="11"/>
  <c r="AC12" i="11"/>
  <c r="AD12" i="11"/>
  <c r="AB17" i="11"/>
  <c r="AB23" i="11"/>
  <c r="S15" i="11"/>
  <c r="N13" i="11"/>
  <c r="T11" i="11"/>
  <c r="N11" i="11" s="1"/>
  <c r="T12" i="11"/>
  <c r="N12" i="11" s="1"/>
  <c r="T13" i="11"/>
  <c r="T14" i="11"/>
  <c r="N14" i="11" s="1"/>
  <c r="T15" i="11"/>
  <c r="N15" i="11" s="1"/>
  <c r="T16" i="11"/>
  <c r="N16" i="11" s="1"/>
  <c r="T17" i="11"/>
  <c r="N17" i="11" s="1"/>
  <c r="T18" i="11"/>
  <c r="N18" i="11" s="1"/>
  <c r="T19" i="11"/>
  <c r="T20" i="11"/>
  <c r="N20" i="11" s="1"/>
  <c r="T21" i="11"/>
  <c r="N21" i="11" s="1"/>
  <c r="T22" i="11"/>
  <c r="N22" i="11" s="1"/>
  <c r="T23" i="11"/>
  <c r="N23" i="11" s="1"/>
  <c r="G39" i="11"/>
  <c r="G38" i="11"/>
  <c r="G37" i="11"/>
  <c r="F39" i="11"/>
  <c r="F38" i="11"/>
  <c r="F37" i="11"/>
  <c r="C45" i="12"/>
  <c r="L56" i="12" s="1"/>
  <c r="C44" i="12"/>
  <c r="K56" i="12" s="1"/>
  <c r="C43" i="12"/>
  <c r="J56" i="12" s="1"/>
  <c r="N19" i="11" l="1"/>
  <c r="V19" i="11"/>
  <c r="AC19" i="11" s="1"/>
  <c r="U19" i="11"/>
  <c r="AA19" i="11" s="1"/>
  <c r="W19" i="11"/>
  <c r="AD19" i="11" s="1"/>
  <c r="X15" i="11"/>
  <c r="AA15" i="11" s="1"/>
  <c r="Y15" i="11"/>
  <c r="AC15" i="11" s="1"/>
  <c r="Z15" i="11"/>
  <c r="AD15" i="11" s="1"/>
  <c r="AB18" i="11"/>
  <c r="AB19" i="11"/>
  <c r="AB16" i="11"/>
  <c r="AB12" i="11"/>
  <c r="AB22" i="11"/>
  <c r="AB21" i="11"/>
  <c r="F30" i="4" l="1"/>
  <c r="E30" i="4"/>
  <c r="D30" i="4"/>
  <c r="N18" i="15"/>
  <c r="P13" i="15"/>
  <c r="O13" i="15"/>
  <c r="J18" i="15"/>
  <c r="J13" i="15"/>
  <c r="C39" i="15"/>
  <c r="L13" i="15" s="1"/>
  <c r="C38" i="15"/>
  <c r="K13" i="15" s="1"/>
  <c r="C37" i="15"/>
  <c r="N13" i="15" s="1"/>
  <c r="J10" i="15"/>
  <c r="N10" i="15" s="1"/>
  <c r="F32" i="15" l="1"/>
  <c r="D32" i="15"/>
  <c r="E32" i="15"/>
  <c r="C32" i="15" l="1"/>
  <c r="D33" i="15" s="1"/>
  <c r="C35" i="3"/>
  <c r="C36" i="3" s="1"/>
  <c r="D35" i="3"/>
  <c r="D36" i="3" s="1"/>
  <c r="E35" i="3"/>
  <c r="E36" i="3" s="1"/>
  <c r="J19" i="15" l="1"/>
  <c r="J21" i="15" s="1"/>
  <c r="J23" i="15" s="1"/>
  <c r="F14" i="13" s="1"/>
  <c r="N19" i="15"/>
  <c r="N21" i="15" s="1"/>
  <c r="N23" i="15" s="1"/>
  <c r="F16" i="13" s="1"/>
  <c r="F33" i="15"/>
  <c r="E33" i="15"/>
  <c r="B43" i="12"/>
  <c r="C31" i="3"/>
  <c r="D31" i="3"/>
  <c r="E31" i="3"/>
  <c r="P19" i="15" l="1"/>
  <c r="P21" i="15" s="1"/>
  <c r="P23" i="15" s="1"/>
  <c r="H16" i="13" s="1"/>
  <c r="L19" i="15"/>
  <c r="L21" i="15" s="1"/>
  <c r="L23" i="15" s="1"/>
  <c r="H14" i="13" s="1"/>
  <c r="O19" i="15"/>
  <c r="O21" i="15" s="1"/>
  <c r="O23" i="15" s="1"/>
  <c r="G16" i="13" s="1"/>
  <c r="K19" i="15"/>
  <c r="K21" i="15" s="1"/>
  <c r="K23" i="15" s="1"/>
  <c r="G14" i="13" s="1"/>
  <c r="G11" i="11"/>
  <c r="G12" i="11"/>
  <c r="O12" i="11" s="1"/>
  <c r="P12" i="11" s="1"/>
  <c r="G13" i="11"/>
  <c r="G14" i="11"/>
  <c r="G15" i="11"/>
  <c r="G16" i="11"/>
  <c r="G17" i="11"/>
  <c r="G18" i="11"/>
  <c r="G19" i="11"/>
  <c r="G20" i="11"/>
  <c r="G21" i="11"/>
  <c r="G22" i="11"/>
  <c r="G23" i="11"/>
  <c r="W20" i="11" l="1"/>
  <c r="AD20" i="11" s="1"/>
  <c r="V20" i="11"/>
  <c r="AC20" i="11" s="1"/>
  <c r="U20" i="11"/>
  <c r="AA20" i="11" s="1"/>
  <c r="AB20" i="11" s="1"/>
  <c r="Q126" i="12"/>
  <c r="P126" i="12"/>
  <c r="L126" i="12"/>
  <c r="K126" i="12"/>
  <c r="O71" i="12" l="1"/>
  <c r="L71" i="12"/>
  <c r="K63" i="12"/>
  <c r="Q63" i="12"/>
  <c r="Q56" i="12"/>
  <c r="P56" i="12"/>
  <c r="O56" i="12"/>
  <c r="O38" i="12"/>
  <c r="L38" i="12"/>
  <c r="J71" i="12" l="1"/>
  <c r="P71" i="12"/>
  <c r="K71" i="12"/>
  <c r="Q71" i="12"/>
  <c r="L63" i="12"/>
  <c r="O63" i="12"/>
  <c r="P63" i="12"/>
  <c r="J38" i="12"/>
  <c r="P38" i="12"/>
  <c r="K38" i="12"/>
  <c r="Q38" i="12"/>
  <c r="I174" i="12" l="1"/>
  <c r="B2" i="4"/>
  <c r="Q137" i="12" l="1"/>
  <c r="P137" i="12"/>
  <c r="O137" i="12"/>
  <c r="L137" i="12"/>
  <c r="K137" i="12"/>
  <c r="J137" i="12"/>
  <c r="I162" i="12" l="1"/>
  <c r="N28" i="4" l="1"/>
  <c r="O28" i="4" s="1"/>
  <c r="N29" i="4"/>
  <c r="O29" i="4" s="1"/>
  <c r="N30" i="4"/>
  <c r="O30" i="4" s="1"/>
  <c r="N31" i="4"/>
  <c r="O31" i="4" s="1"/>
  <c r="N32" i="4"/>
  <c r="O32" i="4" s="1"/>
  <c r="N33" i="4"/>
  <c r="O33" i="4" s="1"/>
  <c r="N34" i="4"/>
  <c r="O34" i="4" s="1"/>
  <c r="N27" i="4"/>
  <c r="O27" i="4" s="1"/>
  <c r="S27" i="4" l="1"/>
  <c r="R27" i="4"/>
  <c r="R31" i="4"/>
  <c r="S31" i="4"/>
  <c r="S34" i="4"/>
  <c r="R34" i="4"/>
  <c r="R30" i="4"/>
  <c r="S30" i="4"/>
  <c r="R33" i="4"/>
  <c r="S33" i="4"/>
  <c r="R29" i="4"/>
  <c r="R38" i="4" s="1"/>
  <c r="S29" i="4"/>
  <c r="R32" i="4"/>
  <c r="S32" i="4"/>
  <c r="R28" i="4"/>
  <c r="S28" i="4"/>
  <c r="S38" i="4" l="1"/>
  <c r="S40" i="4" s="1"/>
  <c r="R36" i="4"/>
  <c r="R40" i="4" s="1"/>
  <c r="R37" i="4"/>
  <c r="R39" i="4" s="1"/>
  <c r="S36" i="4"/>
  <c r="S37" i="4"/>
  <c r="R3" i="6"/>
  <c r="T19" i="6"/>
  <c r="T20" i="6"/>
  <c r="T23" i="6"/>
  <c r="T24" i="6"/>
  <c r="T28" i="6"/>
  <c r="T29" i="6"/>
  <c r="T30" i="6"/>
  <c r="R40" i="6"/>
  <c r="S39" i="4" l="1"/>
  <c r="I3" i="6"/>
  <c r="K19" i="6"/>
  <c r="K20" i="6"/>
  <c r="K23" i="6"/>
  <c r="K24" i="6"/>
  <c r="K28" i="6"/>
  <c r="K29" i="6"/>
  <c r="K30" i="6"/>
  <c r="I40" i="6"/>
  <c r="L90" i="3"/>
  <c r="M90" i="3"/>
  <c r="N90" i="3"/>
  <c r="O90" i="3"/>
  <c r="P90" i="3"/>
  <c r="Q90" i="3"/>
  <c r="L91" i="3"/>
  <c r="M91" i="3"/>
  <c r="N91" i="3"/>
  <c r="O91" i="3"/>
  <c r="P91" i="3"/>
  <c r="Q91" i="3"/>
  <c r="L92" i="3"/>
  <c r="M92" i="3"/>
  <c r="N92" i="3"/>
  <c r="O92" i="3"/>
  <c r="P92" i="3"/>
  <c r="Q92" i="3"/>
  <c r="L93" i="3"/>
  <c r="M93" i="3"/>
  <c r="N93" i="3"/>
  <c r="O93" i="3"/>
  <c r="P93" i="3"/>
  <c r="Q93" i="3"/>
  <c r="L94" i="3"/>
  <c r="M94" i="3"/>
  <c r="N94" i="3"/>
  <c r="O94" i="3"/>
  <c r="P94" i="3"/>
  <c r="Q94" i="3"/>
  <c r="L95" i="3"/>
  <c r="M95" i="3"/>
  <c r="N95" i="3"/>
  <c r="O95" i="3"/>
  <c r="P95" i="3"/>
  <c r="Q95" i="3"/>
  <c r="L96" i="3"/>
  <c r="M96" i="3"/>
  <c r="N96" i="3"/>
  <c r="O96" i="3"/>
  <c r="P96" i="3"/>
  <c r="Q96" i="3"/>
  <c r="L97" i="3"/>
  <c r="M97" i="3"/>
  <c r="N97" i="3"/>
  <c r="O97" i="3"/>
  <c r="P97" i="3"/>
  <c r="Q97" i="3"/>
  <c r="L98" i="3"/>
  <c r="M98" i="3"/>
  <c r="N98" i="3"/>
  <c r="O98" i="3"/>
  <c r="P98" i="3"/>
  <c r="Q98" i="3"/>
  <c r="L99" i="3"/>
  <c r="M99" i="3"/>
  <c r="N99" i="3"/>
  <c r="O99" i="3"/>
  <c r="P99" i="3"/>
  <c r="Q99" i="3"/>
  <c r="L100" i="3"/>
  <c r="M100" i="3"/>
  <c r="N100" i="3"/>
  <c r="O100" i="3"/>
  <c r="P100" i="3"/>
  <c r="Q100" i="3"/>
  <c r="L101" i="3"/>
  <c r="M101" i="3"/>
  <c r="N101" i="3"/>
  <c r="O101" i="3"/>
  <c r="P101" i="3"/>
  <c r="Q101" i="3"/>
  <c r="L102" i="3"/>
  <c r="M102" i="3"/>
  <c r="N102" i="3"/>
  <c r="O102" i="3"/>
  <c r="P102" i="3"/>
  <c r="Q102" i="3"/>
  <c r="L103" i="3"/>
  <c r="M103" i="3"/>
  <c r="N103" i="3"/>
  <c r="O103" i="3"/>
  <c r="P103" i="3"/>
  <c r="Q103" i="3"/>
  <c r="L104" i="3"/>
  <c r="M104" i="3"/>
  <c r="N104" i="3"/>
  <c r="O104" i="3"/>
  <c r="P104" i="3"/>
  <c r="Q104" i="3"/>
  <c r="L105" i="3"/>
  <c r="M105" i="3"/>
  <c r="N105" i="3"/>
  <c r="O105" i="3"/>
  <c r="P105" i="3"/>
  <c r="Q105" i="3"/>
  <c r="L106" i="3"/>
  <c r="M106" i="3"/>
  <c r="N106" i="3"/>
  <c r="O106" i="3"/>
  <c r="P106" i="3"/>
  <c r="Q106" i="3"/>
  <c r="L107" i="3"/>
  <c r="M107" i="3"/>
  <c r="N107" i="3"/>
  <c r="O107" i="3"/>
  <c r="P107" i="3"/>
  <c r="Q107" i="3"/>
  <c r="L108" i="3"/>
  <c r="M108" i="3"/>
  <c r="N108" i="3"/>
  <c r="O108" i="3"/>
  <c r="P108" i="3"/>
  <c r="Q108" i="3"/>
  <c r="L109" i="3"/>
  <c r="M109" i="3"/>
  <c r="N109" i="3"/>
  <c r="O109" i="3"/>
  <c r="P109" i="3"/>
  <c r="Q109" i="3"/>
  <c r="L110" i="3"/>
  <c r="M110" i="3"/>
  <c r="N110" i="3"/>
  <c r="O110" i="3"/>
  <c r="P110" i="3"/>
  <c r="Q110" i="3"/>
  <c r="O81" i="4" l="1"/>
  <c r="A45" i="11" s="1"/>
  <c r="O80" i="4"/>
  <c r="O79" i="4"/>
  <c r="M19" i="4" l="1"/>
  <c r="J54" i="12" s="1"/>
  <c r="M20" i="4"/>
  <c r="A44" i="11" s="1"/>
  <c r="M18" i="4"/>
  <c r="L30" i="12" l="1"/>
  <c r="K30" i="12"/>
  <c r="P30" i="12"/>
  <c r="Q30" i="12"/>
  <c r="O54" i="12"/>
  <c r="O30" i="12"/>
  <c r="D111" i="4" l="1"/>
  <c r="F95" i="4"/>
  <c r="F96" i="4"/>
  <c r="F97" i="4"/>
  <c r="F98" i="4"/>
  <c r="F99" i="4"/>
  <c r="F100" i="4"/>
  <c r="F101" i="4"/>
  <c r="F102" i="4"/>
  <c r="F103" i="4"/>
  <c r="F104" i="4"/>
  <c r="F105" i="4"/>
  <c r="F106" i="4"/>
  <c r="F107" i="4"/>
  <c r="F108" i="4"/>
  <c r="F109" i="4"/>
  <c r="F94" i="4"/>
  <c r="F111" i="4" l="1"/>
  <c r="I4" i="1" l="1"/>
  <c r="E27" i="3" l="1"/>
  <c r="E26" i="3"/>
  <c r="E25" i="3"/>
  <c r="E24" i="3"/>
  <c r="E23" i="3"/>
  <c r="E22" i="3"/>
  <c r="E21" i="3"/>
  <c r="E20" i="3"/>
  <c r="E19" i="3"/>
  <c r="E18" i="3"/>
  <c r="E17" i="3"/>
  <c r="E16" i="3"/>
  <c r="E15" i="3"/>
  <c r="E14" i="3"/>
  <c r="E13" i="3"/>
  <c r="E12" i="3"/>
  <c r="E11" i="3"/>
  <c r="E10" i="3"/>
  <c r="E9" i="3"/>
  <c r="E8" i="3"/>
  <c r="E7" i="3"/>
  <c r="E6" i="3"/>
  <c r="K73" i="6" l="1"/>
  <c r="T73" i="6"/>
  <c r="T72" i="6"/>
  <c r="K72" i="6"/>
  <c r="K71" i="6"/>
  <c r="T71" i="6"/>
  <c r="C73" i="6"/>
  <c r="C72" i="6"/>
  <c r="C71" i="6"/>
  <c r="O18" i="11" l="1"/>
  <c r="P18" i="11" s="1"/>
  <c r="O14" i="11"/>
  <c r="O21" i="11"/>
  <c r="P21" i="11" s="1"/>
  <c r="O17" i="11"/>
  <c r="P17" i="11" s="1"/>
  <c r="O22" i="11"/>
  <c r="P22" i="11" s="1"/>
  <c r="O11" i="11"/>
  <c r="O16" i="11"/>
  <c r="P16" i="11" s="1"/>
  <c r="O23" i="11"/>
  <c r="P23" i="11" s="1"/>
  <c r="O20" i="11"/>
  <c r="P20" i="11" s="1"/>
  <c r="O13" i="11"/>
  <c r="O15" i="11"/>
  <c r="Q17" i="11"/>
  <c r="S17" i="11" s="1"/>
  <c r="Q23" i="11"/>
  <c r="S23" i="11" s="1"/>
  <c r="Q21" i="11"/>
  <c r="S21" i="11" s="1"/>
  <c r="Q13" i="11"/>
  <c r="S13" i="11" s="1"/>
  <c r="Q18" i="11"/>
  <c r="S18" i="11" s="1"/>
  <c r="Q11" i="11"/>
  <c r="S11" i="11" s="1"/>
  <c r="Q12" i="11"/>
  <c r="S12" i="11" s="1"/>
  <c r="Q15" i="11"/>
  <c r="Q16" i="11"/>
  <c r="S16" i="11" s="1"/>
  <c r="Q22" i="11"/>
  <c r="S22" i="11" s="1"/>
  <c r="Q20" i="11"/>
  <c r="S20" i="11" s="1"/>
  <c r="Q14" i="11"/>
  <c r="S14" i="11" s="1"/>
  <c r="Z14" i="11" l="1"/>
  <c r="AD14" i="11" s="1"/>
  <c r="X14" i="11"/>
  <c r="Y14" i="11"/>
  <c r="AC14" i="11" s="1"/>
  <c r="X13" i="11"/>
  <c r="AA13" i="11" s="1"/>
  <c r="AB13" i="11" s="1"/>
  <c r="Z13" i="11"/>
  <c r="AD13" i="11" s="1"/>
  <c r="Y13" i="11"/>
  <c r="AC13" i="11" s="1"/>
  <c r="Y11" i="11"/>
  <c r="AC11" i="11" s="1"/>
  <c r="X11" i="11"/>
  <c r="AA11" i="11" s="1"/>
  <c r="Z11" i="11"/>
  <c r="AD11" i="11" s="1"/>
  <c r="O19" i="11"/>
  <c r="P19" i="11" s="1"/>
  <c r="AB15" i="11"/>
  <c r="Q19" i="11"/>
  <c r="S19" i="11" s="1"/>
  <c r="E21" i="12"/>
  <c r="D21" i="12"/>
  <c r="C21" i="12"/>
  <c r="E19" i="12"/>
  <c r="D19" i="12"/>
  <c r="C19" i="12"/>
  <c r="B19" i="12"/>
  <c r="E18" i="12"/>
  <c r="D18" i="12"/>
  <c r="C18" i="12"/>
  <c r="B18" i="12"/>
  <c r="E17" i="12"/>
  <c r="D17" i="12"/>
  <c r="C17" i="12"/>
  <c r="B17" i="12"/>
  <c r="E13" i="12"/>
  <c r="D13" i="12"/>
  <c r="C13" i="12"/>
  <c r="B13" i="12"/>
  <c r="E12" i="12"/>
  <c r="D12" i="12"/>
  <c r="C12" i="12"/>
  <c r="B12" i="12"/>
  <c r="E9" i="12"/>
  <c r="D9" i="12"/>
  <c r="C9" i="12"/>
  <c r="B9" i="12"/>
  <c r="E8" i="12"/>
  <c r="D8" i="12"/>
  <c r="C8" i="12"/>
  <c r="B8" i="12"/>
  <c r="A40" i="6"/>
  <c r="C30" i="6"/>
  <c r="C29" i="6"/>
  <c r="C28" i="6"/>
  <c r="C24" i="6"/>
  <c r="C23" i="6"/>
  <c r="C20" i="6"/>
  <c r="C19" i="6"/>
  <c r="A3" i="6"/>
  <c r="A3" i="5"/>
  <c r="K48" i="1"/>
  <c r="H48" i="1"/>
  <c r="E48" i="1"/>
  <c r="D48" i="1"/>
  <c r="C48" i="1"/>
  <c r="K47" i="1"/>
  <c r="H47" i="1"/>
  <c r="E47" i="1"/>
  <c r="D47" i="1"/>
  <c r="C47" i="1"/>
  <c r="K46" i="1"/>
  <c r="H46" i="1"/>
  <c r="E46" i="1"/>
  <c r="D46" i="1"/>
  <c r="C46" i="1"/>
  <c r="K36" i="1"/>
  <c r="H36" i="1"/>
  <c r="E36" i="1"/>
  <c r="D36" i="1"/>
  <c r="C36" i="1"/>
  <c r="M35" i="1"/>
  <c r="K35" i="1"/>
  <c r="J35" i="1"/>
  <c r="H35" i="1"/>
  <c r="G35" i="1"/>
  <c r="E35" i="1"/>
  <c r="D35" i="1"/>
  <c r="C35" i="1"/>
  <c r="K34" i="1"/>
  <c r="H34" i="1"/>
  <c r="E34" i="1"/>
  <c r="D34" i="1"/>
  <c r="C34" i="1"/>
  <c r="M30" i="1"/>
  <c r="J30" i="1"/>
  <c r="G30" i="1"/>
  <c r="C30" i="1"/>
  <c r="M29" i="1"/>
  <c r="J29" i="1"/>
  <c r="G29" i="1"/>
  <c r="C29" i="1"/>
  <c r="M28" i="1"/>
  <c r="J28" i="1"/>
  <c r="G28" i="1"/>
  <c r="C28" i="1"/>
  <c r="K27" i="1"/>
  <c r="H27" i="1"/>
  <c r="E27" i="1"/>
  <c r="D27" i="1"/>
  <c r="K26" i="1"/>
  <c r="H26" i="1"/>
  <c r="E26" i="1"/>
  <c r="D26" i="1"/>
  <c r="K25" i="1"/>
  <c r="H25" i="1"/>
  <c r="E25" i="1"/>
  <c r="D25" i="1"/>
  <c r="M24" i="1"/>
  <c r="K24" i="1"/>
  <c r="J24" i="1"/>
  <c r="H24" i="1"/>
  <c r="G24" i="1"/>
  <c r="E24" i="1"/>
  <c r="D24" i="1"/>
  <c r="C24" i="1"/>
  <c r="M23" i="1"/>
  <c r="K23" i="1"/>
  <c r="J23" i="1"/>
  <c r="H23" i="1"/>
  <c r="G23" i="1"/>
  <c r="E23" i="1"/>
  <c r="D23" i="1"/>
  <c r="C23" i="1"/>
  <c r="K22" i="1"/>
  <c r="H22" i="1"/>
  <c r="E22" i="1"/>
  <c r="D22" i="1"/>
  <c r="K21" i="1"/>
  <c r="H21" i="1"/>
  <c r="E21" i="1"/>
  <c r="D21" i="1"/>
  <c r="M20" i="1"/>
  <c r="K20" i="1"/>
  <c r="J20" i="1"/>
  <c r="H20" i="1"/>
  <c r="G20" i="1"/>
  <c r="E20" i="1"/>
  <c r="D20" i="1"/>
  <c r="C20" i="1"/>
  <c r="M19" i="1"/>
  <c r="K19" i="1"/>
  <c r="J19" i="1"/>
  <c r="H19" i="1"/>
  <c r="G19" i="1"/>
  <c r="E19" i="1"/>
  <c r="D19" i="1"/>
  <c r="C19" i="1"/>
  <c r="K18" i="1"/>
  <c r="H18" i="1"/>
  <c r="E18" i="1"/>
  <c r="D18" i="1"/>
  <c r="K17" i="1"/>
  <c r="H17" i="1"/>
  <c r="E17" i="1"/>
  <c r="D17" i="1"/>
  <c r="K16" i="1"/>
  <c r="H16" i="1"/>
  <c r="E16" i="1"/>
  <c r="D16" i="1"/>
  <c r="K15" i="1"/>
  <c r="H15" i="1"/>
  <c r="E15" i="1"/>
  <c r="D15" i="1"/>
  <c r="A4" i="1"/>
  <c r="A3" i="1"/>
  <c r="AA14" i="11" l="1"/>
  <c r="AB14" i="11" s="1"/>
  <c r="AB11" i="11"/>
  <c r="AA39" i="11"/>
  <c r="AA41" i="11"/>
  <c r="AA38" i="11"/>
  <c r="AA40" i="11"/>
  <c r="AC38" i="11"/>
  <c r="AC39" i="11"/>
  <c r="AC40" i="11"/>
  <c r="AC41" i="11"/>
  <c r="AD39" i="11"/>
  <c r="AD40" i="11"/>
  <c r="AD41" i="11"/>
  <c r="AD38" i="11"/>
  <c r="O29" i="1"/>
  <c r="S29" i="1"/>
  <c r="X29" i="1"/>
  <c r="Y29" i="1"/>
  <c r="T29" i="1"/>
  <c r="P29" i="1"/>
  <c r="P19" i="1"/>
  <c r="S19" i="1"/>
  <c r="T19" i="1"/>
  <c r="Y19" i="1"/>
  <c r="O19" i="1"/>
  <c r="X19" i="1"/>
  <c r="S20" i="1"/>
  <c r="O20" i="1"/>
  <c r="X20" i="1"/>
  <c r="T20" i="1"/>
  <c r="Y20" i="1"/>
  <c r="P20" i="1"/>
  <c r="S28" i="1"/>
  <c r="O28" i="1"/>
  <c r="P28" i="1"/>
  <c r="T28" i="1"/>
  <c r="Y28" i="1"/>
  <c r="X28" i="1"/>
  <c r="AA28" i="1" s="1"/>
  <c r="X23" i="1"/>
  <c r="P23" i="1"/>
  <c r="S23" i="1"/>
  <c r="O23" i="1"/>
  <c r="T23" i="1"/>
  <c r="Y23" i="1"/>
  <c r="T24" i="1"/>
  <c r="Y24" i="1"/>
  <c r="X24" i="1"/>
  <c r="P24" i="1"/>
  <c r="S24" i="1"/>
  <c r="O24" i="1"/>
  <c r="X30" i="1"/>
  <c r="Y30" i="1"/>
  <c r="O30" i="1"/>
  <c r="S30" i="1"/>
  <c r="V30" i="1" s="1"/>
  <c r="T30" i="1"/>
  <c r="P30" i="1"/>
  <c r="G21" i="12"/>
  <c r="G19" i="12"/>
  <c r="J30" i="12"/>
  <c r="I168" i="12" s="1"/>
  <c r="G18" i="12"/>
  <c r="G17" i="12"/>
  <c r="G13" i="12"/>
  <c r="B40" i="12"/>
  <c r="D40" i="12" s="1"/>
  <c r="G12" i="12"/>
  <c r="B39" i="12"/>
  <c r="D39" i="12" s="1"/>
  <c r="G9" i="12"/>
  <c r="B36" i="12"/>
  <c r="D36" i="12" s="1"/>
  <c r="G8" i="12"/>
  <c r="B35" i="12"/>
  <c r="D35" i="12" s="1"/>
  <c r="D90" i="4"/>
  <c r="F88" i="4"/>
  <c r="F87" i="4"/>
  <c r="F86" i="4"/>
  <c r="O30" i="11" s="1"/>
  <c r="F85" i="4"/>
  <c r="O29" i="11" s="1"/>
  <c r="F84" i="4"/>
  <c r="O33" i="11" s="1"/>
  <c r="F83" i="4"/>
  <c r="F82" i="4"/>
  <c r="F81" i="4"/>
  <c r="F80" i="4"/>
  <c r="F79" i="4"/>
  <c r="O34" i="11" s="1"/>
  <c r="F78" i="4"/>
  <c r="O37" i="11" s="1"/>
  <c r="F77" i="4"/>
  <c r="O36" i="11" s="1"/>
  <c r="F76" i="4"/>
  <c r="F75" i="4"/>
  <c r="F74" i="4"/>
  <c r="F73" i="4"/>
  <c r="M65" i="4"/>
  <c r="L65" i="4"/>
  <c r="K65" i="4"/>
  <c r="D65" i="4"/>
  <c r="F63" i="4"/>
  <c r="P62" i="4"/>
  <c r="F41" i="4" s="1"/>
  <c r="O62" i="4"/>
  <c r="E41" i="4" s="1"/>
  <c r="N62" i="4"/>
  <c r="D41" i="4" s="1"/>
  <c r="F62" i="4"/>
  <c r="P61" i="4"/>
  <c r="F40" i="4" s="1"/>
  <c r="O61" i="4"/>
  <c r="E40" i="4" s="1"/>
  <c r="N61" i="4"/>
  <c r="D40" i="4" s="1"/>
  <c r="F61" i="4"/>
  <c r="C21" i="4" s="1"/>
  <c r="P60" i="4"/>
  <c r="F39" i="4" s="1"/>
  <c r="O60" i="4"/>
  <c r="E39" i="4" s="1"/>
  <c r="N60" i="4"/>
  <c r="D39" i="4" s="1"/>
  <c r="F60" i="4"/>
  <c r="C20" i="4" s="1"/>
  <c r="P59" i="4"/>
  <c r="F38" i="4" s="1"/>
  <c r="O59" i="4"/>
  <c r="E38" i="4" s="1"/>
  <c r="N59" i="4"/>
  <c r="D38" i="4" s="1"/>
  <c r="N18" i="4" s="1"/>
  <c r="F59" i="4"/>
  <c r="C26" i="4" s="1"/>
  <c r="P58" i="4"/>
  <c r="F36" i="4" s="1"/>
  <c r="O58" i="4"/>
  <c r="E36" i="4" s="1"/>
  <c r="N58" i="4"/>
  <c r="D36" i="4" s="1"/>
  <c r="F58" i="4"/>
  <c r="P57" i="4"/>
  <c r="O57" i="4"/>
  <c r="N57" i="4"/>
  <c r="F57" i="4"/>
  <c r="P56" i="4"/>
  <c r="F32" i="4" s="1"/>
  <c r="O56" i="4"/>
  <c r="E32" i="4" s="1"/>
  <c r="N56" i="4"/>
  <c r="D32" i="4" s="1"/>
  <c r="F56" i="4"/>
  <c r="P55" i="4"/>
  <c r="F31" i="4" s="1"/>
  <c r="O55" i="4"/>
  <c r="E31" i="4" s="1"/>
  <c r="N55" i="4"/>
  <c r="D31" i="4" s="1"/>
  <c r="F55" i="4"/>
  <c r="P54" i="4"/>
  <c r="O54" i="4"/>
  <c r="N54" i="4"/>
  <c r="F54" i="4"/>
  <c r="C27" i="4" s="1"/>
  <c r="P53" i="4"/>
  <c r="F27" i="4" s="1"/>
  <c r="O53" i="4"/>
  <c r="E27" i="4" s="1"/>
  <c r="N53" i="4"/>
  <c r="D27" i="4" s="1"/>
  <c r="F53" i="4"/>
  <c r="C32" i="4" s="1"/>
  <c r="P52" i="4"/>
  <c r="F26" i="4" s="1"/>
  <c r="O52" i="4"/>
  <c r="E26" i="4" s="1"/>
  <c r="N52" i="4"/>
  <c r="D26" i="4" s="1"/>
  <c r="F52" i="4"/>
  <c r="C31" i="4" s="1"/>
  <c r="P51" i="4"/>
  <c r="F23" i="4" s="1"/>
  <c r="O51" i="4"/>
  <c r="E23" i="4" s="1"/>
  <c r="N51" i="4"/>
  <c r="D23" i="4" s="1"/>
  <c r="F51" i="4"/>
  <c r="P50" i="4"/>
  <c r="F22" i="4" s="1"/>
  <c r="O50" i="4"/>
  <c r="E22" i="4" s="1"/>
  <c r="N50" i="4"/>
  <c r="D22" i="4" s="1"/>
  <c r="F50" i="4"/>
  <c r="P49" i="4"/>
  <c r="F21" i="4" s="1"/>
  <c r="O49" i="4"/>
  <c r="E21" i="4" s="1"/>
  <c r="N49" i="4"/>
  <c r="D21" i="4" s="1"/>
  <c r="F49" i="4"/>
  <c r="P48" i="4"/>
  <c r="O48" i="4"/>
  <c r="E20" i="4" s="1"/>
  <c r="N48" i="4"/>
  <c r="F48" i="4"/>
  <c r="B3" i="4"/>
  <c r="E40" i="12" l="1"/>
  <c r="C35" i="12"/>
  <c r="E39" i="12"/>
  <c r="E36" i="12"/>
  <c r="C39" i="12"/>
  <c r="C36" i="12"/>
  <c r="C40" i="12"/>
  <c r="E35" i="12"/>
  <c r="AB38" i="11"/>
  <c r="AB39" i="11"/>
  <c r="AB40" i="11"/>
  <c r="AB41" i="11"/>
  <c r="O35" i="11"/>
  <c r="O32" i="11"/>
  <c r="K37" i="6"/>
  <c r="K139" i="6" s="1"/>
  <c r="O18" i="4"/>
  <c r="B44" i="12" s="1"/>
  <c r="T37" i="6"/>
  <c r="T58" i="6" s="1"/>
  <c r="P18" i="4"/>
  <c r="B45" i="12" s="1"/>
  <c r="O57" i="12"/>
  <c r="J57" i="12"/>
  <c r="O31" i="11"/>
  <c r="O39" i="11" s="1"/>
  <c r="Q30" i="1"/>
  <c r="V28" i="1"/>
  <c r="Q19" i="1"/>
  <c r="T27" i="6"/>
  <c r="T50" i="6" s="1"/>
  <c r="K27" i="6"/>
  <c r="K50" i="6" s="1"/>
  <c r="T139" i="6"/>
  <c r="T16" i="6"/>
  <c r="K16" i="6"/>
  <c r="T21" i="6"/>
  <c r="K21" i="6"/>
  <c r="R2" i="6"/>
  <c r="I2" i="6"/>
  <c r="T26" i="6"/>
  <c r="T49" i="6" s="1"/>
  <c r="K26" i="6"/>
  <c r="K49" i="6" s="1"/>
  <c r="T22" i="6"/>
  <c r="K22" i="6"/>
  <c r="T15" i="6"/>
  <c r="K15" i="6"/>
  <c r="C22" i="4"/>
  <c r="B6" i="12" s="1"/>
  <c r="B33" i="12" s="1"/>
  <c r="F65" i="4"/>
  <c r="C30" i="4"/>
  <c r="AA29" i="1"/>
  <c r="C23" i="4"/>
  <c r="N65" i="4"/>
  <c r="AA20" i="1"/>
  <c r="AA23" i="1"/>
  <c r="D18" i="5"/>
  <c r="C16" i="1"/>
  <c r="B5" i="12"/>
  <c r="C16" i="6"/>
  <c r="C26" i="1"/>
  <c r="C26" i="6"/>
  <c r="C49" i="6" s="1"/>
  <c r="D132" i="6" s="1"/>
  <c r="B15" i="12"/>
  <c r="C22" i="1"/>
  <c r="B11" i="12"/>
  <c r="C22" i="6"/>
  <c r="C15" i="1"/>
  <c r="B4" i="12"/>
  <c r="I173" i="12" s="1"/>
  <c r="I175" i="12" s="1"/>
  <c r="D17" i="5"/>
  <c r="C15" i="6"/>
  <c r="G34" i="1"/>
  <c r="C20" i="12"/>
  <c r="C25" i="12"/>
  <c r="G48" i="1"/>
  <c r="D4" i="12"/>
  <c r="J15" i="1"/>
  <c r="D10" i="12"/>
  <c r="J21" i="1"/>
  <c r="D16" i="12"/>
  <c r="J27" i="1"/>
  <c r="J34" i="1"/>
  <c r="D20" i="12"/>
  <c r="D13" i="5"/>
  <c r="D30" i="5" s="1"/>
  <c r="J39" i="1"/>
  <c r="J48" i="1"/>
  <c r="D25" i="12"/>
  <c r="E20" i="12"/>
  <c r="E13" i="5"/>
  <c r="E30" i="5" s="1"/>
  <c r="M34" i="1"/>
  <c r="M16" i="1"/>
  <c r="E5" i="12"/>
  <c r="M18" i="1"/>
  <c r="E7" i="12"/>
  <c r="M26" i="1"/>
  <c r="E15" i="12"/>
  <c r="E22" i="12"/>
  <c r="M36" i="1"/>
  <c r="M47" i="1"/>
  <c r="M38" i="1"/>
  <c r="E24" i="12"/>
  <c r="D6" i="12"/>
  <c r="D33" i="12" s="1"/>
  <c r="J17" i="1"/>
  <c r="D14" i="12"/>
  <c r="J25" i="1"/>
  <c r="J36" i="1"/>
  <c r="D22" i="12"/>
  <c r="A2" i="6"/>
  <c r="A2" i="5"/>
  <c r="A2" i="1"/>
  <c r="C23" i="12"/>
  <c r="G46" i="1"/>
  <c r="C6" i="12"/>
  <c r="G6" i="12" s="1"/>
  <c r="G17" i="1"/>
  <c r="C10" i="12"/>
  <c r="G10" i="12" s="1"/>
  <c r="G21" i="1"/>
  <c r="C14" i="12"/>
  <c r="G14" i="12" s="1"/>
  <c r="G25" i="1"/>
  <c r="C16" i="12"/>
  <c r="G16" i="12" s="1"/>
  <c r="G27" i="1"/>
  <c r="D7" i="12"/>
  <c r="J18" i="1"/>
  <c r="J26" i="1"/>
  <c r="D15" i="12"/>
  <c r="J46" i="1"/>
  <c r="D23" i="12"/>
  <c r="J37" i="1"/>
  <c r="C21" i="6"/>
  <c r="C21" i="1"/>
  <c r="B10" i="12"/>
  <c r="B37" i="12" s="1"/>
  <c r="C27" i="1"/>
  <c r="C27" i="6"/>
  <c r="C50" i="6" s="1"/>
  <c r="C81" i="6" s="1"/>
  <c r="B16" i="12"/>
  <c r="E23" i="12"/>
  <c r="M46" i="1"/>
  <c r="M37" i="1"/>
  <c r="P65" i="4"/>
  <c r="E6" i="12"/>
  <c r="E33" i="12" s="1"/>
  <c r="M17" i="1"/>
  <c r="E10" i="12"/>
  <c r="M21" i="1"/>
  <c r="E14" i="12"/>
  <c r="M25" i="1"/>
  <c r="E16" i="12"/>
  <c r="M27" i="1"/>
  <c r="F90" i="4"/>
  <c r="J47" i="1"/>
  <c r="J38" i="1"/>
  <c r="D24" i="12"/>
  <c r="C5" i="12"/>
  <c r="G5" i="12" s="1"/>
  <c r="G16" i="1"/>
  <c r="C7" i="12"/>
  <c r="G7" i="12" s="1"/>
  <c r="G18" i="1"/>
  <c r="G22" i="1"/>
  <c r="C11" i="12"/>
  <c r="G11" i="12" s="1"/>
  <c r="G26" i="1"/>
  <c r="C15" i="12"/>
  <c r="G15" i="12" s="1"/>
  <c r="G36" i="1"/>
  <c r="C12" i="6"/>
  <c r="E37" i="6" s="1"/>
  <c r="C22" i="12"/>
  <c r="G22" i="12" s="1"/>
  <c r="G47" i="1"/>
  <c r="C24" i="12"/>
  <c r="C25" i="1"/>
  <c r="C25" i="6"/>
  <c r="C48" i="6" s="1"/>
  <c r="M48" i="1"/>
  <c r="M39" i="1"/>
  <c r="E25" i="12"/>
  <c r="M22" i="1"/>
  <c r="E11" i="12"/>
  <c r="E43" i="4"/>
  <c r="J16" i="1"/>
  <c r="D5" i="12"/>
  <c r="J22" i="1"/>
  <c r="D11" i="12"/>
  <c r="O65" i="4"/>
  <c r="V20" i="1"/>
  <c r="V19" i="1"/>
  <c r="Q29" i="1"/>
  <c r="AA19" i="1"/>
  <c r="Q23" i="1"/>
  <c r="V24" i="1"/>
  <c r="Q20" i="1"/>
  <c r="V23" i="1"/>
  <c r="AA24" i="1"/>
  <c r="Q28" i="1"/>
  <c r="D20" i="4"/>
  <c r="F20" i="4"/>
  <c r="Q24" i="1"/>
  <c r="V29" i="1"/>
  <c r="AA30" i="1"/>
  <c r="O140" i="12" l="1"/>
  <c r="L143" i="12"/>
  <c r="J143" i="12"/>
  <c r="Q143" i="12"/>
  <c r="K143" i="12"/>
  <c r="O143" i="12"/>
  <c r="P143" i="12"/>
  <c r="J140" i="12"/>
  <c r="C37" i="12"/>
  <c r="C33" i="12"/>
  <c r="D37" i="12"/>
  <c r="E37" i="12"/>
  <c r="K57" i="12"/>
  <c r="L57" i="12"/>
  <c r="Q119" i="12"/>
  <c r="P119" i="12"/>
  <c r="P109" i="12"/>
  <c r="K99" i="12"/>
  <c r="K109" i="12"/>
  <c r="I179" i="12"/>
  <c r="I182" i="12"/>
  <c r="L119" i="12"/>
  <c r="K119" i="12"/>
  <c r="I167" i="12"/>
  <c r="I169" i="12" s="1"/>
  <c r="O21" i="12"/>
  <c r="O35" i="12"/>
  <c r="O27" i="12"/>
  <c r="K46" i="12"/>
  <c r="P46" i="12"/>
  <c r="O68" i="12"/>
  <c r="Q132" i="12"/>
  <c r="K132" i="12"/>
  <c r="P132" i="12"/>
  <c r="J132" i="12"/>
  <c r="O132" i="12"/>
  <c r="L132" i="12"/>
  <c r="O24" i="12"/>
  <c r="O15" i="12"/>
  <c r="P18" i="12"/>
  <c r="O18" i="12"/>
  <c r="Q18" i="12"/>
  <c r="L24" i="12"/>
  <c r="Q24" i="12"/>
  <c r="P24" i="12"/>
  <c r="K24" i="12"/>
  <c r="J24" i="12"/>
  <c r="L18" i="12"/>
  <c r="J15" i="12"/>
  <c r="L12" i="12"/>
  <c r="P6" i="12"/>
  <c r="O12" i="12"/>
  <c r="Q6" i="12"/>
  <c r="K18" i="12"/>
  <c r="Q12" i="12"/>
  <c r="K12" i="12"/>
  <c r="O6" i="12"/>
  <c r="J18" i="12"/>
  <c r="P12" i="12"/>
  <c r="J12" i="12"/>
  <c r="J21" i="12"/>
  <c r="J68" i="12"/>
  <c r="J27" i="12"/>
  <c r="J35" i="12"/>
  <c r="J60" i="12"/>
  <c r="O60" i="12"/>
  <c r="B38" i="12"/>
  <c r="D38" i="12" s="1"/>
  <c r="K58" i="6"/>
  <c r="K64" i="6" s="1"/>
  <c r="Q57" i="12"/>
  <c r="P57" i="12"/>
  <c r="C17" i="6"/>
  <c r="O129" i="12"/>
  <c r="I157" i="12"/>
  <c r="I159" i="12" s="1"/>
  <c r="J129" i="12"/>
  <c r="J9" i="12"/>
  <c r="I161" i="12"/>
  <c r="I163" i="12" s="1"/>
  <c r="M64" i="6"/>
  <c r="K80" i="6"/>
  <c r="L132" i="6"/>
  <c r="M80" i="6"/>
  <c r="T25" i="6"/>
  <c r="T48" i="6" s="1"/>
  <c r="K25" i="6"/>
  <c r="K48" i="6" s="1"/>
  <c r="T80" i="6"/>
  <c r="V80" i="6"/>
  <c r="U132" i="6"/>
  <c r="V64" i="6"/>
  <c r="T64" i="6"/>
  <c r="T18" i="6"/>
  <c r="K18" i="6"/>
  <c r="T17" i="6"/>
  <c r="K17" i="6"/>
  <c r="C17" i="1"/>
  <c r="X17" i="1" s="1"/>
  <c r="K81" i="6"/>
  <c r="L133" i="6"/>
  <c r="M81" i="6"/>
  <c r="B14" i="12"/>
  <c r="U133" i="6"/>
  <c r="V81" i="6"/>
  <c r="T81" i="6"/>
  <c r="E80" i="6"/>
  <c r="C37" i="6"/>
  <c r="C139" i="6" s="1"/>
  <c r="J3" i="12"/>
  <c r="C80" i="6"/>
  <c r="B7" i="12"/>
  <c r="B34" i="12" s="1"/>
  <c r="D34" i="12" s="1"/>
  <c r="J43" i="12"/>
  <c r="O43" i="12"/>
  <c r="L89" i="12"/>
  <c r="C18" i="6"/>
  <c r="C18" i="1"/>
  <c r="O18" i="1" s="1"/>
  <c r="C43" i="4"/>
  <c r="E81" i="6"/>
  <c r="K89" i="12"/>
  <c r="O77" i="12"/>
  <c r="O49" i="12"/>
  <c r="O9" i="12"/>
  <c r="D133" i="6"/>
  <c r="J77" i="12"/>
  <c r="O3" i="12"/>
  <c r="J49" i="12"/>
  <c r="C51" i="6"/>
  <c r="D49" i="6" s="1"/>
  <c r="D26" i="12"/>
  <c r="X22" i="1"/>
  <c r="O22" i="1"/>
  <c r="S22" i="1"/>
  <c r="S25" i="1"/>
  <c r="X25" i="1"/>
  <c r="O25" i="1"/>
  <c r="D43" i="4"/>
  <c r="G15" i="1"/>
  <c r="O15" i="1" s="1"/>
  <c r="S21" i="1"/>
  <c r="O21" i="1"/>
  <c r="X21" i="1"/>
  <c r="S15" i="1"/>
  <c r="B32" i="12"/>
  <c r="D32" i="12" s="1"/>
  <c r="O27" i="1"/>
  <c r="X27" i="1"/>
  <c r="S27" i="1"/>
  <c r="S16" i="1"/>
  <c r="O16" i="1"/>
  <c r="X16" i="1"/>
  <c r="F43" i="4"/>
  <c r="E4" i="12"/>
  <c r="M15" i="1"/>
  <c r="X15" i="1" s="1"/>
  <c r="B31" i="12"/>
  <c r="D31" i="12" s="1"/>
  <c r="O17" i="1"/>
  <c r="F24" i="5"/>
  <c r="D24" i="5"/>
  <c r="S26" i="1"/>
  <c r="X26" i="1"/>
  <c r="O26" i="1"/>
  <c r="C79" i="6"/>
  <c r="D131" i="6"/>
  <c r="E79" i="6"/>
  <c r="C58" i="6"/>
  <c r="K65" i="12" l="1"/>
  <c r="K73" i="12"/>
  <c r="E32" i="12"/>
  <c r="L51" i="12" s="1"/>
  <c r="E26" i="12"/>
  <c r="Q147" i="12" s="1"/>
  <c r="E31" i="12"/>
  <c r="C32" i="12"/>
  <c r="J40" i="12" s="1"/>
  <c r="E38" i="12"/>
  <c r="C34" i="12"/>
  <c r="C38" i="12"/>
  <c r="E34" i="12"/>
  <c r="Q40" i="12"/>
  <c r="G4" i="13"/>
  <c r="P147" i="12"/>
  <c r="K147" i="12"/>
  <c r="K101" i="12"/>
  <c r="P101" i="12" s="1"/>
  <c r="K100" i="12"/>
  <c r="K111" i="12"/>
  <c r="P111" i="12" s="1"/>
  <c r="K110" i="12"/>
  <c r="K121" i="12"/>
  <c r="P121" i="12" s="1"/>
  <c r="K120" i="12"/>
  <c r="P120" i="12" s="1"/>
  <c r="L120" i="12"/>
  <c r="Q120" i="12" s="1"/>
  <c r="L121" i="12"/>
  <c r="Q121" i="12" s="1"/>
  <c r="L91" i="12"/>
  <c r="Q91" i="12" s="1"/>
  <c r="L90" i="12"/>
  <c r="Q46" i="12"/>
  <c r="K90" i="12"/>
  <c r="K91" i="12"/>
  <c r="P91" i="12" s="1"/>
  <c r="L46" i="12"/>
  <c r="L40" i="12"/>
  <c r="S17" i="1"/>
  <c r="C42" i="6"/>
  <c r="T32" i="6"/>
  <c r="K42" i="6"/>
  <c r="K60" i="6" s="1"/>
  <c r="T42" i="6"/>
  <c r="T60" i="6" s="1"/>
  <c r="J6" i="12"/>
  <c r="K51" i="6"/>
  <c r="L131" i="6"/>
  <c r="K79" i="6"/>
  <c r="K89" i="6" s="1"/>
  <c r="M79" i="6"/>
  <c r="L48" i="6"/>
  <c r="K32" i="6"/>
  <c r="K6" i="12"/>
  <c r="T98" i="6"/>
  <c r="R102" i="6" s="1"/>
  <c r="T79" i="6"/>
  <c r="T90" i="6" s="1"/>
  <c r="T51" i="6"/>
  <c r="U48" i="6" s="1"/>
  <c r="U131" i="6"/>
  <c r="V79" i="6"/>
  <c r="L6" i="12"/>
  <c r="K98" i="6"/>
  <c r="I102" i="6" s="1"/>
  <c r="C88" i="6"/>
  <c r="B26" i="12"/>
  <c r="S18" i="1"/>
  <c r="C60" i="6"/>
  <c r="C143" i="6"/>
  <c r="D48" i="6"/>
  <c r="X18" i="1"/>
  <c r="C32" i="6"/>
  <c r="D51" i="6"/>
  <c r="D50" i="6"/>
  <c r="C59" i="6"/>
  <c r="B30" i="12"/>
  <c r="C90" i="6"/>
  <c r="P40" i="12"/>
  <c r="C89" i="6"/>
  <c r="C82" i="6"/>
  <c r="E90" i="6" s="1"/>
  <c r="E31" i="5"/>
  <c r="E33" i="5" s="1"/>
  <c r="D31" i="5"/>
  <c r="D33" i="5" s="1"/>
  <c r="G4" i="12"/>
  <c r="C31" i="12" s="1"/>
  <c r="C26" i="12"/>
  <c r="E64" i="6"/>
  <c r="C64" i="6"/>
  <c r="Q51" i="12" l="1"/>
  <c r="L80" i="12"/>
  <c r="H4" i="13"/>
  <c r="J65" i="12"/>
  <c r="J73" i="12"/>
  <c r="L32" i="12"/>
  <c r="Q80" i="12"/>
  <c r="Q32" i="12"/>
  <c r="L73" i="12"/>
  <c r="L65" i="12"/>
  <c r="L147" i="12"/>
  <c r="O40" i="12"/>
  <c r="K116" i="12"/>
  <c r="P110" i="12"/>
  <c r="P116" i="12" s="1"/>
  <c r="P100" i="12"/>
  <c r="P106" i="12" s="1"/>
  <c r="K106" i="12"/>
  <c r="P99" i="12" s="1"/>
  <c r="O46" i="12"/>
  <c r="J46" i="12"/>
  <c r="J51" i="12"/>
  <c r="O51" i="12"/>
  <c r="K80" i="12"/>
  <c r="P80" i="12"/>
  <c r="P51" i="12"/>
  <c r="K51" i="12"/>
  <c r="Q84" i="12"/>
  <c r="L84" i="12"/>
  <c r="L86" i="12" s="1"/>
  <c r="P84" i="12"/>
  <c r="K84" i="12"/>
  <c r="Q90" i="12"/>
  <c r="Q96" i="12" s="1"/>
  <c r="L96" i="12"/>
  <c r="Q89" i="12" s="1"/>
  <c r="K96" i="12"/>
  <c r="P89" i="12" s="1"/>
  <c r="P90" i="12"/>
  <c r="P96" i="12" s="1"/>
  <c r="P65" i="12"/>
  <c r="P73" i="12"/>
  <c r="Q65" i="12"/>
  <c r="Q73" i="12"/>
  <c r="K32" i="12"/>
  <c r="K40" i="12"/>
  <c r="J32" i="12"/>
  <c r="P32" i="12"/>
  <c r="T89" i="6"/>
  <c r="T106" i="6" s="1"/>
  <c r="C91" i="6"/>
  <c r="L106" i="6"/>
  <c r="K114" i="6"/>
  <c r="U107" i="6"/>
  <c r="T107" i="6"/>
  <c r="K82" i="6"/>
  <c r="K88" i="6"/>
  <c r="U50" i="6"/>
  <c r="U51" i="6"/>
  <c r="T59" i="6"/>
  <c r="U49" i="6"/>
  <c r="T88" i="6"/>
  <c r="T82" i="6"/>
  <c r="K90" i="6"/>
  <c r="K143" i="6"/>
  <c r="L51" i="6"/>
  <c r="K59" i="6"/>
  <c r="K115" i="6"/>
  <c r="L49" i="6"/>
  <c r="L50" i="6"/>
  <c r="K116" i="6"/>
  <c r="T143" i="6"/>
  <c r="C61" i="6"/>
  <c r="E63" i="6" s="1"/>
  <c r="E89" i="6"/>
  <c r="C63" i="6"/>
  <c r="C97" i="6" s="1"/>
  <c r="C116" i="6" s="1"/>
  <c r="E61" i="6"/>
  <c r="E88" i="6"/>
  <c r="O32" i="12"/>
  <c r="G26" i="12"/>
  <c r="U16" i="1"/>
  <c r="U15" i="1"/>
  <c r="Z16" i="1"/>
  <c r="Z15" i="1"/>
  <c r="C98" i="6"/>
  <c r="Q86" i="12" l="1"/>
  <c r="Q146" i="12"/>
  <c r="L146" i="12"/>
  <c r="H10" i="13" s="1"/>
  <c r="F4" i="13"/>
  <c r="J147" i="12"/>
  <c r="O147" i="12"/>
  <c r="I180" i="12"/>
  <c r="I181" i="12" s="1"/>
  <c r="I183" i="12"/>
  <c r="I184" i="12" s="1"/>
  <c r="P86" i="12"/>
  <c r="P146" i="12" s="1"/>
  <c r="K86" i="12"/>
  <c r="K146" i="12" s="1"/>
  <c r="J146" i="12"/>
  <c r="O73" i="12"/>
  <c r="O65" i="12"/>
  <c r="U106" i="6"/>
  <c r="L107" i="6"/>
  <c r="V88" i="6"/>
  <c r="V90" i="6"/>
  <c r="V89" i="6"/>
  <c r="L105" i="6"/>
  <c r="K91" i="6"/>
  <c r="M61" i="6"/>
  <c r="K61" i="6"/>
  <c r="V61" i="6"/>
  <c r="T61" i="6"/>
  <c r="T91" i="6"/>
  <c r="T105" i="6"/>
  <c r="U105" i="6"/>
  <c r="M88" i="6"/>
  <c r="M90" i="6"/>
  <c r="M89" i="6"/>
  <c r="D114" i="6"/>
  <c r="D115" i="6"/>
  <c r="C115" i="6"/>
  <c r="A111" i="6"/>
  <c r="D116" i="6"/>
  <c r="C114" i="6"/>
  <c r="C65" i="6"/>
  <c r="C96" i="6" s="1"/>
  <c r="A102" i="6"/>
  <c r="D106" i="6"/>
  <c r="C105" i="6"/>
  <c r="C106" i="6"/>
  <c r="D105" i="6"/>
  <c r="D107" i="6"/>
  <c r="C107" i="6"/>
  <c r="O146" i="12" l="1"/>
  <c r="O148" i="12" s="1"/>
  <c r="J148" i="12"/>
  <c r="P148" i="12"/>
  <c r="K148" i="12"/>
  <c r="L148" i="12"/>
  <c r="T63" i="6"/>
  <c r="V63" i="6"/>
  <c r="K63" i="6"/>
  <c r="M63" i="6"/>
  <c r="C140" i="6"/>
  <c r="E141" i="6" s="1"/>
  <c r="G12" i="13"/>
  <c r="Q148" i="12"/>
  <c r="H12" i="13"/>
  <c r="D122" i="6"/>
  <c r="C122" i="6"/>
  <c r="C131" i="6" s="1"/>
  <c r="C123" i="6"/>
  <c r="C132" i="6" s="1"/>
  <c r="D123" i="6"/>
  <c r="D124" i="6"/>
  <c r="C124" i="6"/>
  <c r="C133" i="6" s="1"/>
  <c r="G10" i="13" l="1"/>
  <c r="F12" i="13"/>
  <c r="F10" i="13"/>
  <c r="K97" i="6"/>
  <c r="K65" i="6"/>
  <c r="C141" i="6"/>
  <c r="C145" i="6" s="1"/>
  <c r="T97" i="6"/>
  <c r="T65" i="6"/>
  <c r="F132" i="6"/>
  <c r="E132" i="6"/>
  <c r="E133" i="6"/>
  <c r="F133" i="6"/>
  <c r="E131" i="6"/>
  <c r="F131" i="6"/>
  <c r="E145" i="6" l="1"/>
  <c r="T140" i="6"/>
  <c r="T96" i="6"/>
  <c r="R111" i="6"/>
  <c r="T114" i="6"/>
  <c r="T115" i="6"/>
  <c r="U114" i="6"/>
  <c r="T116" i="6"/>
  <c r="U116" i="6"/>
  <c r="U115" i="6"/>
  <c r="K96" i="6"/>
  <c r="K140" i="6"/>
  <c r="I111" i="6"/>
  <c r="K106" i="6"/>
  <c r="L114" i="6"/>
  <c r="K105" i="6"/>
  <c r="K107" i="6"/>
  <c r="L116" i="6"/>
  <c r="L115" i="6"/>
  <c r="P25" i="1"/>
  <c r="Q25" i="1" s="1"/>
  <c r="P27" i="1"/>
  <c r="Q27" i="1" s="1"/>
  <c r="P21" i="1"/>
  <c r="Q21" i="1" s="1"/>
  <c r="P22" i="1"/>
  <c r="Q22" i="1" s="1"/>
  <c r="P18" i="1"/>
  <c r="Q18" i="1" s="1"/>
  <c r="P16" i="1"/>
  <c r="Q16" i="1" s="1"/>
  <c r="K107" i="4" s="1"/>
  <c r="P15" i="1"/>
  <c r="Q15" i="1" s="1"/>
  <c r="P17" i="1"/>
  <c r="Q17" i="1" s="1"/>
  <c r="P26" i="1"/>
  <c r="Q26" i="1" s="1"/>
  <c r="K105" i="4" l="1"/>
  <c r="K84" i="4"/>
  <c r="K124" i="6"/>
  <c r="K133" i="6" s="1"/>
  <c r="L124" i="6"/>
  <c r="K122" i="6"/>
  <c r="K131" i="6" s="1"/>
  <c r="L122" i="6"/>
  <c r="U124" i="6"/>
  <c r="T124" i="6"/>
  <c r="T133" i="6" s="1"/>
  <c r="K123" i="6"/>
  <c r="K132" i="6" s="1"/>
  <c r="L123" i="6"/>
  <c r="T123" i="6"/>
  <c r="T132" i="6" s="1"/>
  <c r="U123" i="6"/>
  <c r="U122" i="6"/>
  <c r="T122" i="6"/>
  <c r="T131" i="6" s="1"/>
  <c r="M141" i="6"/>
  <c r="K141" i="6"/>
  <c r="T141" i="6"/>
  <c r="V141" i="6"/>
  <c r="K108" i="4"/>
  <c r="K109" i="4"/>
  <c r="K85" i="4"/>
  <c r="K106" i="4"/>
  <c r="K79" i="4"/>
  <c r="K100" i="4"/>
  <c r="K104" i="4"/>
  <c r="K103" i="4"/>
  <c r="K102" i="4"/>
  <c r="K101" i="4"/>
  <c r="K78" i="4"/>
  <c r="K99" i="4"/>
  <c r="K77" i="4"/>
  <c r="K98" i="4"/>
  <c r="K97" i="4"/>
  <c r="K96" i="4"/>
  <c r="K83" i="4"/>
  <c r="K82" i="4"/>
  <c r="K81" i="4"/>
  <c r="K80" i="4"/>
  <c r="K86" i="4"/>
  <c r="K88" i="4"/>
  <c r="K87" i="4"/>
  <c r="K75" i="4"/>
  <c r="K76" i="4"/>
  <c r="T145" i="6" l="1"/>
  <c r="V145" i="6"/>
  <c r="M132" i="6"/>
  <c r="T26" i="1" s="1"/>
  <c r="V26" i="1" s="1"/>
  <c r="N132" i="6"/>
  <c r="K145" i="6"/>
  <c r="M145" i="6"/>
  <c r="W133" i="6"/>
  <c r="V133" i="6"/>
  <c r="Y27" i="1" s="1"/>
  <c r="AA27" i="1" s="1"/>
  <c r="V131" i="6"/>
  <c r="Y25" i="1" s="1"/>
  <c r="AA25" i="1" s="1"/>
  <c r="W131" i="6"/>
  <c r="M131" i="6"/>
  <c r="T25" i="1" s="1"/>
  <c r="V25" i="1" s="1"/>
  <c r="I75" i="4" s="1"/>
  <c r="N131" i="6"/>
  <c r="W132" i="6"/>
  <c r="V132" i="6"/>
  <c r="Y26" i="1" s="1"/>
  <c r="AA26" i="1" s="1"/>
  <c r="N133" i="6"/>
  <c r="M133" i="6"/>
  <c r="T27" i="1" s="1"/>
  <c r="V27" i="1" s="1"/>
  <c r="AA37" i="11"/>
  <c r="K111" i="4"/>
  <c r="K90" i="4"/>
  <c r="AA29" i="11"/>
  <c r="F6" i="13" s="1"/>
  <c r="AA35" i="11"/>
  <c r="AA34" i="11"/>
  <c r="AA26" i="11"/>
  <c r="AA36" i="11"/>
  <c r="AA31" i="11"/>
  <c r="F8" i="13" s="1"/>
  <c r="F24" i="13" s="1"/>
  <c r="J98" i="4" l="1"/>
  <c r="F18" i="13"/>
  <c r="F20" i="13" s="1"/>
  <c r="F23" i="13"/>
  <c r="F25" i="13" s="1"/>
  <c r="J96" i="4"/>
  <c r="I78" i="4"/>
  <c r="J75" i="4"/>
  <c r="J97" i="4"/>
  <c r="J76" i="4"/>
  <c r="I96" i="4"/>
  <c r="I97" i="4"/>
  <c r="J77" i="4"/>
  <c r="I76" i="4"/>
  <c r="I98" i="4"/>
  <c r="J99" i="4"/>
  <c r="I77" i="4"/>
  <c r="J78" i="4"/>
  <c r="T18" i="1"/>
  <c r="V18" i="1" s="1"/>
  <c r="T15" i="1"/>
  <c r="V15" i="1" s="1"/>
  <c r="T17" i="1"/>
  <c r="V17" i="1" s="1"/>
  <c r="T16" i="1"/>
  <c r="V16" i="1" s="1"/>
  <c r="T22" i="1"/>
  <c r="V22" i="1" s="1"/>
  <c r="T21" i="1"/>
  <c r="V21" i="1" s="1"/>
  <c r="I99" i="4"/>
  <c r="Y22" i="1"/>
  <c r="AA22" i="1" s="1"/>
  <c r="Y21" i="1"/>
  <c r="AA21" i="1" s="1"/>
  <c r="Y18" i="1"/>
  <c r="AA18" i="1" s="1"/>
  <c r="Y16" i="1"/>
  <c r="AA16" i="1" s="1"/>
  <c r="Y15" i="1"/>
  <c r="AA15" i="1" s="1"/>
  <c r="Y17" i="1"/>
  <c r="AA17" i="1" s="1"/>
  <c r="AB37" i="11"/>
  <c r="K114" i="4"/>
  <c r="J4" i="13" s="1"/>
  <c r="AB34" i="11"/>
  <c r="AB29" i="11"/>
  <c r="AB35" i="11"/>
  <c r="AB31" i="11"/>
  <c r="AB26" i="11"/>
  <c r="AB36" i="11"/>
  <c r="J14" i="13" l="1"/>
  <c r="J16" i="13"/>
  <c r="I105" i="4"/>
  <c r="I84" i="4"/>
  <c r="J84" i="4"/>
  <c r="J105" i="4"/>
  <c r="AD26" i="11"/>
  <c r="AC37" i="11"/>
  <c r="J12" i="13"/>
  <c r="J10" i="13"/>
  <c r="J8" i="13"/>
  <c r="J6" i="13"/>
  <c r="J107" i="4"/>
  <c r="J86" i="4"/>
  <c r="J109" i="4"/>
  <c r="J108" i="4"/>
  <c r="J88" i="4"/>
  <c r="J87" i="4"/>
  <c r="I79" i="4"/>
  <c r="I100" i="4"/>
  <c r="J85" i="4"/>
  <c r="J106" i="4"/>
  <c r="I107" i="4"/>
  <c r="I86" i="4"/>
  <c r="J79" i="4"/>
  <c r="J100" i="4"/>
  <c r="I104" i="4"/>
  <c r="I83" i="4"/>
  <c r="I82" i="4"/>
  <c r="I80" i="4"/>
  <c r="I81" i="4"/>
  <c r="I103" i="4"/>
  <c r="I102" i="4"/>
  <c r="I101" i="4"/>
  <c r="I85" i="4"/>
  <c r="I106" i="4"/>
  <c r="I109" i="4"/>
  <c r="I108" i="4"/>
  <c r="I87" i="4"/>
  <c r="I88" i="4"/>
  <c r="J104" i="4"/>
  <c r="J81" i="4"/>
  <c r="J102" i="4"/>
  <c r="J80" i="4"/>
  <c r="J103" i="4"/>
  <c r="J101" i="4"/>
  <c r="J82" i="4"/>
  <c r="J83" i="4"/>
  <c r="F19" i="13"/>
  <c r="AD34" i="11" l="1"/>
  <c r="AD31" i="11"/>
  <c r="G8" i="13" s="1"/>
  <c r="G24" i="13" s="1"/>
  <c r="AD29" i="11"/>
  <c r="G6" i="13" s="1"/>
  <c r="AD35" i="11"/>
  <c r="AD37" i="11"/>
  <c r="AD36" i="11"/>
  <c r="I90" i="4"/>
  <c r="AC31" i="11"/>
  <c r="H8" i="13" s="1"/>
  <c r="H24" i="13" s="1"/>
  <c r="AC26" i="11"/>
  <c r="AC34" i="11"/>
  <c r="AC29" i="11"/>
  <c r="H6" i="13" s="1"/>
  <c r="AC35" i="11"/>
  <c r="AC36" i="11"/>
  <c r="J24" i="13"/>
  <c r="J23" i="13"/>
  <c r="J18" i="13"/>
  <c r="J20" i="13" s="1"/>
  <c r="J90" i="4"/>
  <c r="J111" i="4"/>
  <c r="I111" i="4"/>
  <c r="J25" i="13" l="1"/>
  <c r="H18" i="13"/>
  <c r="H20" i="13" s="1"/>
  <c r="H23" i="13"/>
  <c r="H25" i="13" s="1"/>
  <c r="G23" i="13"/>
  <c r="G25" i="13" s="1"/>
  <c r="G18" i="13"/>
  <c r="G20" i="13" s="1"/>
  <c r="I114" i="4"/>
  <c r="K4" i="13" s="1"/>
  <c r="J19" i="13"/>
  <c r="J114" i="4"/>
  <c r="L4" i="13" s="1"/>
  <c r="K8" i="13" l="1"/>
  <c r="K16" i="13"/>
  <c r="K14" i="13"/>
  <c r="L16" i="13"/>
  <c r="L14" i="13"/>
  <c r="G19" i="13"/>
  <c r="K10" i="13"/>
  <c r="K12" i="13"/>
  <c r="K6" i="13"/>
  <c r="H19" i="13"/>
  <c r="L12" i="13"/>
  <c r="L10" i="13"/>
  <c r="L8" i="13"/>
  <c r="L6" i="13"/>
  <c r="K24" i="13" l="1"/>
  <c r="K23" i="13"/>
  <c r="K18" i="13"/>
  <c r="K20" i="13" s="1"/>
  <c r="L18" i="13"/>
  <c r="L20" i="13" s="1"/>
  <c r="L23" i="13"/>
  <c r="L24" i="13"/>
  <c r="K25" i="13" l="1"/>
  <c r="L25" i="13"/>
  <c r="K19" i="13"/>
  <c r="L19" i="13"/>
</calcChain>
</file>

<file path=xl/sharedStrings.xml><?xml version="1.0" encoding="utf-8"?>
<sst xmlns="http://schemas.openxmlformats.org/spreadsheetml/2006/main" count="1733" uniqueCount="734">
  <si>
    <t>Load Reductions from BMP Implementation in Urban and Rural Areas</t>
  </si>
  <si>
    <t>Developed by:</t>
  </si>
  <si>
    <t>Barry Evans, Drexel University &amp; Penn State University</t>
  </si>
  <si>
    <t>Mike Hickman, Center for Watershed Protection</t>
  </si>
  <si>
    <t>OVERVIEW:</t>
  </si>
  <si>
    <t>The tool is based on the concept of "composite" loading rates whereby both "upland" and "streambank-eroded" loads are combined to facilitate the estimation of load reductions based on the use of various BMPs as applied to different developed land and agricultural land categories.</t>
  </si>
  <si>
    <t>Look-Up Table for MMW Loading Rates</t>
  </si>
  <si>
    <t>TOTAL WATERSHED ANNUAL LOADS
from Model My Watershed</t>
  </si>
  <si>
    <t>ANNUAL LAND USE LOADING RATES (lbs/acre)
based on land use, stream bank and farm animal sources</t>
  </si>
  <si>
    <t xml:space="preserve">SEDIMENT  </t>
  </si>
  <si>
    <t>NITROGEN</t>
  </si>
  <si>
    <t>PHOSPHORUS</t>
  </si>
  <si>
    <t>Source</t>
  </si>
  <si>
    <t>Area</t>
  </si>
  <si>
    <t>Runoff</t>
  </si>
  <si>
    <t>Erosion</t>
  </si>
  <si>
    <t>Sediment</t>
  </si>
  <si>
    <t>Dis N</t>
  </si>
  <si>
    <t>Total Nitrogen</t>
  </si>
  <si>
    <t>Dis P</t>
  </si>
  <si>
    <t>Total Phosphorus</t>
  </si>
  <si>
    <t>TOTAL SEDIMENT LOADING RATE</t>
  </si>
  <si>
    <t>TOTAL NITROGEN LOADING RATE</t>
  </si>
  <si>
    <t>TOTAL PHOSPHORUS LOADING RATE</t>
  </si>
  <si>
    <t>Units</t>
  </si>
  <si>
    <t>Acres</t>
  </si>
  <si>
    <t>inches</t>
  </si>
  <si>
    <t>Tons</t>
  </si>
  <si>
    <t>Pounds</t>
  </si>
  <si>
    <t>lbs/acre</t>
  </si>
  <si>
    <t>Tons * 2000 lbs/ton
acres of a land use</t>
  </si>
  <si>
    <t>Sum of previous
two sources</t>
  </si>
  <si>
    <t>Sum of previous
three sources</t>
  </si>
  <si>
    <t>MapShed Land Use Categories</t>
  </si>
  <si>
    <t>Hay/Past</t>
  </si>
  <si>
    <t>Cropland</t>
  </si>
  <si>
    <t>Forest</t>
  </si>
  <si>
    <t>n/a</t>
  </si>
  <si>
    <t>Wetland</t>
  </si>
  <si>
    <t>Disturbed</t>
  </si>
  <si>
    <t>Turfgrass</t>
  </si>
  <si>
    <t>Open_Land</t>
  </si>
  <si>
    <t>Bare_Rock</t>
  </si>
  <si>
    <t>Sandy_Areas</t>
  </si>
  <si>
    <t>Unpaved_Road</t>
  </si>
  <si>
    <t>Ld_Mixed</t>
  </si>
  <si>
    <t>Md_Mixed</t>
  </si>
  <si>
    <t>Hd_Mixed</t>
  </si>
  <si>
    <t>Ld_Residential</t>
  </si>
  <si>
    <t>Md_Residential</t>
  </si>
  <si>
    <t>Hd_Residential</t>
  </si>
  <si>
    <t>Addt'l Sources</t>
  </si>
  <si>
    <t>Farm Animals</t>
  </si>
  <si>
    <t>Tile Drainage</t>
  </si>
  <si>
    <t>Groundwater</t>
  </si>
  <si>
    <t>Point Source</t>
  </si>
  <si>
    <t>Septic Systems</t>
  </si>
  <si>
    <t>Notes:</t>
  </si>
  <si>
    <t>From
Land Use</t>
  </si>
  <si>
    <t>From
Stream
Banks ①</t>
  </si>
  <si>
    <t>From    Land Use</t>
  </si>
  <si>
    <t>From Stream Banks ①</t>
  </si>
  <si>
    <t>From
Farm Animals ②</t>
  </si>
  <si>
    <t>From      Farm Animals ②</t>
  </si>
  <si>
    <t xml:space="preserve"> </t>
  </si>
  <si>
    <t>Stream Bank ①</t>
  </si>
  <si>
    <t>① - Separate worksheets are used to calculate and apportion the loading rates from the Stream Bank source loads (for sediment, total nitrogen, and total phosphorus) from the MMW Output file into each land use category, using methodology provided by Dr. Barry Evans (Pennsylvania State University), the author of MapShed, and with concurrence from Mr. Bill Brown (PADEP).</t>
  </si>
  <si>
    <t>② - A separate worksheet is used to calculate and apportion the "Total Nitrogen" and "Total Phosphorus" loading rates from the Farm Animals source load from the MMW Output file into the two agricultural land uses, Hay/Pasture and Cropland, based on area weighting. The methodology was provided by Dr. Barry Evans (Pennsylvania State University), the author of MapShed, and with concurrence from Mr. Bill Brown (PADEP). Additionally, since the Farm Animals source loads do not apply to other land use catergories, the values in those cells are "n/a".</t>
  </si>
  <si>
    <t>Look-Up Table for MMW Land Use Loading Rates</t>
  </si>
  <si>
    <t>Section 3:</t>
  </si>
  <si>
    <t xml:space="preserve">MMW Model Output </t>
  </si>
  <si>
    <t xml:space="preserve">Data Entered By: </t>
  </si>
  <si>
    <t>User Specified</t>
  </si>
  <si>
    <t xml:space="preserve">Date Data Entered: </t>
  </si>
  <si>
    <t>Source File Name:</t>
  </si>
  <si>
    <t>Watershed:</t>
  </si>
  <si>
    <t>Year:</t>
  </si>
  <si>
    <t>Model My Watershed OUTPUT DATA</t>
  </si>
  <si>
    <t>Tot N</t>
  </si>
  <si>
    <t>Tot P</t>
  </si>
  <si>
    <t>acres</t>
  </si>
  <si>
    <t>tons/year</t>
  </si>
  <si>
    <t>lbs/year</t>
  </si>
  <si>
    <t>Stream Bank</t>
  </si>
  <si>
    <t>Totals</t>
  </si>
  <si>
    <t>MMW NLCD Land Cover Categories for Watershed (from "Analyze" csv file)</t>
  </si>
  <si>
    <t>Pollutant Load Conversion from Metric to Standard Units (from "Model" csv file)</t>
  </si>
  <si>
    <t>TYPE</t>
  </si>
  <si>
    <t>AREA (km^2)</t>
  </si>
  <si>
    <t>AREA (acres)</t>
  </si>
  <si>
    <t>SOURCE</t>
  </si>
  <si>
    <t>SEDIMENT (kg)</t>
  </si>
  <si>
    <t>TOTAL N (kg)</t>
  </si>
  <si>
    <t>TOTAL P (kg)</t>
  </si>
  <si>
    <t>SEDIMENT (tons)</t>
  </si>
  <si>
    <t>TOTAL N (lbs)</t>
  </si>
  <si>
    <t>TOTAL P (lbs)</t>
  </si>
  <si>
    <t>Open Water</t>
  </si>
  <si>
    <t>Hay/Pasture</t>
  </si>
  <si>
    <t>Perennial Ice/Snow</t>
  </si>
  <si>
    <t>Developed, Open Space</t>
  </si>
  <si>
    <t>Wooded Areas</t>
  </si>
  <si>
    <t>Developed, Low Intensity</t>
  </si>
  <si>
    <t>Wetlands</t>
  </si>
  <si>
    <t>Developed, Medium Intensity</t>
  </si>
  <si>
    <t>Open Land</t>
  </si>
  <si>
    <t>Developed, High Intensity</t>
  </si>
  <si>
    <t>Barren Areas</t>
  </si>
  <si>
    <t>Barren Land (Rock/Sand/Clay)</t>
  </si>
  <si>
    <t>Low-Density Mixed</t>
  </si>
  <si>
    <t>Deciduous Forest</t>
  </si>
  <si>
    <t>Medium-Density Mixed</t>
  </si>
  <si>
    <t>Evergreen Forest</t>
  </si>
  <si>
    <t>High-Density Mixed</t>
  </si>
  <si>
    <t>Mixed Forest</t>
  </si>
  <si>
    <t>Other Upland Areas</t>
  </si>
  <si>
    <t>Shrub/Scrub</t>
  </si>
  <si>
    <t>Grassland/Herbaceous</t>
  </si>
  <si>
    <t>Stream Bank Erosion</t>
  </si>
  <si>
    <t>Pasture/Hay</t>
  </si>
  <si>
    <t>Subsurface Flow</t>
  </si>
  <si>
    <t>Cultivated Crops</t>
  </si>
  <si>
    <t>Point Sources</t>
  </si>
  <si>
    <t>Woody Wetlands</t>
  </si>
  <si>
    <t>Emergent Herbaceous Wetlands</t>
  </si>
  <si>
    <t>Note: The information below is only used for allocation of "urban" loads within a larger watershed boundary</t>
  </si>
  <si>
    <t>MMW NLCD Land Cover Categories for Urban Area (from second, smaller "Analyze" csv file)</t>
  </si>
  <si>
    <t>Section 4: Farm Animals TN and TP Loading Rates Worksheet</t>
  </si>
  <si>
    <t xml:space="preserve">This worksheet calculates and apportions the "Total Nitrogen" and "Total Phosphorus" loading rates from the "Farm Animals" source load from a MMW Output file into the two applicable agricultural land uses, Hay/Pasture and Cropland, based on area weighting. The methodology was provided by Dr. Barry Evans (Stroud Water Research Center, Pennsylvania State University), the author of MapShed, and with concurrence from Mr. Bill Brown (PADEP).
The MapShed output file provides the Farm Animals "Total Nitrogen" and "Total Phosphorus" loads in pounds.  </t>
  </si>
  <si>
    <t>Step 1. The Farm Animal "Total Nitrogen" and "Total Phosphorus" load, in pounds, and land areas for each land use category, in acres, from a MMW Output file are presented below.</t>
  </si>
  <si>
    <t>Total Watershed Load</t>
  </si>
  <si>
    <t>Nutrient Load from Farm Animals</t>
  </si>
  <si>
    <t>pounds</t>
  </si>
  <si>
    <t>Land Use Categories from MMW ①</t>
  </si>
  <si>
    <t xml:space="preserve">Area (acres) </t>
  </si>
  <si>
    <t>① - Since only the 'Hay/Pasture' and 'Cropland' land uses are apportioned Farm Loading Rates, the remaining land use categories are not applicable to this worksheet.</t>
  </si>
  <si>
    <t>Step 2. Total Acres in "Hay/Pasture" and "Cropland" land uses are summed.</t>
  </si>
  <si>
    <t>Area of Hay/Pasture &amp; Cropland, acres</t>
  </si>
  <si>
    <t>acres      =</t>
  </si>
  <si>
    <t>Step 3. Calculate the unit area Farm Animals loading rate (lbs/ac) to Total Nitrogen and Total Phosphorus for each land use by dividing the Farm Animal Load by the land use acres.</t>
  </si>
  <si>
    <t>pounds, from Step 1</t>
  </si>
  <si>
    <t>Area of Hay/Pasture &amp; Cropland</t>
  </si>
  <si>
    <t>acres, from Step 2</t>
  </si>
  <si>
    <t>Loading Rate for Hay/Pasture &amp; Cropland</t>
  </si>
  <si>
    <t>pounds per acre</t>
  </si>
  <si>
    <t>Step 4. Add these Farm Animals loading rates to the Land Use (upland) and Stream Bank loading rates for Hay/Pasture and Cropland to calculate the Toal Nitrogen and Total Phosphorus loading rates as shown on the Land Use Loading Rates Look-Up Table.</t>
  </si>
  <si>
    <t>This worksheet calculates and apportions the loading rates from the Stream Bank source load for sediment from the MMW Output file into each land use category, using methodology provided from Dr. Barry Evans (Pennsylvania State University), the author of MapShed, and with concurrence from Mr. Bill Brown (PADEP).
The MMW output file provides the sediment load in tons, which are converted to pounds to be consistent with the loading rates for Total Nitrogen and Total Phosphorus.</t>
  </si>
  <si>
    <t>tons</t>
  </si>
  <si>
    <t>Land Use Categories from MapShed</t>
  </si>
  <si>
    <t>Total Acres, Watershed</t>
  </si>
  <si>
    <t>Step 2. Convert the Stream Bank Sediment Load to pounds by multiplying tons by 2,000 pounds per ton.</t>
  </si>
  <si>
    <t>Sediment Load, pounds</t>
  </si>
  <si>
    <t>Total Acres in watershed</t>
  </si>
  <si>
    <t>Step 4. Calculate the total acres in the watershed that are considered "Developed," which includes Low Density Mixed (Ld_Mixed),  Medium Density Mixed (Md_Mixed), High Density Mixed (Hd_Mixed); and Low Density Residential (Ld_Residential), Medium Density Residential (Md_Residential), and High Density Residential (Hd_Residential).</t>
  </si>
  <si>
    <t>Area of Developed Lands</t>
  </si>
  <si>
    <t>percent</t>
  </si>
  <si>
    <t>Low Density Developed</t>
  </si>
  <si>
    <t xml:space="preserve"> [ Ld_Mixed + Ld_Residential ]</t>
  </si>
  <si>
    <t>Medium Density Developed</t>
  </si>
  <si>
    <t xml:space="preserve"> [ Md_Mixed + Md_Residential ]</t>
  </si>
  <si>
    <t>High Density Developed</t>
  </si>
  <si>
    <t xml:space="preserve"> [ Hd_Mixed + Hd_Residential ]</t>
  </si>
  <si>
    <t>Total</t>
  </si>
  <si>
    <t xml:space="preserve"> [ All "Developed" land use categories ]</t>
  </si>
  <si>
    <t>Step 5. Calculate the portion of the Stream Bank Sediment Load resulting from "Developed" Lands</t>
  </si>
  <si>
    <t>Stream Bank Sediment Load</t>
  </si>
  <si>
    <t>from Step 2</t>
  </si>
  <si>
    <t>Total Developed Acres</t>
  </si>
  <si>
    <t>from Step 4</t>
  </si>
  <si>
    <t>from Step 3</t>
  </si>
  <si>
    <t>Percent of Developed lands in watershed</t>
  </si>
  <si>
    <t xml:space="preserve">             =</t>
  </si>
  <si>
    <t>A) 75% x Stream Bank Sediment Load x Percent of Developed Lands</t>
  </si>
  <si>
    <t>pounds   =</t>
  </si>
  <si>
    <t>B) 25% x Stream Bank Sediment Load</t>
  </si>
  <si>
    <t>Load Assigned to Developed Lands</t>
  </si>
  <si>
    <t>Step 6. Calculate the portion of the Stream Bank Sediment Load from "Developed" Lands that is assigned to each of the land use categories by calculating relative components from "Impervious" surfaces and from the land use as a whole:</t>
  </si>
  <si>
    <t>Estimated Percent of Impervious Area for corresponding land use categories (MapShed Values)</t>
  </si>
  <si>
    <t>Step 7. Calculate how many acres within the watershed are "Impervious" by multiplying the acres in Step 4 by the percent in Step 6:</t>
  </si>
  <si>
    <t>Estimated Impervious Surfaces for Developed Lands</t>
  </si>
  <si>
    <t>acres    =</t>
  </si>
  <si>
    <t>Total Developed Impervious Surface Area</t>
  </si>
  <si>
    <t>Step 8. Calculate the percent of total developed Impervious Surface for each land use:</t>
  </si>
  <si>
    <t>Percent of Total Impervious Surfaces</t>
  </si>
  <si>
    <t xml:space="preserve">         =</t>
  </si>
  <si>
    <t>Step 9. Distribute the "Total Load Assigned to Developed Lands" from Step 5  to each Developed Land type based on "Impervious" surfaces and the percent of land area in the land use category:</t>
  </si>
  <si>
    <t>pounds  =</t>
  </si>
  <si>
    <t xml:space="preserve"> [ result of Step 5 ]</t>
  </si>
  <si>
    <t>Load assigned to Total Developed Land</t>
  </si>
  <si>
    <t>Load assigned for Total Impervious Land</t>
  </si>
  <si>
    <t xml:space="preserve">Step 10. Apportion Load Assigned to "Impervious" surfaces to each "Developed" land use category by </t>
  </si>
  <si>
    <t>Stream Bank Sediment Load Assigned to Impervious Surface, pounds</t>
  </si>
  <si>
    <t>Step 11. Apportion Load Assigned to Total Land Area to each "Developed" land use category by multiplying</t>
  </si>
  <si>
    <t>Stream Bank Sediment Load Assigned to Total Developed Land Area, pounds</t>
  </si>
  <si>
    <t>Step 12. Combine the loads apportioned to "Impervious" surfaces, from Step 10, and the loads apportioned to Total Developed Land Area, from Step 11:</t>
  </si>
  <si>
    <t>Total Stream Bank Sediment Load per Land Use, pounds</t>
  </si>
  <si>
    <t>Step 13. Calculate the Stream Bank Loading Rate for each "Developed" Land Use, in pounds per acre, by dividing the load from Step 12 by the acres in Step 4:</t>
  </si>
  <si>
    <t>Stream Bank Sediment
Land Use Loading Rate</t>
  </si>
  <si>
    <t>Land Use area, acres</t>
  </si>
  <si>
    <t>Stream Bank
Sediment 
Loading Rate, 
pounds/acre</t>
  </si>
  <si>
    <t>Step 14. Calculate the Stream Bank Loading Rate for "Undeveloped Land" (all other land use categories):</t>
  </si>
  <si>
    <t>Total Stream Bank Load</t>
  </si>
  <si>
    <t xml:space="preserve"> [ from Step 3 ]</t>
  </si>
  <si>
    <t>Load assigned to Developed Lands</t>
  </si>
  <si>
    <t xml:space="preserve"> [ from Step 5 ]</t>
  </si>
  <si>
    <t>Remaining Load assigned to Undeveloped Lands</t>
  </si>
  <si>
    <t>Acres of Undeveloped Lands</t>
  </si>
  <si>
    <t>acres  =</t>
  </si>
  <si>
    <t xml:space="preserve"> [ sum of "Undeveloped Land" from Step 1 ]</t>
  </si>
  <si>
    <t>Stream Bank Sediment Loading rate for Undeveloped Lands</t>
  </si>
  <si>
    <t>Step 15. Add these Stream Bank Sediment Land Use Loading Rates to the Land Use (upland source) Loading Rates for each of the corresponding land uses in the Land Use Loading Rates Look-Up Table to calculate the Total Sediment Loading Rate.</t>
  </si>
  <si>
    <t>This worksheet calculates and apportions the loading rates from the Stream Bank source load for Total Nitrogen from the Christina MapShed Output file into each land use category, using methodology provided from Dr. Barry Evans (Pennsylvania State University), the author of MapShed, and with concurrence from Mr. Bill Brown (PADEP).
The MapShed output file provides the nitrogen load in pounds.</t>
  </si>
  <si>
    <t>Step 1. The land areas for each land use category, in acres, are presented below.</t>
  </si>
  <si>
    <t>Step 2. The Stream Bank Total Nitrogen Load, in pounds, is presented below:</t>
  </si>
  <si>
    <t>Total Nitrogen Load, pounds</t>
  </si>
  <si>
    <t>Step 4. Calculate the total acres in the watershed that are considered "Developed," which includes Low Density Mixed (Ld_Mixed),  Medium Density Mixed (Md_Mixed), High Density Mixed (Hd_Mixed); and Low Density Residential (Ld_Residential), Medium Density Residential (Md_Residential), and High Density Residential (Hd_Residential):</t>
  </si>
  <si>
    <t>Step 5. Calculate the portion of the Stream Bank Total Nitrogen (TN) Load resulting from "Developed" Lands</t>
  </si>
  <si>
    <t>Stream Bank TN Load</t>
  </si>
  <si>
    <t>A) 75% x Stream Bank TN Load x Percent of Developed Lands</t>
  </si>
  <si>
    <t>B) 25% x Stream Bank TN Load</t>
  </si>
  <si>
    <t>Step 6. Calculate the portion of the Stream Bank Total Nitrogen Load from "Developed" Lands that is assigned to each of the land use categories by calculating relative components from "Impervious" surfaces and from the land use as a whole:</t>
  </si>
  <si>
    <t>Step 9. Distribute the "Total Load Assigned to Developed Lands" from Step 5 based on "Impervious" surfaces and assign 40% based on the percent of land area in the land use category.</t>
  </si>
  <si>
    <t>Load assigned to Total Developed Land Area</t>
  </si>
  <si>
    <t>Load assigned for total impervious land area</t>
  </si>
  <si>
    <t>Stream Bank Total Nitrogen Load Assigned to Impervious Surface, pounds</t>
  </si>
  <si>
    <t>Stream Bank Total Nitrogen Load Assigned to Total Developed Land Area, pounds</t>
  </si>
  <si>
    <t>Total Stream Bank Total Nitrogen Load per Land Use, pounds</t>
  </si>
  <si>
    <t>Stream Bank Total Nitrogen
Land Use Loading Rate</t>
  </si>
  <si>
    <t>Stream Bank
Total Nitrogen
Loading Rate, 
pounds/acre</t>
  </si>
  <si>
    <t>Load assigned to
Developed Lands</t>
  </si>
  <si>
    <t>Stream Bank Total Nitrogen Loading rate for Undeveloped Lands</t>
  </si>
  <si>
    <t>Step 15. Add these Stream Bank Total Nitrogen Land Use Loading Rates to the Land Use (upland source) and Farm Animals Loading Rates for each of the corresponding land uses in the Land Use Loading Rates Look-Up Table to calculate the final Total Nitrogen Loading Rate.</t>
  </si>
  <si>
    <t>This worksheet calculates and apportions the loading rates from the Stream Bank source load for Total Phosphorus from the MMW Output file into each land use category, using methodology provided from Dr. Barry Evans (Pennsylvania State University), the author of MapShed, and with concurrence from Mr. Bill Brown (PADEP).
The MapShed output file provides the Phosphorus load in pounds.</t>
  </si>
  <si>
    <t>Step 2. The Stream Bank Total Phosphorus Load, in pounds, is presented below:</t>
  </si>
  <si>
    <t>Total Phosphorus Load, pounds</t>
  </si>
  <si>
    <t>Step 5. Calculate the portion of the Stream Bank Total Phosphorus (TP) Load resulting from "Developed" Lands</t>
  </si>
  <si>
    <t>Stream Bank TP Load</t>
  </si>
  <si>
    <t>A) 75% x Stream Bank TP Load x Percent of Developed Lands</t>
  </si>
  <si>
    <t>B) 25% x Stream Bank TP Load</t>
  </si>
  <si>
    <t>Step 6. Calculate the portion of the Stream Bank Total Phosphorus Load from "Developed" Lands that is assigned to each of the land use categories by calculating relative components from "Impervious" surfaces and from the land use as a whole:</t>
  </si>
  <si>
    <t>Step 9. Distribute the "Total Load Assigned to Developed Lands" from Step 5 to each Developed Land type based on "Impervious" surfaces and the percent of land area in each land use category.</t>
  </si>
  <si>
    <t>Load assigned to Total Impervious Land</t>
  </si>
  <si>
    <t>Stream Bank Total Phosphorus Load Assigned to Impervious Surface, pounds</t>
  </si>
  <si>
    <t>Stream Bank Total Phosphorus Load Assigned to Total Developed Land Area, pounds</t>
  </si>
  <si>
    <t>Total Stream Bank Total Phosphorus Load per Land Use, pounds</t>
  </si>
  <si>
    <t>Stream Bank Total Phosphorus
Land Use Loading Rate</t>
  </si>
  <si>
    <t>Stream Bank
Total Phosphorus
Loading Rate, 
pounds/acre</t>
  </si>
  <si>
    <t>Stream Bank Total Phosphorus Loading rate for Undeveloped Lands</t>
  </si>
  <si>
    <t>Step 15. Add these Stream Bank Total Phosphorus Land Use Loading Rates to the Land Use (upland source) and Farm Animals Loading Rates for each of the corresponding land uses in the Land Use Loading Rates Look-Up Table to calculate the final Total Phosphorus Loading Rate.</t>
  </si>
  <si>
    <t>MUNICIPALITY: For the BMP of choice, consult the Expert Panel Table below  and Report cited below to determine if the BMP is an RR,  ST or Other type of practice.</t>
  </si>
  <si>
    <t>The type of practice, runoff reduction versus stormwater treatment, is calculated differently with different efficiency curves.</t>
  </si>
  <si>
    <t>Source:</t>
  </si>
  <si>
    <t>https://www.chesapeakebay.net/documents/Final-CBP-Approved-Expert-Panel-Report-on-Stormwater-Performance-Standards-LONG_012015.pdf</t>
  </si>
  <si>
    <t>Recommendations of the Expert Panel to Define Removal Rates for New State Stormwater Performance Standards</t>
  </si>
  <si>
    <t>Stewart Comstock, Scott Crafton, Randy Greer, Peter Hill, Dave Hirschman, Shoreh Karimpour, Ken Murin, Jennifer Orr, Fred Rose, Sherry Wilkins</t>
  </si>
  <si>
    <t>Revised: January 20, 2015</t>
  </si>
  <si>
    <t>Prepared by: Tom Schueler and Cecilia Lane, Chesapeake Stormwater Network</t>
  </si>
  <si>
    <t xml:space="preserve">The BMP Removal Rate Curves shown below have been incorporated into this spreadsheet tool. </t>
  </si>
  <si>
    <t>With this approach, pollutant removal efficiencies are calculated based on the amount of runoff (runoff depth) captured per acre of impervious surface.</t>
  </si>
  <si>
    <t>https://www.chesapeakebay.net/channel_files/19172/attach_f--draft_faq_document__template.pdf</t>
  </si>
  <si>
    <t>RunoffDepth_inPerAc</t>
  </si>
  <si>
    <t>TP_RemovalEfficiencyRR_pecent</t>
  </si>
  <si>
    <t>TP_RemovalEfficiencyST_pecent</t>
  </si>
  <si>
    <t>TN_RemovalEfficiencyRR_pecent</t>
  </si>
  <si>
    <t>TN_RemovalEfficiencyST_pecent</t>
  </si>
  <si>
    <t>TSS_RemovalEfficiencyRR_pecent</t>
  </si>
  <si>
    <t>TSS_RemovalEfficiencyST_pecent</t>
  </si>
  <si>
    <t>Project_name</t>
  </si>
  <si>
    <t>BMP_name</t>
  </si>
  <si>
    <t>BMP_class</t>
  </si>
  <si>
    <t>Existing?</t>
  </si>
  <si>
    <t>yearInstalled</t>
  </si>
  <si>
    <t>drainageLandCoverClass</t>
  </si>
  <si>
    <t>drainageArea_ac</t>
  </si>
  <si>
    <t>treatmentDepth_in</t>
  </si>
  <si>
    <t>lengthTreatedStream_ft</t>
  </si>
  <si>
    <t>lengthTreatedRoad_ft</t>
  </si>
  <si>
    <t>impervArea_ac</t>
  </si>
  <si>
    <t>treatmentDepthNormalized_inPerImpervAc</t>
  </si>
  <si>
    <t>treatmentDepthNormalizedManual_inPerImpervAc</t>
  </si>
  <si>
    <t>treatmentDepthNormalizedEffective_inPerImpervAc</t>
  </si>
  <si>
    <t>impervFraction_percent</t>
  </si>
  <si>
    <t>TSS_Load_lbPerY</t>
  </si>
  <si>
    <t>TP_Load_lbPerY</t>
  </si>
  <si>
    <t>TN_Load_lbPerY</t>
  </si>
  <si>
    <t>TSS_ReductionEfficiency_percent</t>
  </si>
  <si>
    <t>TP_ReductionEfficiency_percent</t>
  </si>
  <si>
    <t>TN_ReductionEfficiency_percent</t>
  </si>
  <si>
    <t>TSS_Reduction_lbPerY</t>
  </si>
  <si>
    <t>TSS_Reduction_tonPerY</t>
  </si>
  <si>
    <t>TP_Reduction_lbPerY</t>
  </si>
  <si>
    <t>TN_Reduction_lbPerY</t>
  </si>
  <si>
    <t>BMP Type</t>
  </si>
  <si>
    <t>Year Installed</t>
  </si>
  <si>
    <t>MapShed Land Cover of Drainage Area</t>
  </si>
  <si>
    <t>Street Sweeping* Road Length Swept (ft) - Qualified projects only</t>
  </si>
  <si>
    <t>Impervious Area (ac)</t>
  </si>
  <si>
    <t>Treatment Depth (in/imp. ac)</t>
  </si>
  <si>
    <t>Effective Treatment Depth (in/imp. ac)</t>
  </si>
  <si>
    <t>TSS Load (lbs/yr)</t>
  </si>
  <si>
    <t>TP Load (lbs/yr)</t>
  </si>
  <si>
    <t>TN Load (lbs/yr)</t>
  </si>
  <si>
    <t>TSS Reduction (%)</t>
  </si>
  <si>
    <t>TP Reduction (%)</t>
  </si>
  <si>
    <t>TN Reduction (%)</t>
  </si>
  <si>
    <t>TSS Reduction (lbs/yr)</t>
  </si>
  <si>
    <t>TSS Reduction (tons/yr)</t>
  </si>
  <si>
    <t>TP Reduction (lbs/yr)</t>
  </si>
  <si>
    <t>TN Reduction (lbs/yr)</t>
  </si>
  <si>
    <t>BMP_type</t>
  </si>
  <si>
    <t>lengthTreatedRoad_ft2</t>
  </si>
  <si>
    <t>Street Sweeping</t>
  </si>
  <si>
    <t>Ld_Mixed - Upland</t>
  </si>
  <si>
    <t>Hd_Mixed - Upland</t>
  </si>
  <si>
    <t>Average Annual Loads from Watershed</t>
  </si>
  <si>
    <t>Cover Crops</t>
  </si>
  <si>
    <t>Total N</t>
  </si>
  <si>
    <t>Total P</t>
  </si>
  <si>
    <t>Sediment (tons)</t>
  </si>
  <si>
    <t>Tot N (pounds)</t>
  </si>
  <si>
    <t>Tot P (pounds)</t>
  </si>
  <si>
    <t>Sediment (pounds)</t>
  </si>
  <si>
    <t>Available Acres</t>
  </si>
  <si>
    <t>Acres Treated</t>
  </si>
  <si>
    <t>Reduction Coefficient</t>
  </si>
  <si>
    <t>Lbs/Yr Reduced</t>
  </si>
  <si>
    <t>Buffer acres created</t>
  </si>
  <si>
    <t xml:space="preserve">Stream Bank </t>
  </si>
  <si>
    <t>Part 1: Streambank Load</t>
  </si>
  <si>
    <t>TOTAL</t>
  </si>
  <si>
    <t>Stream Feet Stabilized</t>
  </si>
  <si>
    <t>Tons of Sediment x 2,000 = conversion to pounds</t>
  </si>
  <si>
    <t>Stream Bank (pounds rounded to 1 decimal)</t>
  </si>
  <si>
    <t>Lbs Streambank Load Reduced</t>
  </si>
  <si>
    <t>LAND USES</t>
  </si>
  <si>
    <t>ACRES</t>
  </si>
  <si>
    <t>Total Undeveloped Land</t>
  </si>
  <si>
    <t>Upland Sed Loading Rate</t>
  </si>
  <si>
    <t>Upland TN Loading Rate</t>
  </si>
  <si>
    <t>Upland TP Loading Rate</t>
  </si>
  <si>
    <t>Total Floodplain Lbs Reduced</t>
  </si>
  <si>
    <t>Grazing Land Management</t>
  </si>
  <si>
    <t>Sed Reduction Coeff</t>
  </si>
  <si>
    <t>Cropland Retirement</t>
  </si>
  <si>
    <t>Acres Retired</t>
  </si>
  <si>
    <t>Streambank Stabilization</t>
  </si>
  <si>
    <t>Available Stream Feet</t>
  </si>
  <si>
    <t>Nutrient Management</t>
  </si>
  <si>
    <t>Part 1: Surface Runoff</t>
  </si>
  <si>
    <t>Part 2: Subsurface Flow</t>
  </si>
  <si>
    <t>Total Lbs/Yr Reduced</t>
  </si>
  <si>
    <t>TOTAL LBS REDUCED</t>
  </si>
  <si>
    <t>Entire Watershed</t>
  </si>
  <si>
    <t>Sediment (lbs/yr)</t>
  </si>
  <si>
    <t>TN (lbs/yr)</t>
  </si>
  <si>
    <t>TP (lbs/yr)</t>
  </si>
  <si>
    <t>Initial MMW Loads</t>
  </si>
  <si>
    <t>Loads Removed w/Existing Urban BMPs</t>
  </si>
  <si>
    <t>Loads Removed w/Proposed Urban BMPs</t>
  </si>
  <si>
    <t>Loads Removed w/Existing Agricultural BMPs</t>
  </si>
  <si>
    <t>Loads Removed w/Proposed Agricultural BMPs</t>
  </si>
  <si>
    <t>Total Loads Removed</t>
  </si>
  <si>
    <t>New Reduced Load</t>
  </si>
  <si>
    <t>Total Baseline Load (1)</t>
  </si>
  <si>
    <t>Total Loads Removed from Baseline (2)</t>
  </si>
  <si>
    <t>Percent Reduction from Baseline Load</t>
  </si>
  <si>
    <t>(1) After existing BMPs have been accounted for</t>
  </si>
  <si>
    <t>(2) After proposed BMPs have been accounted for</t>
  </si>
  <si>
    <t>Project Name</t>
  </si>
  <si>
    <t>BMP Name</t>
  </si>
  <si>
    <t>Urban BMP Load Reduction Calculation Table</t>
  </si>
  <si>
    <t>Column1</t>
  </si>
  <si>
    <t>https://support.office.com/en-us/article/overview-of-excel-tables-7ab0bb7d-3a9e-4b56-a3c9-6c94334e492c</t>
  </si>
  <si>
    <t>NOTE: the above table is an Excel Table, which has special features.</t>
  </si>
  <si>
    <t>ADD ROWS by right-clicking a row number inside the Table, and chosing "Insert". This will automatically copy formulas and update links throughout this workbook.</t>
  </si>
  <si>
    <t>Existing TOTAL LBS REDUCED</t>
  </si>
  <si>
    <t>Proposed TOTAL LBS REDUCED</t>
  </si>
  <si>
    <t>LBS REDUCED</t>
  </si>
  <si>
    <t>Model My Watershed BMP Spreadsheet Tool</t>
  </si>
  <si>
    <t>MapShed default Impervious (fraction)</t>
  </si>
  <si>
    <t>Manual Entry Impervious (fraction)</t>
  </si>
  <si>
    <t>Impervious (fraction) to use</t>
  </si>
  <si>
    <t>Md_Mixed - Upland</t>
  </si>
  <si>
    <t>Ld_Residential - Upland</t>
  </si>
  <si>
    <t>Md_Residential - Upland</t>
  </si>
  <si>
    <t>Hd_Residential - Upland</t>
  </si>
  <si>
    <t>impervFraction_defaultMapShed</t>
  </si>
  <si>
    <t>impervFraction_manualEntry</t>
  </si>
  <si>
    <t>impervFraction_toUse</t>
  </si>
  <si>
    <t>Road Width (ft)</t>
  </si>
  <si>
    <t>Stream Restoration - Protocol 1</t>
  </si>
  <si>
    <t>TSS (lbs/ft/yr)</t>
  </si>
  <si>
    <t>TP (lbs/ft/yr)</t>
  </si>
  <si>
    <t>TN (lbs/ft/yr)</t>
  </si>
  <si>
    <t>Default</t>
  </si>
  <si>
    <t>BMP Load and Efficiencies used in the Load Reduction Calculations (DO NOT ALTER):</t>
  </si>
  <si>
    <t>area_ac</t>
  </si>
  <si>
    <t>runoff_in</t>
  </si>
  <si>
    <t>erosion_tons</t>
  </si>
  <si>
    <t>sediment_tons</t>
  </si>
  <si>
    <t>DN_lbs</t>
  </si>
  <si>
    <t>TN_lbs</t>
  </si>
  <si>
    <t>DP_lbs</t>
  </si>
  <si>
    <t>TP_lbs</t>
  </si>
  <si>
    <t>TSS_LoadRate_lbPerAcPerY</t>
  </si>
  <si>
    <t>TSS_LoadRateLand_lbPerAcPerY</t>
  </si>
  <si>
    <t>TSS_LoadRateBanks_lbPerAcPerY</t>
  </si>
  <si>
    <t>TN_LoadRateLand_lbPerAcPerY</t>
  </si>
  <si>
    <t>TN_LoadRateBanks_lbPerAcPerY</t>
  </si>
  <si>
    <t>TN_LoadRateAnimal_lbPerAcPerY</t>
  </si>
  <si>
    <t>TN_LoadRate_lbPerAcPerY</t>
  </si>
  <si>
    <t>TP_LoadRateLand_lbPerAcPerY</t>
  </si>
  <si>
    <t>TP_LoadRateBanks_lbPerAcPerY</t>
  </si>
  <si>
    <t>TP_LoadRateAnimal_lbPerAcPerY</t>
  </si>
  <si>
    <t>TP_LoadRate_lbPerAcPerY</t>
  </si>
  <si>
    <t>Column2</t>
  </si>
  <si>
    <t>Column3</t>
  </si>
  <si>
    <t>Column4</t>
  </si>
  <si>
    <t>Column5</t>
  </si>
  <si>
    <t>Column6</t>
  </si>
  <si>
    <t>Urban Area*</t>
  </si>
  <si>
    <t>* Note: This section is only used if information for an "urban" target area has been provided in Lines 70 and higher in the "MMW Output" tab</t>
  </si>
  <si>
    <t>If the "Urban Area" function is used, it is assumed that any BMPs applied in the "Entire Watershed" are first applied in the "Urban Area"</t>
  </si>
  <si>
    <t xml:space="preserve"> AREA (acres) </t>
  </si>
  <si>
    <t>TN (lb/yr)</t>
  </si>
  <si>
    <t>TP (lb/yr)</t>
  </si>
  <si>
    <t>Sediment (lb/yr)</t>
  </si>
  <si>
    <t>If % reductions are greater than 100, BMP implementation levels need to be reduced to account for only those applied within the Urban Area</t>
  </si>
  <si>
    <t xml:space="preserve">Version: </t>
  </si>
  <si>
    <t>User Manual:</t>
  </si>
  <si>
    <t>* In the MMW model run, Stream Bank and Farm Animal loads are modeled as separate sources/outputs, and therefore must be apportioned into the land use loads. This calculation has been completed herein and the results are summarized on the Look-up Table. Stream Bank loads are mostly attributable to developed lands. Farm Animal loads are attributed to Cropland and Hay/Pasture land uses.</t>
  </si>
  <si>
    <t>THIS TOOL INCLUDES:</t>
  </si>
  <si>
    <t>The percent impervious surface estimates for different types of developed land are based on those used in the original MapShed modelling application, and it is recommended that they not be changed when using this tool. However, they can be overridden using the look-up table provided below.</t>
  </si>
  <si>
    <t>Cell values calculated based on user input</t>
  </si>
  <si>
    <t>Optional user input for treatment depth in non-developed areas (e.g., cropland)</t>
  </si>
  <si>
    <t>Cells requiring user input for all BMPs</t>
  </si>
  <si>
    <t>Tabs that require or allow user input</t>
  </si>
  <si>
    <t>Final results tab.</t>
  </si>
  <si>
    <t>AREA (m^2)*</t>
  </si>
  <si>
    <t>*Only use this input block if land cover distribution is given in square meters (m^2).</t>
  </si>
  <si>
    <t>TOTAL LOADS</t>
  </si>
  <si>
    <t>Existing BMPs</t>
  </si>
  <si>
    <t>Proposed BMPs</t>
  </si>
  <si>
    <t>Comments</t>
  </si>
  <si>
    <t>Anthony Aufdenkampe, LimnoTech</t>
  </si>
  <si>
    <r>
      <rPr>
        <b/>
        <sz val="11"/>
        <color theme="1"/>
        <rFont val="Calibri"/>
        <family val="2"/>
        <scheme val="minor"/>
      </rPr>
      <t>Sections 4 to 7</t>
    </r>
    <r>
      <rPr>
        <sz val="11"/>
        <color theme="1"/>
        <rFont val="Calibri"/>
        <family val="2"/>
        <scheme val="minor"/>
      </rPr>
      <t xml:space="preserve"> Contain supporting documentation that show how the calculations were performed to arrive at the values for the watershed that were presented in the Look-up Table in Section 2.</t>
    </r>
  </si>
  <si>
    <t>https://raw.githubusercontent.com/WikiWatershed/MMW-BMP-spreadsheet-tool/master/docs/MMW_BMP_Spreadsheet_Tool_UserManual.docx</t>
  </si>
  <si>
    <t>Latest Version:</t>
  </si>
  <si>
    <t>https://raw.githubusercontent.com/WikiWatershed/MMW-BMP-spreadsheet-tool/master/MMW_BMP_Spreadsheet_Tool.xlsx.</t>
  </si>
  <si>
    <t>Repository &amp; Archives:</t>
  </si>
  <si>
    <t>https://github.com/WikiWatershed/MMW-BMP-spreadsheet-tool</t>
  </si>
  <si>
    <t xml:space="preserve">LIMITATIONS:  </t>
  </si>
  <si>
    <t xml:space="preserve">This Excel workbook tool was originally developed for use by municipalities that have MS4 discharges and load reduction responsibilities in Pennsylvania. This tool calculates land use pollutant loading rates for TSS, TN and TP using calculations, methodology, assumptions, and data based on, and consistent with, the MapShed model used in PA, and is also consistent with PADEP’s 2017 TMDL and PRP instructions for MS4s. Now that the modeling routines in MapShed have been incorporated into Model My Watershed, this tool can also utilize output from a MMW run for a given watershed. Similarly, it can be used in other geographic areas where similar load reduction estimates have to be made. </t>
  </si>
  <si>
    <t>STREAM LENGTHS</t>
  </si>
  <si>
    <t>FEET</t>
  </si>
  <si>
    <t>KM*</t>
  </si>
  <si>
    <t>Total Length</t>
  </si>
  <si>
    <t>Ag Streams</t>
  </si>
  <si>
    <t>Non-Ag Streams</t>
  </si>
  <si>
    <t>* These values can be obtained from the "Stream" tab in the "Analyze" section of a Model My Watershed run</t>
  </si>
  <si>
    <t>Available stream length (ft) in Non-Ag Areas in the entire watershed (from MMW Output tab)</t>
  </si>
  <si>
    <t>Available stream length (ft) in Non-Ag Areas in the smaller target area (from MMW Output tab)</t>
  </si>
  <si>
    <t>(Note: The values below only pertain to the smaller target area)</t>
  </si>
  <si>
    <t>YearInstalled</t>
  </si>
  <si>
    <t>Existing or Proposed</t>
  </si>
  <si>
    <t>Impervious Fraction LUT</t>
  </si>
  <si>
    <r>
      <rPr>
        <b/>
        <sz val="24"/>
        <color rgb="FF000000"/>
        <rFont val="Calibri"/>
        <family val="2"/>
      </rPr>
      <t>PERFORMANCE STANDARD APPROACH</t>
    </r>
    <r>
      <rPr>
        <sz val="14"/>
        <color rgb="FF000000"/>
        <rFont val="Calibri"/>
        <family val="2"/>
      </rPr>
      <t xml:space="preserve"> for use with urban BMPs (as referenced in PA DEP permit materials; original source citation at bottom of page.)</t>
    </r>
  </si>
  <si>
    <r>
      <t xml:space="preserve">Section 5: Stream Bank </t>
    </r>
    <r>
      <rPr>
        <b/>
        <i/>
        <u/>
        <sz val="12"/>
        <color theme="1"/>
        <rFont val="Arial"/>
        <family val="2"/>
      </rPr>
      <t>Sediment</t>
    </r>
    <r>
      <rPr>
        <b/>
        <i/>
        <sz val="12"/>
        <color theme="1"/>
        <rFont val="Arial"/>
        <family val="2"/>
      </rPr>
      <t xml:space="preserve"> Loading Rates Worksheet</t>
    </r>
  </si>
  <si>
    <r>
      <t xml:space="preserve">Section 6: Stream Bank </t>
    </r>
    <r>
      <rPr>
        <b/>
        <i/>
        <u/>
        <sz val="12"/>
        <color theme="1"/>
        <rFont val="Arial"/>
        <family val="2"/>
      </rPr>
      <t>Nitrogen</t>
    </r>
    <r>
      <rPr>
        <b/>
        <i/>
        <sz val="12"/>
        <color theme="1"/>
        <rFont val="Arial"/>
        <family val="2"/>
      </rPr>
      <t xml:space="preserve"> Loading Rates Worksheet</t>
    </r>
  </si>
  <si>
    <r>
      <t xml:space="preserve">Section 7: Stream Bank </t>
    </r>
    <r>
      <rPr>
        <b/>
        <i/>
        <u/>
        <sz val="12"/>
        <color theme="1"/>
        <rFont val="Arial"/>
        <family val="2"/>
      </rPr>
      <t>Phosphorus</t>
    </r>
    <r>
      <rPr>
        <b/>
        <i/>
        <sz val="12"/>
        <color theme="1"/>
        <rFont val="Arial"/>
        <family val="2"/>
      </rPr>
      <t xml:space="preserve"> Loading Rates Worksheet</t>
    </r>
  </si>
  <si>
    <r>
      <rPr>
        <b/>
        <sz val="11"/>
        <color theme="1"/>
        <rFont val="Arial"/>
        <family val="2"/>
      </rPr>
      <t xml:space="preserve">Step 1. </t>
    </r>
    <r>
      <rPr>
        <sz val="11"/>
        <color theme="1"/>
        <rFont val="Arial"/>
        <family val="2"/>
      </rPr>
      <t>The Stream Bank Sediment Load, in tons, and land areas for each land use category, in acres, are presented below.</t>
    </r>
  </si>
  <si>
    <t xml:space="preserve">Year: </t>
  </si>
  <si>
    <t>Section 2: Landcover Loading Rates Look-Up Table</t>
  </si>
  <si>
    <t>INSTRUCTIONS: Each row in the table below can represent either different areas of land use/cover within a single planning area (e.g., municipality), or different BMP drainage areas within a given planning area.</t>
  </si>
  <si>
    <t>Note: The use of the "Stream Restoration" BMP type in this tab is only for streams associated with developed land areas.</t>
  </si>
  <si>
    <t>Stream Restoration activities in agricultural areas should be addressed separately in the "Agricultural BMPs" tab.</t>
  </si>
  <si>
    <r>
      <rPr>
        <b/>
        <sz val="11"/>
        <color theme="1"/>
        <rFont val="Calibri"/>
        <family val="2"/>
        <scheme val="minor"/>
      </rPr>
      <t>Detailed Instructions</t>
    </r>
    <r>
      <rPr>
        <sz val="11"/>
        <color theme="1"/>
        <rFont val="Calibri"/>
        <family val="2"/>
        <scheme val="minor"/>
      </rPr>
      <t xml:space="preserve"> are provided in a user manual that can be obtained at the following link:</t>
    </r>
  </si>
  <si>
    <t>Livestock Fraction</t>
  </si>
  <si>
    <t>Poultry Fraction</t>
  </si>
  <si>
    <t>FARM ANIMAL DATA</t>
  </si>
  <si>
    <t>Chickens, Broilers</t>
  </si>
  <si>
    <t>Chickens, Layers</t>
  </si>
  <si>
    <t>Cows, Beef</t>
  </si>
  <si>
    <t>Cows, Dairy</t>
  </si>
  <si>
    <t>Horses</t>
  </si>
  <si>
    <t>Pigs/Hogs/Swine</t>
  </si>
  <si>
    <t>Sheep</t>
  </si>
  <si>
    <t>Turkeys</t>
  </si>
  <si>
    <t>AVG WT KG</t>
  </si>
  <si>
    <t>TOTAL KG</t>
  </si>
  <si>
    <t>TOTAL AEU</t>
  </si>
  <si>
    <t>KG N/AEU/DAY</t>
  </si>
  <si>
    <t>KG P/AEU/DAY</t>
  </si>
  <si>
    <t>TOTAL N/DAY</t>
  </si>
  <si>
    <t>TOTAL P/DAY</t>
  </si>
  <si>
    <t>STREAM LENGTHS*</t>
  </si>
  <si>
    <t>Daily Totals</t>
  </si>
  <si>
    <t>Poultry Totals</t>
  </si>
  <si>
    <t>Livestock Totals</t>
  </si>
  <si>
    <t>* These values can be obtained from the "Animal" tab in the "Analyze" section of a Model My Watershed run</t>
  </si>
  <si>
    <t>TYPE*</t>
  </si>
  <si>
    <t>NUMBER*</t>
  </si>
  <si>
    <t>Contour Farmimg/Strip Cropping</t>
  </si>
  <si>
    <t>Acres Implemented</t>
  </si>
  <si>
    <t>Riparian Forest Buffers</t>
  </si>
  <si>
    <t>The agricultural BMPs listed above cannot overlap. If the value to the left is less than zero, acres for one or more of the BMPs listed above must be reduced to bring this value at or above zero.</t>
  </si>
  <si>
    <t>Note: 1 acre of buffer treats 2 acres of cropland for TP and sediment, and 4 acres of cropland for TN</t>
  </si>
  <si>
    <t>Total acres of Nutrient Management (both existing and proposed) that have been alloted in this tab</t>
  </si>
  <si>
    <t>Total acres of the above BMPs (both existing and proposed) that have been allotted in this tab</t>
  </si>
  <si>
    <t>If the value to the left is less than zero, acres for one or more of the BMPs listed above must be reduced to bring this value at or above zero.</t>
  </si>
  <si>
    <t>Dirt &amp; Gravel Road Repair</t>
  </si>
  <si>
    <t>Feet of Road Length Repaired</t>
  </si>
  <si>
    <t>User-Supplied Value</t>
  </si>
  <si>
    <t>Sed lb/ft</t>
  </si>
  <si>
    <t>TN lb/ft</t>
  </si>
  <si>
    <t>TP lb/ft</t>
  </si>
  <si>
    <t>SB Sed Load Rate</t>
  </si>
  <si>
    <t>SB TN Load Rate</t>
  </si>
  <si>
    <t>SB TP Load Rate</t>
  </si>
  <si>
    <t>Pollutant Reduction (lb/ft)</t>
  </si>
  <si>
    <t>Calculated</t>
  </si>
  <si>
    <t>Reid Christianson, Center for Watershed Protection &amp; University of Illinois</t>
  </si>
  <si>
    <t>Land Cover: NLCD2011 --&gt; MapShed</t>
  </si>
  <si>
    <t>The National Land Cover Database 2011 (NLCD2011) categories are mapped to MapShed/GWLF-E Land Use categories according to the following table.</t>
  </si>
  <si>
    <t>NOTE 1: Some NLCD categories are combined into a single MapShed category, whereas some MapShed categories are left unused.</t>
  </si>
  <si>
    <t>NOTE 2: Curve numbers for MMW are generated from the Impervious Surface percentages estimated from NLCD, and given above.</t>
  </si>
  <si>
    <t>NLCD Legend:</t>
  </si>
  <si>
    <t>https://www.mrlc.gov/nlcd11_leg.php</t>
  </si>
  <si>
    <t>NLCD Code</t>
  </si>
  <si>
    <t>NLCD name</t>
  </si>
  <si>
    <t>MapShed Code</t>
  </si>
  <si>
    <t>Land Use term in GMS file</t>
  </si>
  <si>
    <t>Mapshed Source List Order</t>
  </si>
  <si>
    <t>Mapshed Source Terms</t>
  </si>
  <si>
    <t>MMW Source List Order</t>
  </si>
  <si>
    <t>MMW Source Terms (v1.23.0)</t>
  </si>
  <si>
    <t>?</t>
  </si>
  <si>
    <t>Ld_Open_Space (formerly Ld_Residential)</t>
  </si>
  <si>
    <t>NOTE: For MMW versions &lt;=v1.23</t>
  </si>
  <si>
    <t>Dwarf Scrub</t>
  </si>
  <si>
    <t>NA – Alaska only</t>
  </si>
  <si>
    <t>Sedge/Herbaceous</t>
  </si>
  <si>
    <t>Lichens</t>
  </si>
  <si>
    <t>Moss</t>
  </si>
  <si>
    <t>Low-Density Open Space</t>
  </si>
  <si>
    <t>NOTE: For MMW versions &gt;-=v1.24</t>
  </si>
  <si>
    <t>Note: The loads are taken from cells E36 and F36 from the MMW Output worksheet</t>
  </si>
  <si>
    <t>Note: The sediment load is taken from Cell D38 in the MMW Output worksheet</t>
  </si>
  <si>
    <t>This is A) 75% of the Stream Bank Sediment Load times the percent of developed lands in the watershed</t>
  </si>
  <si>
    <t>plus B) 25% of the Stream Bank Sediment Load:</t>
  </si>
  <si>
    <t>This is A) 75% of the Stream Bank Total Nitrogen Load times the percent of developed lands in the watershed</t>
  </si>
  <si>
    <t>plus B) 25% of the Stream Bank Total Nitrogen Load:</t>
  </si>
  <si>
    <t>This is A) 75% of the Stream Bank Total Phosphorus Load times the percent of developed lands in the</t>
  </si>
  <si>
    <t>watershed plus B) 25% of the Stream Bank Total Phosphorus Load:</t>
  </si>
  <si>
    <t xml:space="preserve">Examples of various options for characterizing different types of project areas are provided in the "Example" spreadsheet that is also available for downloading from the Model My Watershed site. </t>
  </si>
  <si>
    <t>Conservation Tillage (15-29% residue left)</t>
  </si>
  <si>
    <t>Conservation Tillage (30-59% residue left)</t>
  </si>
  <si>
    <t>Conservation Tillage (At least 60% residue left)</t>
  </si>
  <si>
    <t>Riparian Grass Buffers</t>
  </si>
  <si>
    <t>Streambank Fencing with Forest Buffer</t>
  </si>
  <si>
    <t>ERROR CHECKING</t>
  </si>
  <si>
    <t>Streambank Fencing with Grass Buffer</t>
  </si>
  <si>
    <t>Reduction Coefficient (Poultry)</t>
  </si>
  <si>
    <t>Reduction Coefficient (Livestock)</t>
  </si>
  <si>
    <t>***Riparian Buffer DATA CHECK***</t>
  </si>
  <si>
    <t>Note: Do not double-count w/Cover Crops, Ag E&amp;S, Cropland Retirement, Contour Farming/Strip Cropping, Conservation Tillage (30-59%), and Conservation Tillage (at least 60%)</t>
  </si>
  <si>
    <t>Note: Do not double-count w/Cover Crops, Ag E&amp;S, Cropland Retirement, Contour Farming/Strip Cropping, Conservation Tillage (15-29%), and Conservation Tillage (at least 60%)</t>
  </si>
  <si>
    <t>Note: Do not double-count w/Cover Crops, Ag E&amp;S, Cropland Retirement, Contour Farming/Strip Cropping, Conservation Tillage (15-29%), and Conservation Tillage (30-59%)</t>
  </si>
  <si>
    <t>Note: Do not double-count w/Conservation Tillage (all types), Ag E&amp;S, Cropland Retirement, and Contour Farming/Strip Farming</t>
  </si>
  <si>
    <t>Note: Do not double-count w/Cover Crops, Conservation Tillage (all types), Ag E&amp;S, and Contour Farming/Strip Cropping</t>
  </si>
  <si>
    <t>Note: 1 acre of buffer treats 2 acres of pasture for TP and sediment, and 4 acres of pasture for TN</t>
  </si>
  <si>
    <t>This also accounts for 1:1 change from cropland to open land</t>
  </si>
  <si>
    <t>This also accounts for 1:1 change from cropland to forest</t>
  </si>
  <si>
    <t>The "percent of animals treated" cells on rows 112 and 113 on this tab are based on the above numbers. If the animal numbers are incorrect, or too low, they should be modified on the "MMW Output" tab.</t>
  </si>
  <si>
    <t>Total cropland acres available for conversion and/or treatment</t>
  </si>
  <si>
    <t>Total acres of cropland used for existing and future buffers</t>
  </si>
  <si>
    <t>If the value to the left is less than zero, cropland acres associated with existing and/or future buffers must be reduced to bring this value at or above zero.</t>
  </si>
  <si>
    <t>Total pasture acres available for conversion and/or treatment</t>
  </si>
  <si>
    <t>If the value to the left is less than zero, pasture acres associated with existing and/or future buffers must be reduced to bring this value at or above zero.</t>
  </si>
  <si>
    <t>***Streambank Fencing DATA CHECK***</t>
  </si>
  <si>
    <t>Animal Waste Management Systems</t>
  </si>
  <si>
    <t>Type</t>
  </si>
  <si>
    <t>Bioretention/raingardens - A/B soils, underdrain</t>
  </si>
  <si>
    <t>Bioretention/raingardens - A/B soils, no underdrain</t>
  </si>
  <si>
    <t>Bioretention/raingardens - C/D soils, underdrain</t>
  </si>
  <si>
    <t>Bioswale</t>
  </si>
  <si>
    <t>Dry Detention Ponds and Hydrodynamic Structures</t>
  </si>
  <si>
    <t>Dry Extended Detention Ponds</t>
  </si>
  <si>
    <t>Filtering Practices</t>
  </si>
  <si>
    <t>Infiltration Practices w/ Sand, Veg. - A/B soils, no underdrain</t>
  </si>
  <si>
    <t>Infiltration Practices w/o Sand, Veg. - A/B soils, no underdrain</t>
  </si>
  <si>
    <t>Permeable Pavement w/o Sand, Veg. - A/B soils, underdrain</t>
  </si>
  <si>
    <t>Permeable Pavement w/o Sand, Veg. - A/B soils, no underdrain</t>
  </si>
  <si>
    <t>Permeable Pavement w/ Sand, Veg. - A/B soils, underdrain</t>
  </si>
  <si>
    <t>Permeable Pavement w/ Sand, Veg. - A/B soils, no underdrain</t>
  </si>
  <si>
    <t>Permeable Pavement w/o Sand, Veg. - C/D soils, underdrain</t>
  </si>
  <si>
    <t>Permeable Pavement w/ Sand, Veg. - C/D soils, underdrain</t>
  </si>
  <si>
    <t>Vegetated Open Channels - A/B soils, no underdrain</t>
  </si>
  <si>
    <t>Vegetated Open Channels - C/D soils, no underdrain</t>
  </si>
  <si>
    <t>Wet Ponds and Wetlands</t>
  </si>
  <si>
    <t>Existing</t>
  </si>
  <si>
    <t>System 1</t>
  </si>
  <si>
    <t>System 2</t>
  </si>
  <si>
    <t>Pine Creek</t>
  </si>
  <si>
    <t>Mall</t>
  </si>
  <si>
    <t>Area 1</t>
  </si>
  <si>
    <t>Area 2</t>
  </si>
  <si>
    <t>RR</t>
  </si>
  <si>
    <t>ST</t>
  </si>
  <si>
    <t>Stream Restoration</t>
  </si>
  <si>
    <t>Proposed</t>
  </si>
  <si>
    <t>List of Urban BMPs</t>
  </si>
  <si>
    <t>Manure Treatment (Thermo Chemical)</t>
  </si>
  <si>
    <t>Manure Treatment (Composting)</t>
  </si>
  <si>
    <t>Manure Transport (Out of the Watershed)</t>
  </si>
  <si>
    <t>Tons (Dry Wt) of Poultry Manure</t>
  </si>
  <si>
    <t>Tons (Dry Wt) of Livestock Manure</t>
  </si>
  <si>
    <t>***Animal Manure DATA CHECK***</t>
  </si>
  <si>
    <t>Animal waste N available for treatment</t>
  </si>
  <si>
    <t>Animal waste P available for treatment</t>
  </si>
  <si>
    <t>Available animal waste P treated by existing and proposed systems (including AWMS, Thermo Chemical treatment, Composting and Transport)</t>
  </si>
  <si>
    <t>If the value to the left is less than zero, one or more values in the "percent treated" or "tons transported"cells for AWMS, Thermo Chemical treatment, Composting or Transport must be reduced to bring this value at or above zero.</t>
  </si>
  <si>
    <t>Pct of Poultry Load Treated (0-100)</t>
  </si>
  <si>
    <t>Pct of Livestock Load Treated (0-100)</t>
  </si>
  <si>
    <t>Avg Percent N and P in Dry Poultry Manure</t>
  </si>
  <si>
    <t>Avg Percent N and P in Dry Livestock Manure</t>
  </si>
  <si>
    <t>SquareFeet</t>
  </si>
  <si>
    <t>CubicFeet</t>
  </si>
  <si>
    <t>BMP Surface Area (Square Feet)</t>
  </si>
  <si>
    <t>BMP Surface Area (Acres)</t>
  </si>
  <si>
    <t>BMP3</t>
  </si>
  <si>
    <t>New project</t>
  </si>
  <si>
    <t>LoadRatio1</t>
  </si>
  <si>
    <t>LoadRatio2</t>
  </si>
  <si>
    <t>BMP4</t>
  </si>
  <si>
    <t>BMP Loading Ratio2 (BMP Water Vol / Runoff Vol from 2.5" Rain )</t>
  </si>
  <si>
    <t>Drainage Area Treated by BMP (Acres)</t>
  </si>
  <si>
    <t>Infiltration-type BMPs for capturing runoff</t>
  </si>
  <si>
    <t>Non-Performance Standard BMPs</t>
  </si>
  <si>
    <t>Other BMPs</t>
  </si>
  <si>
    <t>Special Notes for Non-Performance Standard BMPs</t>
  </si>
  <si>
    <t>If an individual planning area has multiple "developed land" types, each type can be represented in separate rows, with each row having the same "Project Name". If it is assumed that the planning area is being treated by one BMP system, then the "Treatment Depth" should be the same for each row.</t>
  </si>
  <si>
    <t>BMP5</t>
  </si>
  <si>
    <t>Average of SCP1 - SCP11</t>
  </si>
  <si>
    <t>Forest Buffer</t>
  </si>
  <si>
    <t>Varies</t>
  </si>
  <si>
    <t>BMP6</t>
  </si>
  <si>
    <t>Performance Standard BMPs (reduction coefficients are calculated as shown above)</t>
  </si>
  <si>
    <t>Total Available Animal Load (lbs)</t>
  </si>
  <si>
    <t>Poultry Load (lbs)</t>
  </si>
  <si>
    <t>Livestock Load (lbs)</t>
  </si>
  <si>
    <t>Available animal waste N reduced by existing and proposed systems (including AWMS, Thermo Chemical treatment, Composting and Transport)</t>
  </si>
  <si>
    <t>ORIGINAL LOAD (LBS)</t>
  </si>
  <si>
    <t>*** Ag Field BMP DATA CHECK ***</t>
  </si>
  <si>
    <t>Loading Rates (lbs/ac)</t>
  </si>
  <si>
    <t>Existing Floodplain Restoration</t>
  </si>
  <si>
    <t>Proposed Floodplain Restoration</t>
  </si>
  <si>
    <t>Part 2: Upstream Load</t>
  </si>
  <si>
    <t>Total Acres Treated</t>
  </si>
  <si>
    <t>Reduction Coefficients</t>
  </si>
  <si>
    <t>Upstream Load</t>
  </si>
  <si>
    <t>Lbs Upstream Load Reduced</t>
  </si>
  <si>
    <t>Acres Treated per Acre Restored</t>
  </si>
  <si>
    <t>User-Supplied Values</t>
  </si>
  <si>
    <t>Loads Removed w/Existing Floodplain Restoration BMPs</t>
  </si>
  <si>
    <t>Loads Removed w/Proposed Floodplain Restoration BMPs</t>
  </si>
  <si>
    <t>Filter Strip - Runoff Reduction</t>
  </si>
  <si>
    <t>Filter Strip - Stormwater Treatment</t>
  </si>
  <si>
    <t>TSS Pct Red Coeff</t>
  </si>
  <si>
    <t>TP Pct Red Coeff</t>
  </si>
  <si>
    <t>TN Pct Red Coeff</t>
  </si>
  <si>
    <t>Streambank Erosion</t>
  </si>
  <si>
    <t>Sed Load Rate (lb/ft/yr)</t>
  </si>
  <si>
    <t>TN Load Rate (lb/ft/yr)</t>
  </si>
  <si>
    <t>TP Load Rate (lb/ft/yr)</t>
  </si>
  <si>
    <t>This occurs when AOI is less than about 2 square kilometers.</t>
  </si>
  <si>
    <t>Street Sweeping, SCP-1</t>
  </si>
  <si>
    <t>Street Sweeping, SCP-2</t>
  </si>
  <si>
    <t>Street Sweeping, SCP-3</t>
  </si>
  <si>
    <t>Street Sweeping, SCP-4</t>
  </si>
  <si>
    <t>Street Sweeping, SCP-5</t>
  </si>
  <si>
    <t>Street Sweeping, SCP-6</t>
  </si>
  <si>
    <t>Street Sweeping, SCP-7</t>
  </si>
  <si>
    <t>Street Sweeping, SCP-8</t>
  </si>
  <si>
    <t>Street Sweeping, SCP-9</t>
  </si>
  <si>
    <t>Street Sweeping, SCP-10</t>
  </si>
  <si>
    <t>Street Sweeping, SCP-11</t>
  </si>
  <si>
    <t>Minimum</t>
  </si>
  <si>
    <r>
      <rPr>
        <b/>
        <sz val="11"/>
        <color theme="1"/>
        <rFont val="Calibri"/>
        <family val="2"/>
        <scheme val="minor"/>
      </rPr>
      <t>Section 2</t>
    </r>
    <r>
      <rPr>
        <sz val="11"/>
        <color theme="1"/>
        <rFont val="Calibri"/>
        <family val="2"/>
        <scheme val="minor"/>
      </rPr>
      <t xml:space="preserve"> (Loading Rate Look-Up Tables) contains the Look-Up Tables for different sources that incorporate Land Use (upland source), Stream Bank (erosion) and Farm Animal Loads. The "Total" (pollutant) Loading Rate values in these Tables are used to calculate Baseline and Existing loads as well as "future" loads from proposed urban and agricultural BMP load reductions. </t>
    </r>
  </si>
  <si>
    <t>MMW Model Output for a Sub-Watershed within a Larger Watershed draining to a restored floodplain site</t>
  </si>
  <si>
    <t>4) Street Sweeping BMPs require input values for Road Length Swept</t>
  </si>
  <si>
    <t>Treatment Depth (in/ac) for Manual Override - use if no impervious area</t>
  </si>
  <si>
    <t>Water Volume Captured by BMP (Cubic Feet)</t>
  </si>
  <si>
    <t>Impervious Surface (%)</t>
  </si>
  <si>
    <t>Streambank</t>
  </si>
  <si>
    <t>Percent of Original Load (0-100)</t>
  </si>
  <si>
    <t>Percent Reduction (0-100)</t>
  </si>
  <si>
    <t>These tabs contain calculated values or provide descriptive information. No user input is required.</t>
  </si>
  <si>
    <r>
      <t xml:space="preserve">This page is where the output data from a multi-year MMW model run is to be copied and pasted into this workbook (either manually or automatically) and is the source data for calculations throughout the workbook. 
1. Source File Name - User-specified filename for the output file from MMW (optional).
2. Watershed Name - User-specified name of a watershed for which land use loading rates are being calculated (optional).
3. Source file - The annual pollutant load and area data, in </t>
    </r>
    <r>
      <rPr>
        <b/>
        <sz val="11"/>
        <color rgb="FFFF0000"/>
        <rFont val="Arial"/>
        <family val="2"/>
      </rPr>
      <t>Metric Units</t>
    </r>
    <r>
      <rPr>
        <sz val="10"/>
        <color theme="1"/>
        <rFont val="Arial"/>
        <family val="2"/>
      </rPr>
      <t xml:space="preserve">, is copied directly from the MMW output file into the different locations highlighted in </t>
    </r>
    <r>
      <rPr>
        <b/>
        <sz val="12"/>
        <color theme="9" tint="-0.249977111117893"/>
        <rFont val="Arial"/>
        <family val="2"/>
      </rPr>
      <t>GREEN</t>
    </r>
    <r>
      <rPr>
        <sz val="10"/>
        <color theme="1"/>
        <rFont val="Arial"/>
        <family val="2"/>
      </rPr>
      <t xml:space="preserve"> below and subsequently converted to English Units to the columns highlighted in </t>
    </r>
    <r>
      <rPr>
        <b/>
        <sz val="12"/>
        <color theme="8" tint="-0.249977111117893"/>
        <rFont val="Arial"/>
        <family val="2"/>
      </rPr>
      <t>BLUE</t>
    </r>
    <r>
      <rPr>
        <sz val="10"/>
        <color theme="1"/>
        <rFont val="Arial"/>
        <family val="2"/>
      </rPr>
      <t xml:space="preserve"> below. 
4. Year - the year modeled (optional).
</t>
    </r>
  </si>
  <si>
    <t>Optional user input of descriptive information</t>
  </si>
  <si>
    <t>Treatment Depth (inches of rainfall)</t>
  </si>
  <si>
    <t>BMP Loading Ratio1 (Impervious Area / BMP Surface Area)</t>
  </si>
  <si>
    <t>Ignore</t>
  </si>
  <si>
    <t xml:space="preserve">Similarly, a given planning area can have multiple "BMP drainage areas" (i.e., areas treated by different BMP systems). If a BMP drainage area has multiple "developed land" types, separate "land use areas" can be represented on separate rows, with each row having the same "Project Name". Also, in the case of "RR" and "ST" BMP types, the treatment depth should be the same for any row associated with the same Project Name. </t>
  </si>
  <si>
    <t>Stream feet buffered (optional-not used)</t>
  </si>
  <si>
    <t>Ag E&amp;S / Soil &amp; Water Conservation Plan</t>
  </si>
  <si>
    <t>Assumes plans are only applied to cropland</t>
  </si>
  <si>
    <t>Total cropland acres available for both existing and proposed Cover Crops, Conservation Tillage (all types), Ag E&amp;S / Conservation Plans, Cropland Retirement and Contour Farming/Strip Cropping</t>
  </si>
  <si>
    <t>This tool provides the ability to use results from a Model My Watershed "multi-year" model run for the purpose of estimating loading rates for different "source areas", and then subsequently calculating potential load reductions that might result from the implementation of both urban and agricultural BMPs in a given watershed.</t>
  </si>
  <si>
    <t>* The Look-Up Tables also show loads calculated by the MMW model from septic, groundwater and point sources. However, per PA DEP guidance, these loads are NOT included in the land use loading rates presented in the Table. These loads are not loads that enter the MS4 and therefore these loads are not a pollutant load that is required to be addressed in the MS4 program. Please note, when comparing the nitrogen and phosphorus loading rates to other literature values for a watershed, the rates in this workbook may appear lower by land use for nutrients because of these adjustments. However, since groundwater loads of nitrogen and phosphorus are generally attributed to long-term agricultural practices, load reductions for this source can be simulated using the "Nutrient Management" option found in the "Agricultural BMPs" tab.</t>
  </si>
  <si>
    <r>
      <rPr>
        <b/>
        <sz val="11"/>
        <color theme="1"/>
        <rFont val="Calibri"/>
        <family val="2"/>
        <scheme val="minor"/>
      </rPr>
      <t>Section 3</t>
    </r>
    <r>
      <rPr>
        <sz val="11"/>
        <color theme="1"/>
        <rFont val="Calibri"/>
        <family val="2"/>
        <scheme val="minor"/>
      </rPr>
      <t xml:space="preserve"> (MMW Output) contains results from the MMW output file that are used for calculations throughout this workbook. </t>
    </r>
  </si>
  <si>
    <t>If runoff from a land use/cover type with NO impervious cover (e.g., Cropland) is treated by a BMP system (either existing or proposed), use the Manual Override (column R) to type in the treatment depth instead of column Q as would normally be done.</t>
  </si>
  <si>
    <t>Cells requiring user input for BMP efficiencies calculated using Performance Standard approach (i.e., RR and ST BMP Types). Drainage Area not needed for Stream Restoration BMP. Also, Treatment Depth not needed for all "non-Performance Standard" BMPs.</t>
  </si>
  <si>
    <t>Cells requiring user input for non-Performance Standard BMPs except for Stream Restoration, Street Sweeping and Forest Buffers. .</t>
  </si>
  <si>
    <t>2) Water Volume is used for other "non-infiltration" BMPs (see Tech Docs tab)</t>
  </si>
  <si>
    <t>1) Surface Area is only used for Forest Buffers and "infiltration" BMPs (see Tech Docs tab)</t>
  </si>
  <si>
    <t>3) Stream Restoration BMPs require input values for stream length</t>
  </si>
  <si>
    <t>Stream Restoration length (feet) - Qualified projects only</t>
  </si>
  <si>
    <r>
      <t>Land Use/Cover Distribution for the Smaller Urban Planning Area (</t>
    </r>
    <r>
      <rPr>
        <b/>
        <sz val="11"/>
        <color rgb="FFFF0000"/>
        <rFont val="Calibri"/>
        <family val="2"/>
        <scheme val="minor"/>
      </rPr>
      <t>Note:</t>
    </r>
    <r>
      <rPr>
        <b/>
        <sz val="11"/>
        <color theme="1"/>
        <rFont val="Calibri"/>
        <family val="2"/>
        <scheme val="minor"/>
      </rPr>
      <t xml:space="preserve"> If this tab is being used for MS4 reductions, the total acres of developed land used should not exceed those given below).</t>
    </r>
  </si>
  <si>
    <t>This also ccounts for 1:1 change from pasture to open land</t>
  </si>
  <si>
    <t>This also accounts for 1:1 change from pasture to forest</t>
  </si>
  <si>
    <t>Note: 1 acre of buffer treats 2 acres of pasture for TP and sediment, and 4 acres of cropland for TN</t>
  </si>
  <si>
    <t>Note: Animal nutrient loads are based on the total numbers of poultry and livestock animals specified in the "MMW Ouput" tab (see cells L27 through L34).</t>
  </si>
  <si>
    <t>The "percent of animals treated" cells on rows 92 and 93 on this tab are based on the above numbers. If the animal numbers are incorrect, or too low, they should be modified on the "MMW Output" tab.</t>
  </si>
  <si>
    <t>The "percent of animals treated" cells on rows 102 and 103 on this tab are based on the above numbers. If the animal numbers are incorrect, or too low, they should be modified on the "MMW Output" tab.</t>
  </si>
  <si>
    <t>The "percent of animals treated" cells on rows 122 and 123 on this tab are based on the above numbers. If the animal numbers are incorrect, or too low, they should be modified on the "MMW Output" tab.</t>
  </si>
  <si>
    <t>Note: Do not double-count w/Cover Crops, Conservation Tillage (all types), Cropland Retirement, and Ag E&amp;S / Conservation Plans</t>
  </si>
  <si>
    <t>.</t>
  </si>
  <si>
    <t>Total acres available for Nutrient Management (i.e., total available cropland [B5] - acres of retired cropland [J50 + O50]).</t>
  </si>
  <si>
    <t>Total acres of pasture used for or treated by existing and future fencing/buffers</t>
  </si>
  <si>
    <r>
      <t xml:space="preserve">This tab is used to estimate pollutant loads delivered to a location on a stream where a floodplain restoration project currently exists or is being proposed. In this case, the </t>
    </r>
    <r>
      <rPr>
        <b/>
        <sz val="10"/>
        <color theme="1"/>
        <rFont val="Arial"/>
        <family val="2"/>
      </rPr>
      <t>"Delineate watershed"</t>
    </r>
    <r>
      <rPr>
        <sz val="10"/>
        <color theme="1"/>
        <rFont val="Arial"/>
        <family val="2"/>
      </rPr>
      <t xml:space="preserve"> tool in Model My Watershed is used to define the "upstream area" draining to the location where the floodplain project is to be implemented. Similar to the "MMW Output" tab, pollutant load and landcover results (</t>
    </r>
    <r>
      <rPr>
        <b/>
        <i/>
        <sz val="10"/>
        <color theme="1"/>
        <rFont val="Arial"/>
        <family val="2"/>
      </rPr>
      <t>in metric units)</t>
    </r>
    <r>
      <rPr>
        <sz val="10"/>
        <color theme="1"/>
        <rFont val="Arial"/>
        <family val="2"/>
      </rPr>
      <t xml:space="preserve"> provided in the downloadable *.csv files are to be copied into the </t>
    </r>
    <r>
      <rPr>
        <b/>
        <sz val="10"/>
        <color theme="9" tint="-0.249977111117893"/>
        <rFont val="Arial"/>
        <family val="2"/>
      </rPr>
      <t>GREEN</t>
    </r>
    <r>
      <rPr>
        <sz val="10"/>
        <rFont val="Arial"/>
        <family val="2"/>
      </rPr>
      <t xml:space="preserve"> cells highlighted below. These values are automatically converted to English units in the table below from which the loading rates shown in </t>
    </r>
    <r>
      <rPr>
        <b/>
        <u/>
        <sz val="10"/>
        <color rgb="FFFF0000"/>
        <rFont val="Arial"/>
        <family val="2"/>
      </rPr>
      <t>red</t>
    </r>
    <r>
      <rPr>
        <sz val="10"/>
        <rFont val="Arial"/>
        <family val="2"/>
      </rPr>
      <t xml:space="preserve"> are calculated.</t>
    </r>
    <r>
      <rPr>
        <sz val="10"/>
        <color theme="1"/>
        <rFont val="Arial"/>
        <family val="2"/>
      </rPr>
      <t xml:space="preserve">
</t>
    </r>
  </si>
  <si>
    <t>Detention-type BMPs for capturing runoff</t>
  </si>
  <si>
    <t>Acres Restored/Created</t>
  </si>
  <si>
    <t>2022-07-05 at 1:30am 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</si>
</sst>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_(* \(#,##0.00\);_(* &quot;-&quot;??_);_(@_)"/>
    <numFmt numFmtId="164" formatCode="#,##0.0"/>
    <numFmt numFmtId="165" formatCode="_(* #,##0.0_);_(* \(#,##0.0\);_(* &quot;-&quot;??_);_(@_)"/>
    <numFmt numFmtId="166" formatCode="_(* #,##0_);_(* \(#,##0\);_(* &quot;-&quot;??_);_(@_)"/>
    <numFmt numFmtId="167" formatCode="0.0%"/>
    <numFmt numFmtId="168" formatCode="0.0"/>
    <numFmt numFmtId="169" formatCode="0.000"/>
    <numFmt numFmtId="170" formatCode="0.0000"/>
    <numFmt numFmtId="171" formatCode="0.00000"/>
    <numFmt numFmtId="172" formatCode="#,##0.000"/>
    <numFmt numFmtId="173" formatCode="#,##0.0_);\(#,##0.0\)"/>
    <numFmt numFmtId="174" formatCode="_(* #,##0.0_);_(* \(#,##0.0\);_(* &quot;-&quot;?_);_(@_)"/>
  </numFmts>
  <fonts count="117"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sz val="11"/>
      <color theme="1"/>
      <name val="Calibri"/>
      <family val="2"/>
      <scheme val="minor"/>
    </font>
    <font>
      <b/>
      <sz val="11"/>
      <color theme="1"/>
      <name val="Calibri"/>
      <family val="2"/>
      <scheme val="minor"/>
    </font>
    <font>
      <i/>
      <sz val="11"/>
      <color rgb="FFFF0000"/>
      <name val="Calibri"/>
      <family val="2"/>
      <scheme val="minor"/>
    </font>
    <font>
      <sz val="11"/>
      <color rgb="FFFF0000"/>
      <name val="Calibri"/>
      <family val="2"/>
      <scheme val="minor"/>
    </font>
    <font>
      <i/>
      <sz val="11"/>
      <color theme="1"/>
      <name val="Calibri"/>
      <family val="2"/>
      <scheme val="minor"/>
    </font>
    <font>
      <b/>
      <i/>
      <sz val="11"/>
      <color theme="1"/>
      <name val="Calibri"/>
      <family val="2"/>
      <scheme val="minor"/>
    </font>
    <font>
      <b/>
      <i/>
      <sz val="12"/>
      <color theme="1"/>
      <name val="Calibri"/>
      <family val="2"/>
      <scheme val="minor"/>
    </font>
    <font>
      <b/>
      <i/>
      <sz val="12"/>
      <color theme="1"/>
      <name val="Arial"/>
      <family val="2"/>
    </font>
    <font>
      <b/>
      <sz val="12"/>
      <color theme="1"/>
      <name val="Arial"/>
      <family val="2"/>
    </font>
    <font>
      <sz val="10"/>
      <color theme="1"/>
      <name val="Arial"/>
      <family val="2"/>
    </font>
    <font>
      <sz val="12"/>
      <color theme="1"/>
      <name val="Arial"/>
      <family val="2"/>
    </font>
    <font>
      <b/>
      <sz val="14"/>
      <color theme="1"/>
      <name val="Arial"/>
      <family val="2"/>
    </font>
    <font>
      <b/>
      <sz val="10"/>
      <color theme="1"/>
      <name val="Arial"/>
      <family val="2"/>
    </font>
    <font>
      <i/>
      <sz val="10"/>
      <color theme="1"/>
      <name val="Arial"/>
      <family val="2"/>
    </font>
    <font>
      <sz val="6"/>
      <color theme="1"/>
      <name val="Arial"/>
      <family val="2"/>
    </font>
    <font>
      <sz val="10"/>
      <name val="Arial"/>
      <family val="2"/>
    </font>
    <font>
      <b/>
      <sz val="10"/>
      <name val="Arial"/>
      <family val="2"/>
    </font>
    <font>
      <sz val="14"/>
      <color theme="1"/>
      <name val="Arial"/>
      <family val="2"/>
    </font>
    <font>
      <b/>
      <sz val="11"/>
      <color theme="1"/>
      <name val="Arial"/>
      <family val="2"/>
    </font>
    <font>
      <sz val="8.5"/>
      <color theme="1"/>
      <name val="Arial"/>
      <family val="2"/>
    </font>
    <font>
      <sz val="10"/>
      <color rgb="FFFF0000"/>
      <name val="Arial"/>
      <family val="2"/>
    </font>
    <font>
      <b/>
      <sz val="10"/>
      <color rgb="FFFF0000"/>
      <name val="Arial"/>
      <family val="2"/>
    </font>
    <font>
      <sz val="7.5"/>
      <color theme="1"/>
      <name val="Arial"/>
      <family val="2"/>
    </font>
    <font>
      <sz val="9"/>
      <color theme="1"/>
      <name val="Arial"/>
      <family val="2"/>
    </font>
    <font>
      <sz val="10"/>
      <color rgb="FFC00000"/>
      <name val="Arial"/>
      <family val="2"/>
    </font>
    <font>
      <sz val="8"/>
      <color theme="1"/>
      <name val="Arial"/>
      <family val="2"/>
    </font>
    <font>
      <b/>
      <sz val="9"/>
      <color theme="1"/>
      <name val="Arial"/>
      <family val="2"/>
    </font>
    <font>
      <b/>
      <sz val="9.5"/>
      <name val="Arial"/>
      <family val="2"/>
    </font>
    <font>
      <sz val="9"/>
      <name val="Arial"/>
      <family val="2"/>
    </font>
    <font>
      <sz val="9.5"/>
      <color theme="1"/>
      <name val="Arial"/>
      <family val="2"/>
    </font>
    <font>
      <u/>
      <sz val="12"/>
      <color theme="10"/>
      <name val="Calibri"/>
      <family val="2"/>
      <scheme val="minor"/>
    </font>
    <font>
      <sz val="14"/>
      <color rgb="FF000000"/>
      <name val="Calibri"/>
      <family val="2"/>
    </font>
    <font>
      <sz val="11"/>
      <color theme="1"/>
      <name val="Calibri"/>
      <family val="2"/>
    </font>
    <font>
      <sz val="12"/>
      <color rgb="FF000000"/>
      <name val="Calibri"/>
      <family val="2"/>
    </font>
    <font>
      <b/>
      <sz val="11"/>
      <color rgb="FF000000"/>
      <name val="Calibri"/>
      <family val="2"/>
    </font>
    <font>
      <u/>
      <sz val="11"/>
      <color theme="10"/>
      <name val="Calibri"/>
      <family val="2"/>
      <scheme val="minor"/>
    </font>
    <font>
      <b/>
      <sz val="11"/>
      <color theme="1"/>
      <name val="Calibri"/>
      <family val="2"/>
    </font>
    <font>
      <sz val="11"/>
      <color rgb="FF0070C0"/>
      <name val="Calibri"/>
      <family val="2"/>
      <scheme val="minor"/>
    </font>
    <font>
      <i/>
      <sz val="11"/>
      <color rgb="FF000000"/>
      <name val="Calibri"/>
      <family val="2"/>
    </font>
    <font>
      <b/>
      <sz val="16"/>
      <color theme="1"/>
      <name val="Calibri"/>
      <family val="2"/>
      <scheme val="minor"/>
    </font>
    <font>
      <b/>
      <sz val="11"/>
      <color theme="0"/>
      <name val="Calibri"/>
      <family val="2"/>
      <scheme val="minor"/>
    </font>
    <font>
      <b/>
      <i/>
      <sz val="11"/>
      <color theme="1"/>
      <name val="Calibri"/>
      <family val="2"/>
    </font>
    <font>
      <sz val="11"/>
      <color rgb="FFFF0000"/>
      <name val="Calibri"/>
      <family val="2"/>
    </font>
    <font>
      <sz val="11"/>
      <color rgb="FF000000"/>
      <name val="Calibri"/>
      <family val="2"/>
    </font>
    <font>
      <i/>
      <sz val="11"/>
      <color theme="1"/>
      <name val="Calibri"/>
      <family val="2"/>
    </font>
    <font>
      <i/>
      <sz val="11"/>
      <color theme="3" tint="0.39997558519241921"/>
      <name val="Calibri"/>
      <family val="2"/>
    </font>
    <font>
      <b/>
      <sz val="11"/>
      <name val="Calibri"/>
      <family val="2"/>
    </font>
    <font>
      <sz val="11"/>
      <name val="Calibri"/>
      <family val="2"/>
    </font>
    <font>
      <b/>
      <sz val="11"/>
      <color rgb="FFFF0000"/>
      <name val="Calibri"/>
      <family val="2"/>
    </font>
    <font>
      <b/>
      <sz val="11"/>
      <color rgb="FF008A3E"/>
      <name val="Calibri"/>
      <family val="2"/>
    </font>
    <font>
      <sz val="18"/>
      <color rgb="FFFF0000"/>
      <name val="Calibri"/>
      <family val="2"/>
      <scheme val="minor"/>
    </font>
    <font>
      <b/>
      <sz val="11"/>
      <color rgb="FFFF0000"/>
      <name val="Calibri"/>
      <family val="2"/>
      <scheme val="minor"/>
    </font>
    <font>
      <sz val="16"/>
      <color theme="1"/>
      <name val="Calibri"/>
      <family val="2"/>
      <scheme val="minor"/>
    </font>
    <font>
      <sz val="10"/>
      <color theme="1"/>
      <name val="Calibri"/>
      <family val="2"/>
      <scheme val="minor"/>
    </font>
    <font>
      <sz val="20"/>
      <color theme="1"/>
      <name val="Calibri"/>
      <family val="2"/>
      <scheme val="minor"/>
    </font>
    <font>
      <b/>
      <sz val="20"/>
      <color theme="1"/>
      <name val="Calibri"/>
      <family val="2"/>
      <scheme val="minor"/>
    </font>
    <font>
      <i/>
      <sz val="10"/>
      <color theme="1"/>
      <name val="Calibri"/>
      <family val="2"/>
      <scheme val="minor"/>
    </font>
    <font>
      <b/>
      <i/>
      <sz val="10"/>
      <color theme="0"/>
      <name val="Arial"/>
      <family val="2"/>
    </font>
    <font>
      <b/>
      <i/>
      <sz val="11"/>
      <color rgb="FFFF0000"/>
      <name val="Calibri"/>
      <family val="2"/>
      <scheme val="minor"/>
    </font>
    <font>
      <b/>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i/>
      <sz val="11"/>
      <color rgb="FF7F7F7F"/>
      <name val="Calibri"/>
      <family val="2"/>
      <scheme val="minor"/>
    </font>
    <font>
      <sz val="11"/>
      <color theme="0"/>
      <name val="Calibri"/>
      <family val="2"/>
      <scheme val="minor"/>
    </font>
    <font>
      <b/>
      <i/>
      <sz val="16"/>
      <color theme="1"/>
      <name val="Calibri"/>
      <family val="2"/>
    </font>
    <font>
      <b/>
      <sz val="16"/>
      <color rgb="FFFF0000"/>
      <name val="Calibri"/>
      <family val="2"/>
    </font>
    <font>
      <b/>
      <sz val="11"/>
      <name val="Calibri"/>
      <family val="2"/>
      <scheme val="minor"/>
    </font>
    <font>
      <b/>
      <sz val="24"/>
      <color theme="1"/>
      <name val="Calibri"/>
      <family val="2"/>
      <scheme val="minor"/>
    </font>
    <font>
      <b/>
      <sz val="24"/>
      <color rgb="FF000000"/>
      <name val="Calibri"/>
      <family val="2"/>
    </font>
    <font>
      <sz val="12"/>
      <color theme="1"/>
      <name val="Calibri"/>
      <family val="2"/>
    </font>
    <font>
      <b/>
      <i/>
      <u/>
      <sz val="12"/>
      <color theme="1"/>
      <name val="Arial"/>
      <family val="2"/>
    </font>
    <font>
      <sz val="11"/>
      <color theme="1"/>
      <name val="Arial"/>
      <family val="2"/>
    </font>
    <font>
      <sz val="10"/>
      <color rgb="FF00B050"/>
      <name val="Arial"/>
      <family val="2"/>
    </font>
    <font>
      <b/>
      <sz val="11"/>
      <color rgb="FF00B050"/>
      <name val="Calibri"/>
      <family val="2"/>
      <scheme val="minor"/>
    </font>
    <font>
      <b/>
      <sz val="20"/>
      <color theme="1"/>
      <name val="Calibri"/>
      <family val="2"/>
    </font>
    <font>
      <sz val="11"/>
      <name val="Calibri"/>
      <family val="2"/>
      <scheme val="minor"/>
    </font>
    <font>
      <b/>
      <i/>
      <sz val="10"/>
      <color theme="1"/>
      <name val="Arial"/>
      <family val="2"/>
    </font>
    <font>
      <b/>
      <i/>
      <sz val="10"/>
      <color rgb="FFFF0000"/>
      <name val="Arial"/>
      <family val="2"/>
    </font>
    <font>
      <b/>
      <u/>
      <sz val="10"/>
      <color rgb="FFFF0000"/>
      <name val="Arial"/>
      <family val="2"/>
    </font>
    <font>
      <sz val="8"/>
      <name val="Calibri"/>
      <family val="2"/>
      <scheme val="minor"/>
    </font>
    <font>
      <b/>
      <sz val="10"/>
      <color theme="9" tint="-0.249977111117893"/>
      <name val="Arial"/>
      <family val="2"/>
    </font>
    <font>
      <sz val="10"/>
      <color theme="0"/>
      <name val="Arial"/>
      <family val="2"/>
    </font>
    <font>
      <b/>
      <sz val="11"/>
      <color rgb="FFFF0000"/>
      <name val="Arial"/>
      <family val="2"/>
    </font>
    <font>
      <b/>
      <sz val="12"/>
      <color theme="9" tint="-0.249977111117893"/>
      <name val="Arial"/>
      <family val="2"/>
    </font>
    <font>
      <b/>
      <sz val="12"/>
      <color theme="8" tint="-0.249977111117893"/>
      <name val="Arial"/>
      <family val="2"/>
    </font>
  </fonts>
  <fills count="58">
    <fill>
      <patternFill patternType="none"/>
    </fill>
    <fill>
      <patternFill patternType="gray125"/>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theme="3" tint="0.79998168889431442"/>
        <bgColor indexed="64"/>
      </patternFill>
    </fill>
    <fill>
      <patternFill patternType="solid">
        <fgColor theme="9" tint="0.39997558519241921"/>
        <bgColor indexed="64"/>
      </patternFill>
    </fill>
    <fill>
      <patternFill patternType="solid">
        <fgColor theme="4"/>
        <bgColor theme="4"/>
      </patternFill>
    </fill>
    <fill>
      <patternFill patternType="solid">
        <fgColor rgb="FF92D050"/>
        <bgColor rgb="FF000000"/>
      </patternFill>
    </fill>
    <fill>
      <patternFill patternType="solid">
        <fgColor rgb="FF92D050"/>
        <bgColor indexed="64"/>
      </patternFill>
    </fill>
    <fill>
      <patternFill patternType="solid">
        <fgColor rgb="FFDCE6F1"/>
        <bgColor rgb="FF000000"/>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7" tint="0.59999389629810485"/>
        <bgColor indexed="64"/>
      </patternFill>
    </fill>
    <fill>
      <patternFill patternType="solid">
        <fgColor rgb="FFD1DF4D"/>
        <bgColor indexed="64"/>
      </patternFill>
    </fill>
    <fill>
      <patternFill patternType="solid">
        <fgColor rgb="FF1DC4FF"/>
        <bgColor indexed="64"/>
      </patternFill>
    </fill>
    <fill>
      <patternFill patternType="solid">
        <fgColor theme="0" tint="-0.34998626667073579"/>
        <bgColor indexed="64"/>
      </patternFill>
    </fill>
    <fill>
      <patternFill patternType="solid">
        <fgColor rgb="FF7030A0"/>
        <bgColor indexed="64"/>
      </patternFill>
    </fill>
    <fill>
      <patternFill patternType="solid">
        <fgColor theme="0" tint="-0.14999847407452621"/>
        <bgColor indexed="64"/>
      </patternFill>
    </fill>
    <fill>
      <patternFill patternType="solid">
        <fgColor theme="2" tint="-0.249977111117893"/>
        <bgColor indexed="64"/>
      </patternFill>
    </fill>
    <fill>
      <patternFill patternType="solid">
        <fgColor rgb="FFFFFF00"/>
        <bgColor indexed="64"/>
      </patternFill>
    </fill>
    <fill>
      <patternFill patternType="solid">
        <fgColor theme="7"/>
        <bgColor indexed="64"/>
      </patternFill>
    </fill>
    <fill>
      <patternFill patternType="solid">
        <fgColor theme="0" tint="-0.249977111117893"/>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59999389629810485"/>
        <bgColor rgb="FF000000"/>
      </patternFill>
    </fill>
    <fill>
      <patternFill patternType="solid">
        <fgColor rgb="FFFFC000"/>
        <bgColor indexed="64"/>
      </patternFill>
    </fill>
    <fill>
      <patternFill patternType="solid">
        <fgColor theme="4" tint="0.39997558519241921"/>
        <bgColor indexed="64"/>
      </patternFill>
    </fill>
    <fill>
      <patternFill patternType="solid">
        <fgColor theme="2" tint="-9.9978637043366805E-2"/>
        <bgColor indexed="64"/>
      </patternFill>
    </fill>
    <fill>
      <patternFill patternType="solid">
        <fgColor rgb="FFFFC000"/>
        <bgColor rgb="FF000000"/>
      </patternFill>
    </fill>
  </fills>
  <borders count="96">
    <border>
      <left/>
      <right/>
      <top/>
      <bottom/>
      <diagonal/>
    </border>
    <border>
      <left style="thin">
        <color theme="1" tint="0.24994659260841701"/>
      </left>
      <right style="thin">
        <color theme="1" tint="0.24994659260841701"/>
      </right>
      <top style="thin">
        <color theme="1" tint="0.24994659260841701"/>
      </top>
      <bottom/>
      <diagonal/>
    </border>
    <border>
      <left/>
      <right/>
      <top style="thin">
        <color theme="1" tint="0.24994659260841701"/>
      </top>
      <bottom/>
      <diagonal/>
    </border>
    <border>
      <left/>
      <right style="thin">
        <color theme="1" tint="0.24994659260841701"/>
      </right>
      <top style="thin">
        <color theme="1" tint="0.24994659260841701"/>
      </top>
      <bottom/>
      <diagonal/>
    </border>
    <border>
      <left style="thin">
        <color theme="1" tint="0.24994659260841701"/>
      </left>
      <right/>
      <top style="thin">
        <color theme="1" tint="0.24994659260841701"/>
      </top>
      <bottom/>
      <diagonal/>
    </border>
    <border>
      <left style="thin">
        <color theme="1" tint="0.24994659260841701"/>
      </left>
      <right style="thin">
        <color theme="1" tint="0.24994659260841701"/>
      </right>
      <top/>
      <bottom/>
      <diagonal/>
    </border>
    <border>
      <left style="thin">
        <color theme="1" tint="0.24994659260841701"/>
      </left>
      <right/>
      <top/>
      <bottom/>
      <diagonal/>
    </border>
    <border>
      <left style="thin">
        <color theme="1" tint="0.24994659260841701"/>
      </left>
      <right/>
      <top/>
      <bottom style="thin">
        <color theme="1" tint="0.24994659260841701"/>
      </bottom>
      <diagonal/>
    </border>
    <border>
      <left/>
      <right/>
      <top/>
      <bottom style="thin">
        <color theme="1" tint="0.24994659260841701"/>
      </bottom>
      <diagonal/>
    </border>
    <border>
      <left/>
      <right style="thin">
        <color theme="1" tint="0.24994659260841701"/>
      </right>
      <top/>
      <bottom style="thin">
        <color theme="1" tint="0.24994659260841701"/>
      </bottom>
      <diagonal/>
    </border>
    <border>
      <left style="dashDot">
        <color theme="1" tint="0.24994659260841701"/>
      </left>
      <right style="dashDot">
        <color theme="1" tint="0.24994659260841701"/>
      </right>
      <top style="dashDot">
        <color theme="1" tint="0.24994659260841701"/>
      </top>
      <bottom style="thin">
        <color theme="1" tint="0.24994659260841701"/>
      </bottom>
      <diagonal/>
    </border>
    <border>
      <left style="medium">
        <color auto="1"/>
      </left>
      <right style="medium">
        <color auto="1"/>
      </right>
      <top style="medium">
        <color auto="1"/>
      </top>
      <bottom style="thin">
        <color theme="1" tint="0.24994659260841701"/>
      </bottom>
      <diagonal/>
    </border>
    <border>
      <left style="thin">
        <color theme="1" tint="0.24994659260841701"/>
      </left>
      <right style="thin">
        <color theme="1" tint="0.24994659260841701"/>
      </right>
      <top style="thin">
        <color theme="1" tint="0.24994659260841701"/>
      </top>
      <bottom style="thin">
        <color theme="1" tint="0.24994659260841701"/>
      </bottom>
      <diagonal/>
    </border>
    <border>
      <left style="thin">
        <color theme="1" tint="0.24994659260841701"/>
      </left>
      <right/>
      <top style="thin">
        <color theme="1" tint="0.24994659260841701"/>
      </top>
      <bottom style="thin">
        <color theme="1" tint="0.24994659260841701"/>
      </bottom>
      <diagonal/>
    </border>
    <border>
      <left/>
      <right/>
      <top style="thin">
        <color theme="1" tint="0.24994659260841701"/>
      </top>
      <bottom style="thin">
        <color theme="1" tint="0.24994659260841701"/>
      </bottom>
      <diagonal/>
    </border>
    <border>
      <left/>
      <right style="thin">
        <color theme="1" tint="0.24994659260841701"/>
      </right>
      <top style="thin">
        <color theme="1" tint="0.24994659260841701"/>
      </top>
      <bottom style="thin">
        <color theme="1" tint="0.24994659260841701"/>
      </bottom>
      <diagonal/>
    </border>
    <border>
      <left style="dashDot">
        <color theme="1" tint="0.24994659260841701"/>
      </left>
      <right style="dashDot">
        <color theme="1" tint="0.24994659260841701"/>
      </right>
      <top style="thin">
        <color theme="1" tint="0.24994659260841701"/>
      </top>
      <bottom style="thin">
        <color theme="1" tint="0.24994659260841701"/>
      </bottom>
      <diagonal/>
    </border>
    <border>
      <left style="medium">
        <color auto="1"/>
      </left>
      <right style="medium">
        <color auto="1"/>
      </right>
      <top style="thin">
        <color theme="1" tint="0.24994659260841701"/>
      </top>
      <bottom style="thin">
        <color theme="1" tint="0.24994659260841701"/>
      </bottom>
      <diagonal/>
    </border>
    <border>
      <left style="medium">
        <color auto="1"/>
      </left>
      <right style="medium">
        <color auto="1"/>
      </right>
      <top/>
      <bottom/>
      <diagonal/>
    </border>
    <border>
      <left style="medium">
        <color auto="1"/>
      </left>
      <right style="medium">
        <color auto="1"/>
      </right>
      <top style="thin">
        <color theme="1" tint="0.24994659260841701"/>
      </top>
      <bottom/>
      <diagonal/>
    </border>
    <border>
      <left/>
      <right style="thin">
        <color theme="1" tint="0.24994659260841701"/>
      </right>
      <top/>
      <bottom/>
      <diagonal/>
    </border>
    <border>
      <left/>
      <right/>
      <top/>
      <bottom style="thin">
        <color auto="1"/>
      </bottom>
      <diagonal/>
    </border>
    <border>
      <left style="medium">
        <color auto="1"/>
      </left>
      <right style="medium">
        <color auto="1"/>
      </right>
      <top/>
      <bottom style="medium">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medium">
        <color auto="1"/>
      </bottom>
      <diagonal/>
    </border>
    <border>
      <left style="medium">
        <color auto="1"/>
      </left>
      <right/>
      <top style="medium">
        <color auto="1"/>
      </top>
      <bottom/>
      <diagonal/>
    </border>
    <border>
      <left/>
      <right style="thin">
        <color auto="1"/>
      </right>
      <top style="medium">
        <color auto="1"/>
      </top>
      <bottom style="thin">
        <color auto="1"/>
      </bottom>
      <diagonal/>
    </border>
    <border>
      <left/>
      <right/>
      <top style="medium">
        <color auto="1"/>
      </top>
      <bottom/>
      <diagonal/>
    </border>
    <border>
      <left/>
      <right style="medium">
        <color auto="1"/>
      </right>
      <top style="medium">
        <color auto="1"/>
      </top>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thin">
        <color auto="1"/>
      </right>
      <top/>
      <bottom style="medium">
        <color auto="1"/>
      </bottom>
      <diagonal/>
    </border>
    <border>
      <left/>
      <right style="medium">
        <color auto="1"/>
      </right>
      <top/>
      <bottom style="medium">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theme="1" tint="0.24994659260841701"/>
      </left>
      <right/>
      <top/>
      <bottom style="thin">
        <color auto="1"/>
      </bottom>
      <diagonal/>
    </border>
    <border>
      <left style="thin">
        <color theme="1" tint="0.24994659260841701"/>
      </left>
      <right style="thin">
        <color auto="1"/>
      </right>
      <top style="thin">
        <color auto="1"/>
      </top>
      <bottom/>
      <diagonal/>
    </border>
    <border>
      <left style="thin">
        <color theme="1" tint="0.24994659260841701"/>
      </left>
      <right style="thin">
        <color auto="1"/>
      </right>
      <top/>
      <bottom/>
      <diagonal/>
    </border>
    <border>
      <left style="thin">
        <color theme="1" tint="0.24994659260841701"/>
      </left>
      <right style="thin">
        <color auto="1"/>
      </right>
      <top/>
      <bottom style="thin">
        <color auto="1"/>
      </bottom>
      <diagonal/>
    </border>
    <border>
      <left/>
      <right style="thin">
        <color theme="1" tint="0.24994659260841701"/>
      </right>
      <top/>
      <bottom style="medium">
        <color auto="1"/>
      </bottom>
      <diagonal/>
    </border>
    <border>
      <left style="thin">
        <color theme="1" tint="0.24994659260841701"/>
      </left>
      <right/>
      <top/>
      <bottom style="medium">
        <color auto="1"/>
      </bottom>
      <diagonal/>
    </border>
    <border>
      <left style="thin">
        <color theme="1" tint="0.24994659260841701"/>
      </left>
      <right style="thin">
        <color theme="1" tint="0.24994659260841701"/>
      </right>
      <top/>
      <bottom style="medium">
        <color auto="1"/>
      </bottom>
      <diagonal/>
    </border>
    <border>
      <left/>
      <right/>
      <top style="thin">
        <color theme="4" tint="0.39997558519241921"/>
      </top>
      <bottom style="thin">
        <color theme="4" tint="0.39997558519241921"/>
      </bottom>
      <diagonal/>
    </border>
    <border>
      <left style="thin">
        <color theme="4" tint="0.39997558519241921"/>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thin">
        <color auto="1"/>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theme="4" tint="0.39997558519241921"/>
      </bottom>
      <diagonal/>
    </border>
    <border>
      <left style="thin">
        <color theme="4" tint="0.39997558519241921"/>
      </left>
      <right/>
      <top/>
      <bottom style="thin">
        <color theme="4" tint="0.39997558519241921"/>
      </bottom>
      <diagonal/>
    </border>
    <border>
      <left/>
      <right/>
      <top style="thin">
        <color theme="4" tint="0.39997558519241921"/>
      </top>
      <bottom/>
      <diagonal/>
    </border>
    <border>
      <left style="thin">
        <color theme="4" tint="0.39997558519241921"/>
      </left>
      <right/>
      <top style="thin">
        <color theme="4" tint="0.39997558519241921"/>
      </top>
      <bottom/>
      <diagonal/>
    </border>
    <border>
      <left style="medium">
        <color auto="1"/>
      </left>
      <right style="medium">
        <color auto="1"/>
      </right>
      <top style="thin">
        <color theme="4" tint="0.39997558519241921"/>
      </top>
      <bottom style="medium">
        <color auto="1"/>
      </bottom>
      <diagonal/>
    </border>
    <border>
      <left/>
      <right/>
      <top style="thin">
        <color theme="4" tint="0.39997558519241921"/>
      </top>
      <bottom style="thin">
        <color auto="1"/>
      </bottom>
      <diagonal/>
    </border>
    <border>
      <left style="thin">
        <color theme="1" tint="0.24994659260841701"/>
      </left>
      <right/>
      <top style="thin">
        <color theme="4" tint="0.39997558519241921"/>
      </top>
      <bottom style="thin">
        <color theme="4" tint="0.39997558519241921"/>
      </bottom>
      <diagonal/>
    </border>
    <border>
      <left style="thin">
        <color theme="4" tint="0.39997558519241921"/>
      </left>
      <right/>
      <top style="thin">
        <color theme="1" tint="0.24994659260841701"/>
      </top>
      <bottom/>
      <diagonal/>
    </border>
    <border>
      <left style="dashDot">
        <color theme="1" tint="0.24994659260841701"/>
      </left>
      <right/>
      <top style="thin">
        <color theme="1" tint="0.24994659260841701"/>
      </top>
      <bottom/>
      <diagonal/>
    </border>
    <border>
      <left style="medium">
        <color auto="1"/>
      </left>
      <right/>
      <top style="thin">
        <color theme="1" tint="0.24994659260841701"/>
      </top>
      <bottom/>
      <diagonal/>
    </border>
    <border>
      <left style="thin">
        <color theme="1" tint="0.24994659260841701"/>
      </left>
      <right/>
      <top style="thin">
        <color theme="4" tint="0.39997558519241921"/>
      </top>
      <bottom/>
      <diagonal/>
    </border>
    <border>
      <left style="dashDot">
        <color theme="1" tint="0.24994659260841701"/>
      </left>
      <right/>
      <top style="thin">
        <color theme="4" tint="0.39997558519241921"/>
      </top>
      <bottom/>
      <diagonal/>
    </border>
    <border>
      <left style="medium">
        <color auto="1"/>
      </left>
      <right/>
      <top style="thin">
        <color theme="4" tint="0.39997558519241921"/>
      </top>
      <bottom/>
      <diagonal/>
    </border>
    <border>
      <left style="medium">
        <color auto="1"/>
      </left>
      <right style="medium">
        <color auto="1"/>
      </right>
      <top style="thin">
        <color theme="4" tint="0.39997558519241921"/>
      </top>
      <bottom/>
      <diagonal/>
    </border>
    <border>
      <left style="dashDot">
        <color theme="1" tint="0.24994659260841701"/>
      </left>
      <right/>
      <top style="thin">
        <color theme="4" tint="0.39997558519241921"/>
      </top>
      <bottom style="thin">
        <color theme="4" tint="0.39997558519241921"/>
      </bottom>
      <diagonal/>
    </border>
    <border>
      <left style="medium">
        <color auto="1"/>
      </left>
      <right/>
      <top style="thin">
        <color theme="4" tint="0.39997558519241921"/>
      </top>
      <bottom style="medium">
        <color auto="1"/>
      </bottom>
      <diagonal/>
    </border>
    <border>
      <left style="medium">
        <color auto="1"/>
      </left>
      <right/>
      <top style="thin">
        <color theme="4" tint="0.39997558519241921"/>
      </top>
      <bottom style="thin">
        <color theme="4" tint="0.3999755851924192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style="thin">
        <color theme="1" tint="0.24994659260841701"/>
      </top>
      <bottom/>
      <diagonal/>
    </border>
    <border>
      <left style="thin">
        <color indexed="64"/>
      </left>
      <right/>
      <top/>
      <bottom style="thin">
        <color theme="1" tint="0.24994659260841701"/>
      </bottom>
      <diagonal/>
    </border>
    <border>
      <left style="thin">
        <color auto="1"/>
      </left>
      <right/>
      <top/>
      <bottom style="medium">
        <color indexed="64"/>
      </bottom>
      <diagonal/>
    </border>
    <border>
      <left/>
      <right style="thin">
        <color indexed="64"/>
      </right>
      <top style="medium">
        <color auto="1"/>
      </top>
      <bottom/>
      <diagonal/>
    </border>
  </borders>
  <cellStyleXfs count="75">
    <xf numFmtId="0" fontId="0" fillId="0" borderId="0"/>
    <xf numFmtId="43" fontId="23"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4" fillId="0" borderId="0" applyNumberFormat="0" applyFill="0" applyBorder="0" applyAlignment="0" applyProtection="0"/>
    <xf numFmtId="0" fontId="59" fillId="0" borderId="0" applyNumberFormat="0" applyFill="0" applyBorder="0" applyAlignment="0" applyProtection="0"/>
    <xf numFmtId="0" fontId="83" fillId="0" borderId="0" applyNumberFormat="0" applyFill="0" applyBorder="0" applyAlignment="0" applyProtection="0"/>
    <xf numFmtId="0" fontId="84" fillId="0" borderId="83" applyNumberFormat="0" applyFill="0" applyAlignment="0" applyProtection="0"/>
    <xf numFmtId="0" fontId="85" fillId="0" borderId="84" applyNumberFormat="0" applyFill="0" applyAlignment="0" applyProtection="0"/>
    <xf numFmtId="0" fontId="86" fillId="0" borderId="85" applyNumberFormat="0" applyFill="0" applyAlignment="0" applyProtection="0"/>
    <xf numFmtId="0" fontId="86" fillId="0" borderId="0" applyNumberFormat="0" applyFill="0" applyBorder="0" applyAlignment="0" applyProtection="0"/>
    <xf numFmtId="0" fontId="87" fillId="10" borderId="0" applyNumberFormat="0" applyBorder="0" applyAlignment="0" applyProtection="0"/>
    <xf numFmtId="0" fontId="88" fillId="11" borderId="0" applyNumberFormat="0" applyBorder="0" applyAlignment="0" applyProtection="0"/>
    <xf numFmtId="0" fontId="89" fillId="12" borderId="0" applyNumberFormat="0" applyBorder="0" applyAlignment="0" applyProtection="0"/>
    <xf numFmtId="0" fontId="90" fillId="13" borderId="86" applyNumberFormat="0" applyAlignment="0" applyProtection="0"/>
    <xf numFmtId="0" fontId="91" fillId="14" borderId="87" applyNumberFormat="0" applyAlignment="0" applyProtection="0"/>
    <xf numFmtId="0" fontId="92" fillId="14" borderId="86" applyNumberFormat="0" applyAlignment="0" applyProtection="0"/>
    <xf numFmtId="0" fontId="93" fillId="0" borderId="88" applyNumberFormat="0" applyFill="0" applyAlignment="0" applyProtection="0"/>
    <xf numFmtId="0" fontId="64" fillId="15" borderId="89" applyNumberFormat="0" applyAlignment="0" applyProtection="0"/>
    <xf numFmtId="0" fontId="27" fillId="0" borderId="0" applyNumberFormat="0" applyFill="0" applyBorder="0" applyAlignment="0" applyProtection="0"/>
    <xf numFmtId="0" fontId="94" fillId="0" borderId="0" applyNumberFormat="0" applyFill="0" applyBorder="0" applyAlignment="0" applyProtection="0"/>
    <xf numFmtId="0" fontId="25" fillId="0" borderId="91" applyNumberFormat="0" applyFill="0" applyAlignment="0" applyProtection="0"/>
    <xf numFmtId="0" fontId="95" fillId="17"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95" fillId="20" borderId="0" applyNumberFormat="0" applyBorder="0" applyAlignment="0" applyProtection="0"/>
    <xf numFmtId="0" fontId="95" fillId="21" borderId="0" applyNumberFormat="0" applyBorder="0" applyAlignment="0" applyProtection="0"/>
    <xf numFmtId="0" fontId="22" fillId="22" borderId="0" applyNumberFormat="0" applyBorder="0" applyAlignment="0" applyProtection="0"/>
    <xf numFmtId="0" fontId="22" fillId="23" borderId="0" applyNumberFormat="0" applyBorder="0" applyAlignment="0" applyProtection="0"/>
    <xf numFmtId="0" fontId="95" fillId="24" borderId="0" applyNumberFormat="0" applyBorder="0" applyAlignment="0" applyProtection="0"/>
    <xf numFmtId="0" fontId="95" fillId="25" borderId="0" applyNumberFormat="0" applyBorder="0" applyAlignment="0" applyProtection="0"/>
    <xf numFmtId="0" fontId="22" fillId="26" borderId="0" applyNumberFormat="0" applyBorder="0" applyAlignment="0" applyProtection="0"/>
    <xf numFmtId="0" fontId="22" fillId="27" borderId="0" applyNumberFormat="0" applyBorder="0" applyAlignment="0" applyProtection="0"/>
    <xf numFmtId="0" fontId="95" fillId="28" borderId="0" applyNumberFormat="0" applyBorder="0" applyAlignment="0" applyProtection="0"/>
    <xf numFmtId="0" fontId="95" fillId="29" borderId="0" applyNumberFormat="0" applyBorder="0" applyAlignment="0" applyProtection="0"/>
    <xf numFmtId="0" fontId="22" fillId="30" borderId="0" applyNumberFormat="0" applyBorder="0" applyAlignment="0" applyProtection="0"/>
    <xf numFmtId="0" fontId="22" fillId="31" borderId="0" applyNumberFormat="0" applyBorder="0" applyAlignment="0" applyProtection="0"/>
    <xf numFmtId="0" fontId="95" fillId="32" borderId="0" applyNumberFormat="0" applyBorder="0" applyAlignment="0" applyProtection="0"/>
    <xf numFmtId="0" fontId="95" fillId="33" borderId="0" applyNumberFormat="0" applyBorder="0" applyAlignment="0" applyProtection="0"/>
    <xf numFmtId="0" fontId="22" fillId="34" borderId="0" applyNumberFormat="0" applyBorder="0" applyAlignment="0" applyProtection="0"/>
    <xf numFmtId="0" fontId="22" fillId="35" borderId="0" applyNumberFormat="0" applyBorder="0" applyAlignment="0" applyProtection="0"/>
    <xf numFmtId="0" fontId="95" fillId="36" borderId="0" applyNumberFormat="0" applyBorder="0" applyAlignment="0" applyProtection="0"/>
    <xf numFmtId="0" fontId="95" fillId="37" borderId="0" applyNumberFormat="0" applyBorder="0" applyAlignment="0" applyProtection="0"/>
    <xf numFmtId="0" fontId="22" fillId="38" borderId="0" applyNumberFormat="0" applyBorder="0" applyAlignment="0" applyProtection="0"/>
    <xf numFmtId="0" fontId="22" fillId="39" borderId="0" applyNumberFormat="0" applyBorder="0" applyAlignment="0" applyProtection="0"/>
    <xf numFmtId="0" fontId="95" fillId="40" borderId="0" applyNumberFormat="0" applyBorder="0" applyAlignment="0" applyProtection="0"/>
    <xf numFmtId="0" fontId="22" fillId="0" borderId="0"/>
    <xf numFmtId="0" fontId="22" fillId="16" borderId="90" applyNumberFormat="0" applyFont="0" applyAlignment="0" applyProtection="0"/>
    <xf numFmtId="43" fontId="22" fillId="0" borderId="0" applyFont="0" applyFill="0" applyBorder="0" applyAlignment="0" applyProtection="0"/>
    <xf numFmtId="9" fontId="22" fillId="0" borderId="0" applyFont="0" applyFill="0" applyBorder="0" applyAlignment="0" applyProtection="0"/>
    <xf numFmtId="0" fontId="39" fillId="0" borderId="0"/>
    <xf numFmtId="9" fontId="39" fillId="0" borderId="0" applyFont="0" applyFill="0" applyBorder="0" applyAlignment="0" applyProtection="0"/>
    <xf numFmtId="0" fontId="19" fillId="0" borderId="0"/>
    <xf numFmtId="9" fontId="23" fillId="0" borderId="0" applyFont="0" applyFill="0" applyBorder="0" applyAlignment="0" applyProtection="0"/>
    <xf numFmtId="0" fontId="13" fillId="0" borderId="0"/>
    <xf numFmtId="43" fontId="13" fillId="0" borderId="0" applyFont="0" applyFill="0" applyBorder="0" applyAlignment="0" applyProtection="0"/>
    <xf numFmtId="9" fontId="13" fillId="0" borderId="0" applyFont="0" applyFill="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34" borderId="0" applyNumberFormat="0" applyBorder="0" applyAlignment="0" applyProtection="0"/>
    <xf numFmtId="0" fontId="13" fillId="35" borderId="0" applyNumberFormat="0" applyBorder="0" applyAlignment="0" applyProtection="0"/>
    <xf numFmtId="0" fontId="13" fillId="38" borderId="0" applyNumberFormat="0" applyBorder="0" applyAlignment="0" applyProtection="0"/>
    <xf numFmtId="0" fontId="13" fillId="39" borderId="0" applyNumberFormat="0" applyBorder="0" applyAlignment="0" applyProtection="0"/>
    <xf numFmtId="0" fontId="13" fillId="0" borderId="0"/>
    <xf numFmtId="0" fontId="13" fillId="16" borderId="90" applyNumberFormat="0" applyFont="0" applyAlignment="0" applyProtection="0"/>
    <xf numFmtId="43" fontId="13" fillId="0" borderId="0" applyFont="0" applyFill="0" applyBorder="0" applyAlignment="0" applyProtection="0"/>
    <xf numFmtId="9" fontId="13" fillId="0" borderId="0" applyFont="0" applyFill="0" applyBorder="0" applyAlignment="0" applyProtection="0"/>
    <xf numFmtId="0" fontId="13" fillId="0" borderId="0"/>
  </cellStyleXfs>
  <cellXfs count="718">
    <xf numFmtId="0" fontId="0" fillId="0" borderId="0" xfId="0"/>
    <xf numFmtId="0" fontId="24" fillId="0" borderId="0" xfId="2"/>
    <xf numFmtId="0" fontId="25" fillId="0" borderId="0" xfId="2" applyFont="1" applyAlignment="1">
      <alignment horizontal="justify" vertical="center"/>
    </xf>
    <xf numFmtId="0" fontId="24" fillId="0" borderId="0" xfId="2" applyAlignment="1">
      <alignment wrapText="1"/>
    </xf>
    <xf numFmtId="0" fontId="25" fillId="0" borderId="0" xfId="2" applyFont="1"/>
    <xf numFmtId="0" fontId="25" fillId="0" borderId="0" xfId="2" applyFont="1" applyAlignment="1">
      <alignment wrapText="1"/>
    </xf>
    <xf numFmtId="0" fontId="32" fillId="0" borderId="0" xfId="0" applyFont="1"/>
    <xf numFmtId="0" fontId="33" fillId="0" borderId="0" xfId="0" applyFont="1"/>
    <xf numFmtId="0" fontId="33" fillId="0" borderId="0" xfId="0" applyFont="1" applyAlignment="1">
      <alignment horizontal="right"/>
    </xf>
    <xf numFmtId="0" fontId="33" fillId="0" borderId="0" xfId="0" applyFont="1" applyFill="1"/>
    <xf numFmtId="0" fontId="33" fillId="0" borderId="0" xfId="0" applyFont="1" applyAlignment="1"/>
    <xf numFmtId="0" fontId="34" fillId="0" borderId="0" xfId="0" applyFont="1"/>
    <xf numFmtId="0" fontId="31" fillId="0" borderId="0" xfId="0" applyFont="1"/>
    <xf numFmtId="0" fontId="35" fillId="0" borderId="0" xfId="0" applyFont="1"/>
    <xf numFmtId="0" fontId="35" fillId="0" borderId="0" xfId="0" applyFont="1" applyFill="1"/>
    <xf numFmtId="0" fontId="36" fillId="0" borderId="0" xfId="0" applyFont="1" applyAlignment="1">
      <alignment horizontal="right"/>
    </xf>
    <xf numFmtId="0" fontId="36" fillId="0" borderId="0" xfId="0" applyFont="1" applyBorder="1" applyAlignment="1">
      <alignment horizontal="center"/>
    </xf>
    <xf numFmtId="0" fontId="33" fillId="0" borderId="1" xfId="0" applyFont="1" applyBorder="1"/>
    <xf numFmtId="0" fontId="33" fillId="0" borderId="2" xfId="0" applyFont="1" applyBorder="1"/>
    <xf numFmtId="0" fontId="33" fillId="0" borderId="3" xfId="0" applyFont="1" applyBorder="1"/>
    <xf numFmtId="0" fontId="33" fillId="0" borderId="5" xfId="0" applyFont="1" applyFill="1" applyBorder="1"/>
    <xf numFmtId="0" fontId="36" fillId="0" borderId="6" xfId="0" applyFont="1" applyFill="1" applyBorder="1" applyAlignment="1">
      <alignment wrapText="1"/>
    </xf>
    <xf numFmtId="0" fontId="36" fillId="0" borderId="7" xfId="0" applyFont="1" applyFill="1" applyBorder="1" applyAlignment="1">
      <alignment horizontal="center" wrapText="1"/>
    </xf>
    <xf numFmtId="0" fontId="36" fillId="0" borderId="8" xfId="0" applyFont="1" applyFill="1" applyBorder="1" applyAlignment="1">
      <alignment horizontal="center" wrapText="1"/>
    </xf>
    <xf numFmtId="0" fontId="36" fillId="0" borderId="9" xfId="0" applyFont="1" applyFill="1" applyBorder="1" applyAlignment="1">
      <alignment horizontal="center" wrapText="1"/>
    </xf>
    <xf numFmtId="0" fontId="33" fillId="0" borderId="10" xfId="0" applyFont="1" applyBorder="1" applyAlignment="1">
      <alignment horizontal="center" wrapText="1"/>
    </xf>
    <xf numFmtId="0" fontId="33" fillId="0" borderId="8" xfId="0" applyFont="1" applyBorder="1" applyAlignment="1">
      <alignment horizontal="center" wrapText="1"/>
    </xf>
    <xf numFmtId="0" fontId="36" fillId="0" borderId="11" xfId="0" applyFont="1" applyBorder="1" applyAlignment="1">
      <alignment horizontal="center" wrapText="1"/>
    </xf>
    <xf numFmtId="0" fontId="33" fillId="0" borderId="0" xfId="0" applyFont="1" applyFill="1" applyBorder="1" applyAlignment="1">
      <alignment horizontal="center" wrapText="1"/>
    </xf>
    <xf numFmtId="0" fontId="37" fillId="0" borderId="12" xfId="0" applyFont="1" applyFill="1" applyBorder="1" applyAlignment="1">
      <alignment vertical="center" wrapText="1"/>
    </xf>
    <xf numFmtId="0" fontId="37" fillId="0" borderId="13" xfId="0" applyFont="1" applyFill="1" applyBorder="1" applyAlignment="1">
      <alignment horizontal="center" vertical="center" wrapText="1"/>
    </xf>
    <xf numFmtId="0" fontId="37" fillId="0" borderId="14" xfId="0" applyFont="1" applyFill="1" applyBorder="1" applyAlignment="1">
      <alignment horizontal="center" vertical="center" wrapText="1"/>
    </xf>
    <xf numFmtId="0" fontId="37" fillId="0" borderId="15" xfId="0" applyFont="1" applyFill="1" applyBorder="1" applyAlignment="1">
      <alignment horizontal="center" vertical="center" wrapText="1"/>
    </xf>
    <xf numFmtId="0" fontId="33" fillId="0" borderId="16" xfId="0" applyFont="1" applyBorder="1" applyAlignment="1">
      <alignment horizontal="center"/>
    </xf>
    <xf numFmtId="0" fontId="33" fillId="0" borderId="14" xfId="0" applyFont="1" applyBorder="1" applyAlignment="1">
      <alignment horizontal="center"/>
    </xf>
    <xf numFmtId="0" fontId="33" fillId="0" borderId="17" xfId="0" applyFont="1" applyBorder="1" applyAlignment="1">
      <alignment horizontal="center"/>
    </xf>
    <xf numFmtId="0" fontId="33" fillId="0" borderId="0" xfId="0" applyFont="1" applyFill="1" applyBorder="1" applyAlignment="1">
      <alignment horizontal="center"/>
    </xf>
    <xf numFmtId="0" fontId="33" fillId="0" borderId="0" xfId="0" applyFont="1" applyFill="1" applyBorder="1"/>
    <xf numFmtId="0" fontId="33" fillId="0" borderId="14" xfId="0" applyFont="1" applyBorder="1"/>
    <xf numFmtId="4" fontId="40" fillId="2" borderId="19" xfId="0" applyNumberFormat="1" applyFont="1" applyFill="1" applyBorder="1" applyAlignment="1">
      <alignment horizontal="right" indent="3"/>
    </xf>
    <xf numFmtId="4" fontId="39" fillId="2" borderId="3" xfId="0" applyNumberFormat="1" applyFont="1" applyFill="1" applyBorder="1"/>
    <xf numFmtId="4" fontId="39" fillId="0" borderId="20" xfId="0" applyNumberFormat="1" applyFont="1" applyBorder="1"/>
    <xf numFmtId="4" fontId="39" fillId="2" borderId="20" xfId="0" applyNumberFormat="1" applyFont="1" applyFill="1" applyBorder="1"/>
    <xf numFmtId="4" fontId="39" fillId="0" borderId="9" xfId="0" applyNumberFormat="1" applyFont="1" applyBorder="1"/>
    <xf numFmtId="0" fontId="36" fillId="0" borderId="12" xfId="0" applyFont="1" applyFill="1" applyBorder="1" applyAlignment="1">
      <alignment wrapText="1"/>
    </xf>
    <xf numFmtId="164" fontId="33" fillId="0" borderId="13" xfId="0" applyNumberFormat="1" applyFont="1" applyFill="1" applyBorder="1"/>
    <xf numFmtId="164" fontId="33" fillId="0" borderId="14" xfId="0" applyNumberFormat="1" applyFont="1" applyFill="1" applyBorder="1"/>
    <xf numFmtId="0" fontId="36" fillId="0" borderId="14" xfId="0" applyFont="1" applyFill="1" applyBorder="1" applyAlignment="1">
      <alignment horizontal="center" wrapText="1"/>
    </xf>
    <xf numFmtId="0" fontId="36" fillId="0" borderId="15" xfId="0" applyFont="1" applyFill="1" applyBorder="1" applyAlignment="1">
      <alignment horizontal="center" wrapText="1"/>
    </xf>
    <xf numFmtId="0" fontId="37" fillId="0" borderId="6" xfId="0" applyFont="1" applyFill="1" applyBorder="1" applyAlignment="1">
      <alignment vertical="center" wrapText="1"/>
    </xf>
    <xf numFmtId="0" fontId="37" fillId="0" borderId="4" xfId="0" applyFont="1" applyFill="1" applyBorder="1" applyAlignment="1">
      <alignment horizontal="center" vertical="center" wrapText="1"/>
    </xf>
    <xf numFmtId="0" fontId="37" fillId="0" borderId="2" xfId="0" applyFont="1" applyFill="1" applyBorder="1" applyAlignment="1">
      <alignment horizontal="center" vertical="center" wrapText="1"/>
    </xf>
    <xf numFmtId="164" fontId="33" fillId="0" borderId="2" xfId="0" applyNumberFormat="1" applyFont="1" applyFill="1" applyBorder="1" applyAlignment="1">
      <alignment vertical="center"/>
    </xf>
    <xf numFmtId="0" fontId="37" fillId="0" borderId="3" xfId="0" applyFont="1" applyFill="1" applyBorder="1" applyAlignment="1">
      <alignment horizontal="center" vertical="center" wrapText="1"/>
    </xf>
    <xf numFmtId="4" fontId="39" fillId="2" borderId="1" xfId="0" applyNumberFormat="1" applyFont="1" applyFill="1" applyBorder="1" applyAlignment="1">
      <alignment vertical="center"/>
    </xf>
    <xf numFmtId="164" fontId="39" fillId="2" borderId="2" xfId="0" applyNumberFormat="1" applyFont="1" applyFill="1" applyBorder="1" applyAlignment="1">
      <alignment horizontal="right" vertical="center"/>
    </xf>
    <xf numFmtId="4" fontId="39" fillId="2" borderId="2" xfId="0" applyNumberFormat="1" applyFont="1" applyFill="1" applyBorder="1" applyAlignment="1">
      <alignment horizontal="right" vertical="center"/>
    </xf>
    <xf numFmtId="4" fontId="39" fillId="2" borderId="3" xfId="0" applyNumberFormat="1" applyFont="1" applyFill="1" applyBorder="1" applyAlignment="1">
      <alignment horizontal="right" vertical="center"/>
    </xf>
    <xf numFmtId="4" fontId="39" fillId="0" borderId="5" xfId="0" applyNumberFormat="1" applyFont="1" applyBorder="1" applyAlignment="1">
      <alignment vertical="center"/>
    </xf>
    <xf numFmtId="164" fontId="39" fillId="0" borderId="0" xfId="0" applyNumberFormat="1" applyFont="1" applyBorder="1" applyAlignment="1">
      <alignment horizontal="right" vertical="center"/>
    </xf>
    <xf numFmtId="4" fontId="39" fillId="0" borderId="0" xfId="0" applyNumberFormat="1" applyFont="1" applyBorder="1" applyAlignment="1">
      <alignment horizontal="right" vertical="center"/>
    </xf>
    <xf numFmtId="4" fontId="39" fillId="0" borderId="20" xfId="0" applyNumberFormat="1" applyFont="1" applyBorder="1" applyAlignment="1">
      <alignment horizontal="right" vertical="center"/>
    </xf>
    <xf numFmtId="4" fontId="39" fillId="2" borderId="0" xfId="0" applyNumberFormat="1" applyFont="1" applyFill="1" applyBorder="1" applyAlignment="1">
      <alignment vertical="center"/>
    </xf>
    <xf numFmtId="164" fontId="39" fillId="2" borderId="23" xfId="0" applyNumberFormat="1" applyFont="1" applyFill="1" applyBorder="1" applyAlignment="1">
      <alignment horizontal="right" vertical="center"/>
    </xf>
    <xf numFmtId="164" fontId="39" fillId="2" borderId="0" xfId="0" applyNumberFormat="1" applyFont="1" applyFill="1" applyBorder="1" applyAlignment="1">
      <alignment horizontal="right" vertical="center"/>
    </xf>
    <xf numFmtId="4" fontId="39" fillId="2" borderId="0" xfId="0" applyNumberFormat="1" applyFont="1" applyFill="1" applyBorder="1" applyAlignment="1">
      <alignment horizontal="right" vertical="center"/>
    </xf>
    <xf numFmtId="4" fontId="39" fillId="2" borderId="24" xfId="0" applyNumberFormat="1" applyFont="1" applyFill="1" applyBorder="1" applyAlignment="1">
      <alignment horizontal="right" vertical="center"/>
    </xf>
    <xf numFmtId="4" fontId="33" fillId="0" borderId="0" xfId="0" applyNumberFormat="1" applyFont="1"/>
    <xf numFmtId="0" fontId="36" fillId="0" borderId="0" xfId="0" applyFont="1" applyBorder="1" applyAlignment="1">
      <alignment horizontal="center" vertical="center" textRotation="90"/>
    </xf>
    <xf numFmtId="4" fontId="39" fillId="0" borderId="23" xfId="0" applyNumberFormat="1" applyFont="1" applyFill="1" applyBorder="1" applyAlignment="1">
      <alignment vertical="center"/>
    </xf>
    <xf numFmtId="164" fontId="39" fillId="0" borderId="23" xfId="0" applyNumberFormat="1" applyFont="1" applyFill="1" applyBorder="1" applyAlignment="1">
      <alignment horizontal="right" vertical="center"/>
    </xf>
    <xf numFmtId="164" fontId="39" fillId="0" borderId="0" xfId="0" applyNumberFormat="1" applyFont="1" applyFill="1" applyBorder="1" applyAlignment="1">
      <alignment horizontal="right" vertical="center"/>
    </xf>
    <xf numFmtId="4" fontId="39" fillId="0" borderId="0" xfId="0" applyNumberFormat="1" applyFont="1" applyFill="1" applyBorder="1" applyAlignment="1">
      <alignment horizontal="right" vertical="center"/>
    </xf>
    <xf numFmtId="4" fontId="39" fillId="0" borderId="24" xfId="0" applyNumberFormat="1" applyFont="1" applyFill="1" applyBorder="1" applyAlignment="1">
      <alignment horizontal="right" vertical="center"/>
    </xf>
    <xf numFmtId="0" fontId="36" fillId="0" borderId="0" xfId="0" applyFont="1" applyFill="1" applyBorder="1" applyAlignment="1">
      <alignment horizontal="center" vertical="center" textRotation="90"/>
    </xf>
    <xf numFmtId="4" fontId="39" fillId="3" borderId="23" xfId="0" applyNumberFormat="1" applyFont="1" applyFill="1" applyBorder="1" applyAlignment="1">
      <alignment vertical="center"/>
    </xf>
    <xf numFmtId="164" fontId="39" fillId="3" borderId="23" xfId="0" applyNumberFormat="1" applyFont="1" applyFill="1" applyBorder="1" applyAlignment="1">
      <alignment horizontal="right" vertical="center"/>
    </xf>
    <xf numFmtId="164" fontId="39" fillId="3" borderId="0" xfId="0" applyNumberFormat="1" applyFont="1" applyFill="1" applyBorder="1" applyAlignment="1">
      <alignment horizontal="right" vertical="center"/>
    </xf>
    <xf numFmtId="4" fontId="39" fillId="3" borderId="0" xfId="0" applyNumberFormat="1" applyFont="1" applyFill="1" applyBorder="1" applyAlignment="1">
      <alignment horizontal="right" vertical="center"/>
    </xf>
    <xf numFmtId="4" fontId="39" fillId="0" borderId="25" xfId="0" applyNumberFormat="1" applyFont="1" applyFill="1" applyBorder="1" applyAlignment="1">
      <alignment vertical="center"/>
    </xf>
    <xf numFmtId="164" fontId="39" fillId="0" borderId="25" xfId="0" applyNumberFormat="1" applyFont="1" applyFill="1" applyBorder="1" applyAlignment="1">
      <alignment horizontal="right" vertical="center"/>
    </xf>
    <xf numFmtId="164" fontId="39" fillId="0" borderId="21" xfId="0" applyNumberFormat="1" applyFont="1" applyFill="1" applyBorder="1" applyAlignment="1">
      <alignment horizontal="right" vertical="center"/>
    </xf>
    <xf numFmtId="4" fontId="39" fillId="0" borderId="21" xfId="0" applyNumberFormat="1" applyFont="1" applyFill="1" applyBorder="1" applyAlignment="1">
      <alignment horizontal="right" vertical="center"/>
    </xf>
    <xf numFmtId="4" fontId="39" fillId="0" borderId="26" xfId="0" applyNumberFormat="1" applyFont="1" applyFill="1" applyBorder="1" applyAlignment="1">
      <alignment horizontal="right" vertical="center"/>
    </xf>
    <xf numFmtId="4" fontId="39" fillId="0" borderId="0" xfId="0" applyNumberFormat="1" applyFont="1" applyFill="1" applyBorder="1" applyAlignment="1">
      <alignment vertical="center"/>
    </xf>
    <xf numFmtId="0" fontId="33" fillId="0" borderId="0" xfId="0" applyFont="1" applyAlignment="1">
      <alignment vertical="center"/>
    </xf>
    <xf numFmtId="4" fontId="33" fillId="0" borderId="18" xfId="0" applyNumberFormat="1" applyFont="1" applyFill="1" applyBorder="1"/>
    <xf numFmtId="164" fontId="33" fillId="0" borderId="0" xfId="0" applyNumberFormat="1" applyFont="1" applyFill="1" applyBorder="1"/>
    <xf numFmtId="4" fontId="33" fillId="0" borderId="22" xfId="0" applyNumberFormat="1" applyFont="1" applyFill="1" applyBorder="1"/>
    <xf numFmtId="0" fontId="41" fillId="0" borderId="0" xfId="0" applyFont="1"/>
    <xf numFmtId="0" fontId="33" fillId="0" borderId="0" xfId="0" applyFont="1" applyAlignment="1">
      <alignment horizontal="left"/>
    </xf>
    <xf numFmtId="0" fontId="33" fillId="0" borderId="0" xfId="2" applyFont="1"/>
    <xf numFmtId="0" fontId="32" fillId="0" borderId="0" xfId="2" applyFont="1"/>
    <xf numFmtId="0" fontId="42" fillId="0" borderId="0" xfId="2" quotePrefix="1" applyFont="1"/>
    <xf numFmtId="0" fontId="36" fillId="0" borderId="0" xfId="2" applyFont="1"/>
    <xf numFmtId="0" fontId="36" fillId="0" borderId="0" xfId="2" applyFont="1" applyAlignment="1">
      <alignment horizontal="right"/>
    </xf>
    <xf numFmtId="2" fontId="33" fillId="0" borderId="0" xfId="2" applyNumberFormat="1" applyFont="1"/>
    <xf numFmtId="0" fontId="36" fillId="0" borderId="0" xfId="2" applyFont="1" applyFill="1" applyAlignment="1">
      <alignment horizontal="right"/>
    </xf>
    <xf numFmtId="0" fontId="33" fillId="0" borderId="0" xfId="2" applyFont="1" applyFill="1"/>
    <xf numFmtId="0" fontId="36" fillId="0" borderId="28" xfId="2" applyFont="1" applyFill="1" applyBorder="1" applyAlignment="1">
      <alignment horizontal="left" vertical="center" wrapText="1" indent="1"/>
    </xf>
    <xf numFmtId="0" fontId="36" fillId="0" borderId="29" xfId="2" applyFont="1" applyFill="1" applyBorder="1" applyAlignment="1">
      <alignment vertical="center" wrapText="1"/>
    </xf>
    <xf numFmtId="0" fontId="36" fillId="0" borderId="30" xfId="2" applyFont="1" applyFill="1" applyBorder="1" applyAlignment="1">
      <alignment horizontal="center" vertical="center" wrapText="1"/>
    </xf>
    <xf numFmtId="0" fontId="36" fillId="0" borderId="31" xfId="2" applyFont="1" applyFill="1" applyBorder="1" applyAlignment="1">
      <alignment horizontal="center" vertical="center" wrapText="1"/>
    </xf>
    <xf numFmtId="0" fontId="37" fillId="0" borderId="32" xfId="2" applyFont="1" applyFill="1" applyBorder="1" applyAlignment="1">
      <alignment horizontal="left" vertical="center" wrapText="1" indent="1"/>
    </xf>
    <xf numFmtId="0" fontId="36" fillId="0" borderId="33" xfId="2" applyFont="1" applyFill="1" applyBorder="1" applyAlignment="1">
      <alignment vertical="center" wrapText="1"/>
    </xf>
    <xf numFmtId="0" fontId="37" fillId="0" borderId="34" xfId="2" applyFont="1" applyFill="1" applyBorder="1" applyAlignment="1">
      <alignment horizontal="center" vertical="center" wrapText="1"/>
    </xf>
    <xf numFmtId="0" fontId="37" fillId="0" borderId="35" xfId="2" applyFont="1" applyFill="1" applyBorder="1" applyAlignment="1">
      <alignment horizontal="center" vertical="center" wrapText="1"/>
    </xf>
    <xf numFmtId="4" fontId="33" fillId="0" borderId="36" xfId="2" applyNumberFormat="1" applyFont="1" applyFill="1" applyBorder="1" applyAlignment="1">
      <alignment horizontal="left" indent="1"/>
    </xf>
    <xf numFmtId="4" fontId="33" fillId="0" borderId="24" xfId="2" applyNumberFormat="1" applyFont="1" applyFill="1" applyBorder="1"/>
    <xf numFmtId="43" fontId="43" fillId="4" borderId="0" xfId="3" applyFont="1" applyFill="1" applyBorder="1"/>
    <xf numFmtId="0" fontId="44" fillId="0" borderId="0" xfId="2" applyFont="1" applyFill="1"/>
    <xf numFmtId="43" fontId="33" fillId="0" borderId="0" xfId="2" applyNumberFormat="1" applyFont="1"/>
    <xf numFmtId="4" fontId="33" fillId="0" borderId="38" xfId="2" applyNumberFormat="1" applyFont="1" applyFill="1" applyBorder="1" applyAlignment="1">
      <alignment horizontal="left" indent="1"/>
    </xf>
    <xf numFmtId="4" fontId="33" fillId="0" borderId="39" xfId="2" applyNumberFormat="1" applyFont="1" applyFill="1" applyBorder="1"/>
    <xf numFmtId="43" fontId="43" fillId="4" borderId="27" xfId="3" applyFont="1" applyFill="1" applyBorder="1"/>
    <xf numFmtId="0" fontId="37" fillId="0" borderId="0" xfId="2" applyFont="1" applyFill="1"/>
    <xf numFmtId="43" fontId="37" fillId="0" borderId="0" xfId="2" applyNumberFormat="1" applyFont="1" applyFill="1"/>
    <xf numFmtId="0" fontId="37" fillId="0" borderId="0" xfId="2" applyFont="1"/>
    <xf numFmtId="43" fontId="37" fillId="0" borderId="0" xfId="2" applyNumberFormat="1" applyFont="1"/>
    <xf numFmtId="0" fontId="45" fillId="0" borderId="0" xfId="2" applyFont="1"/>
    <xf numFmtId="0" fontId="32" fillId="0" borderId="0" xfId="2" applyFont="1" applyAlignment="1">
      <alignment horizontal="left"/>
    </xf>
    <xf numFmtId="0" fontId="32" fillId="0" borderId="0" xfId="2" applyFont="1" applyAlignment="1">
      <alignment wrapText="1"/>
    </xf>
    <xf numFmtId="0" fontId="33" fillId="0" borderId="0" xfId="2" applyFont="1" applyAlignment="1">
      <alignment wrapText="1"/>
    </xf>
    <xf numFmtId="0" fontId="36" fillId="0" borderId="0" xfId="2" applyFont="1" applyAlignment="1">
      <alignment vertical="top"/>
    </xf>
    <xf numFmtId="0" fontId="33" fillId="0" borderId="21" xfId="2" applyFont="1" applyBorder="1" applyAlignment="1">
      <alignment wrapText="1"/>
    </xf>
    <xf numFmtId="0" fontId="36" fillId="0" borderId="21" xfId="2" applyFont="1" applyBorder="1" applyAlignment="1">
      <alignment horizontal="center" wrapText="1"/>
    </xf>
    <xf numFmtId="4" fontId="39" fillId="2" borderId="6" xfId="2" applyNumberFormat="1" applyFont="1" applyFill="1" applyBorder="1" applyAlignment="1">
      <alignment vertical="center"/>
    </xf>
    <xf numFmtId="4" fontId="39" fillId="2" borderId="6" xfId="2" applyNumberFormat="1" applyFont="1" applyFill="1" applyBorder="1" applyAlignment="1">
      <alignment horizontal="right" vertical="center" indent="1"/>
    </xf>
    <xf numFmtId="0" fontId="33" fillId="0" borderId="0" xfId="2" applyFont="1" applyAlignment="1">
      <alignment vertical="center" wrapText="1"/>
    </xf>
    <xf numFmtId="0" fontId="33" fillId="0" borderId="0" xfId="2" applyFont="1" applyAlignment="1">
      <alignment vertical="top" wrapText="1"/>
    </xf>
    <xf numFmtId="4" fontId="36" fillId="0" borderId="21" xfId="2" applyNumberFormat="1" applyFont="1" applyBorder="1" applyAlignment="1">
      <alignment wrapText="1"/>
    </xf>
    <xf numFmtId="4" fontId="36" fillId="0" borderId="21" xfId="2" applyNumberFormat="1" applyFont="1" applyBorder="1" applyAlignment="1">
      <alignment horizontal="right" wrapText="1"/>
    </xf>
    <xf numFmtId="0" fontId="47" fillId="0" borderId="43" xfId="2" applyFont="1" applyBorder="1" applyAlignment="1">
      <alignment vertical="top" wrapText="1"/>
    </xf>
    <xf numFmtId="0" fontId="36" fillId="0" borderId="20" xfId="2" applyFont="1" applyBorder="1" applyAlignment="1">
      <alignment vertical="center" textRotation="90"/>
    </xf>
    <xf numFmtId="0" fontId="47" fillId="0" borderId="0" xfId="2" applyFont="1" applyBorder="1" applyAlignment="1">
      <alignment vertical="top" wrapText="1"/>
    </xf>
    <xf numFmtId="4" fontId="39" fillId="0" borderId="44" xfId="2" applyNumberFormat="1" applyFont="1" applyBorder="1" applyAlignment="1">
      <alignment vertical="center"/>
    </xf>
    <xf numFmtId="4" fontId="39" fillId="0" borderId="44" xfId="2" applyNumberFormat="1" applyFont="1" applyBorder="1" applyAlignment="1">
      <alignment horizontal="right" vertical="center" indent="1"/>
    </xf>
    <xf numFmtId="3" fontId="33" fillId="0" borderId="0" xfId="2" applyNumberFormat="1" applyFont="1"/>
    <xf numFmtId="4" fontId="48" fillId="0" borderId="0" xfId="2" applyNumberFormat="1" applyFont="1" applyFill="1" applyBorder="1" applyAlignment="1">
      <alignment wrapText="1"/>
    </xf>
    <xf numFmtId="3" fontId="48" fillId="0" borderId="0" xfId="2" applyNumberFormat="1" applyFont="1"/>
    <xf numFmtId="0" fontId="48" fillId="0" borderId="0" xfId="2" applyFont="1"/>
    <xf numFmtId="4" fontId="39" fillId="0" borderId="0" xfId="2" quotePrefix="1" applyNumberFormat="1" applyFont="1" applyFill="1" applyBorder="1" applyAlignment="1">
      <alignment wrapText="1"/>
    </xf>
    <xf numFmtId="4" fontId="39" fillId="0" borderId="0" xfId="2" applyNumberFormat="1" applyFont="1"/>
    <xf numFmtId="0" fontId="39" fillId="0" borderId="0" xfId="2" quotePrefix="1" applyFont="1"/>
    <xf numFmtId="4" fontId="36" fillId="0" borderId="0" xfId="2" applyNumberFormat="1" applyFont="1" applyFill="1" applyBorder="1" applyAlignment="1">
      <alignment wrapText="1"/>
    </xf>
    <xf numFmtId="4" fontId="39" fillId="2" borderId="20" xfId="2" applyNumberFormat="1" applyFont="1" applyFill="1" applyBorder="1" applyAlignment="1">
      <alignment horizontal="left" vertical="center"/>
    </xf>
    <xf numFmtId="164" fontId="39" fillId="2" borderId="6" xfId="2" quotePrefix="1" applyNumberFormat="1" applyFont="1" applyFill="1" applyBorder="1" applyAlignment="1">
      <alignment horizontal="left" vertical="center"/>
    </xf>
    <xf numFmtId="4" fontId="39" fillId="2" borderId="6" xfId="2" applyNumberFormat="1" applyFont="1" applyFill="1" applyBorder="1" applyAlignment="1">
      <alignment horizontal="center"/>
    </xf>
    <xf numFmtId="164" fontId="39" fillId="0" borderId="0" xfId="2" applyNumberFormat="1" applyFont="1" applyFill="1" applyBorder="1"/>
    <xf numFmtId="4" fontId="39" fillId="0" borderId="0" xfId="2" quotePrefix="1" applyNumberFormat="1" applyFont="1" applyFill="1" applyBorder="1" applyAlignment="1">
      <alignment horizontal="left" vertical="center" wrapText="1"/>
    </xf>
    <xf numFmtId="4" fontId="39" fillId="0" borderId="6" xfId="2" applyNumberFormat="1" applyFont="1" applyBorder="1" applyAlignment="1">
      <alignment horizontal="right" vertical="center" indent="1"/>
    </xf>
    <xf numFmtId="164" fontId="39" fillId="0" borderId="6" xfId="2" quotePrefix="1" applyNumberFormat="1" applyFont="1" applyBorder="1" applyAlignment="1">
      <alignment horizontal="left" vertical="center"/>
    </xf>
    <xf numFmtId="4" fontId="39" fillId="0" borderId="6" xfId="2" applyNumberFormat="1" applyFont="1" applyBorder="1" applyAlignment="1">
      <alignment horizontal="center"/>
    </xf>
    <xf numFmtId="164" fontId="39" fillId="0" borderId="6" xfId="2" applyNumberFormat="1" applyFont="1" applyBorder="1" applyAlignment="1">
      <alignment horizontal="right" vertical="center" indent="1"/>
    </xf>
    <xf numFmtId="164" fontId="39" fillId="0" borderId="6" xfId="2" applyNumberFormat="1" applyFont="1" applyBorder="1" applyAlignment="1">
      <alignment horizontal="left" vertical="center"/>
    </xf>
    <xf numFmtId="4" fontId="39" fillId="0" borderId="0" xfId="2" applyNumberFormat="1" applyFont="1" applyBorder="1" applyAlignment="1">
      <alignment horizontal="center"/>
    </xf>
    <xf numFmtId="4" fontId="40" fillId="2" borderId="6" xfId="2" applyNumberFormat="1" applyFont="1" applyFill="1" applyBorder="1" applyAlignment="1">
      <alignment horizontal="right" vertical="center" indent="1"/>
    </xf>
    <xf numFmtId="164" fontId="40" fillId="2" borderId="6" xfId="2" applyNumberFormat="1" applyFont="1" applyFill="1" applyBorder="1" applyAlignment="1">
      <alignment horizontal="left" vertical="center"/>
    </xf>
    <xf numFmtId="0" fontId="39" fillId="0" borderId="0" xfId="2" applyFont="1"/>
    <xf numFmtId="3" fontId="39" fillId="0" borderId="0" xfId="2" applyNumberFormat="1" applyFont="1" applyAlignment="1">
      <alignment horizontal="right" indent="2"/>
    </xf>
    <xf numFmtId="9" fontId="33" fillId="0" borderId="0" xfId="4" applyFont="1" applyAlignment="1">
      <alignment horizontal="right" indent="1"/>
    </xf>
    <xf numFmtId="0" fontId="33" fillId="0" borderId="0" xfId="2" quotePrefix="1" applyFont="1"/>
    <xf numFmtId="0" fontId="47" fillId="0" borderId="0" xfId="2" applyFont="1"/>
    <xf numFmtId="0" fontId="33" fillId="0" borderId="21" xfId="2" applyFont="1" applyBorder="1"/>
    <xf numFmtId="0" fontId="36" fillId="0" borderId="21" xfId="2" applyFont="1" applyBorder="1"/>
    <xf numFmtId="4" fontId="39" fillId="2" borderId="6" xfId="2" applyNumberFormat="1" applyFont="1" applyFill="1" applyBorder="1"/>
    <xf numFmtId="4" fontId="39" fillId="2" borderId="6" xfId="2" applyNumberFormat="1" applyFont="1" applyFill="1" applyBorder="1" applyAlignment="1">
      <alignment horizontal="right" indent="1"/>
    </xf>
    <xf numFmtId="4" fontId="39" fillId="2" borderId="41" xfId="2" applyNumberFormat="1" applyFont="1" applyFill="1" applyBorder="1"/>
    <xf numFmtId="4" fontId="39" fillId="2" borderId="45" xfId="2" applyNumberFormat="1" applyFont="1" applyFill="1" applyBorder="1" applyAlignment="1">
      <alignment horizontal="right" indent="1"/>
    </xf>
    <xf numFmtId="4" fontId="39" fillId="0" borderId="23" xfId="2" applyNumberFormat="1" applyFont="1" applyBorder="1"/>
    <xf numFmtId="4" fontId="39" fillId="0" borderId="46" xfId="2" applyNumberFormat="1" applyFont="1" applyBorder="1" applyAlignment="1">
      <alignment horizontal="right" indent="1"/>
    </xf>
    <xf numFmtId="4" fontId="39" fillId="2" borderId="23" xfId="2" applyNumberFormat="1" applyFont="1" applyFill="1" applyBorder="1"/>
    <xf numFmtId="4" fontId="39" fillId="2" borderId="46" xfId="2" applyNumberFormat="1" applyFont="1" applyFill="1" applyBorder="1" applyAlignment="1">
      <alignment horizontal="right" indent="1"/>
    </xf>
    <xf numFmtId="4" fontId="39" fillId="0" borderId="25" xfId="2" applyNumberFormat="1" applyFont="1" applyBorder="1"/>
    <xf numFmtId="4" fontId="39" fillId="0" borderId="47" xfId="2" applyNumberFormat="1" applyFont="1" applyBorder="1" applyAlignment="1">
      <alignment horizontal="right" indent="1"/>
    </xf>
    <xf numFmtId="3" fontId="33" fillId="0" borderId="0" xfId="2" applyNumberFormat="1" applyFont="1" applyAlignment="1">
      <alignment horizontal="right" indent="1"/>
    </xf>
    <xf numFmtId="4" fontId="36" fillId="0" borderId="0" xfId="2" applyNumberFormat="1" applyFont="1" applyAlignment="1">
      <alignment horizontal="right" indent="1"/>
    </xf>
    <xf numFmtId="0" fontId="33" fillId="0" borderId="0" xfId="2" applyFont="1" applyAlignment="1">
      <alignment horizontal="left" wrapText="1"/>
    </xf>
    <xf numFmtId="4" fontId="39" fillId="0" borderId="0" xfId="2" applyNumberFormat="1" applyFont="1" applyFill="1" applyBorder="1" applyAlignment="1">
      <alignment wrapText="1"/>
    </xf>
    <xf numFmtId="0" fontId="37" fillId="0" borderId="21" xfId="2" applyFont="1" applyBorder="1" applyAlignment="1">
      <alignment horizontal="center"/>
    </xf>
    <xf numFmtId="4" fontId="39" fillId="2" borderId="20" xfId="2" applyNumberFormat="1" applyFont="1" applyFill="1" applyBorder="1"/>
    <xf numFmtId="4" fontId="39" fillId="2" borderId="6" xfId="2" applyNumberFormat="1" applyFont="1" applyFill="1" applyBorder="1" applyAlignment="1">
      <alignment horizontal="right" indent="2"/>
    </xf>
    <xf numFmtId="9" fontId="39" fillId="2" borderId="6" xfId="4" applyFont="1" applyFill="1" applyBorder="1" applyAlignment="1">
      <alignment horizontal="right" indent="2"/>
    </xf>
    <xf numFmtId="164" fontId="39" fillId="2" borderId="6" xfId="2" quotePrefix="1" applyNumberFormat="1" applyFont="1" applyFill="1" applyBorder="1"/>
    <xf numFmtId="164" fontId="39" fillId="2" borderId="6" xfId="2" applyNumberFormat="1" applyFont="1" applyFill="1" applyBorder="1"/>
    <xf numFmtId="4" fontId="39" fillId="0" borderId="20" xfId="2" applyNumberFormat="1" applyFont="1" applyBorder="1"/>
    <xf numFmtId="4" fontId="39" fillId="0" borderId="6" xfId="2" applyNumberFormat="1" applyFont="1" applyBorder="1" applyAlignment="1">
      <alignment horizontal="right" indent="2"/>
    </xf>
    <xf numFmtId="9" fontId="39" fillId="0" borderId="6" xfId="4" applyFont="1" applyBorder="1" applyAlignment="1">
      <alignment horizontal="right" indent="2"/>
    </xf>
    <xf numFmtId="164" fontId="39" fillId="0" borderId="6" xfId="2" quotePrefix="1" applyNumberFormat="1" applyFont="1" applyBorder="1"/>
    <xf numFmtId="4" fontId="39" fillId="0" borderId="6" xfId="2" applyNumberFormat="1" applyFont="1" applyBorder="1"/>
    <xf numFmtId="164" fontId="39" fillId="0" borderId="6" xfId="2" applyNumberFormat="1" applyFont="1" applyBorder="1"/>
    <xf numFmtId="4" fontId="39" fillId="2" borderId="48" xfId="2" applyNumberFormat="1" applyFont="1" applyFill="1" applyBorder="1"/>
    <xf numFmtId="4" fontId="39" fillId="2" borderId="49" xfId="2" applyNumberFormat="1" applyFont="1" applyFill="1" applyBorder="1" applyAlignment="1">
      <alignment horizontal="right" indent="2"/>
    </xf>
    <xf numFmtId="9" fontId="39" fillId="2" borderId="50" xfId="4" applyFont="1" applyFill="1" applyBorder="1" applyAlignment="1">
      <alignment horizontal="right" indent="2"/>
    </xf>
    <xf numFmtId="4" fontId="39" fillId="0" borderId="0" xfId="2" applyNumberFormat="1" applyFont="1" applyAlignment="1">
      <alignment horizontal="right" indent="2"/>
    </xf>
    <xf numFmtId="9" fontId="33" fillId="0" borderId="0" xfId="4" applyFont="1" applyAlignment="1">
      <alignment horizontal="right" indent="2"/>
    </xf>
    <xf numFmtId="43" fontId="33" fillId="0" borderId="0" xfId="3" applyNumberFormat="1" applyFont="1" applyAlignment="1">
      <alignment horizontal="right"/>
    </xf>
    <xf numFmtId="165" fontId="33" fillId="0" borderId="0" xfId="2" applyNumberFormat="1" applyFont="1"/>
    <xf numFmtId="0" fontId="33" fillId="0" borderId="0" xfId="2" quotePrefix="1" applyFont="1" applyAlignment="1">
      <alignment wrapText="1"/>
    </xf>
    <xf numFmtId="9" fontId="33" fillId="0" borderId="0" xfId="4" applyFont="1"/>
    <xf numFmtId="0" fontId="33" fillId="0" borderId="0" xfId="2" applyFont="1" applyAlignment="1">
      <alignment horizontal="left" indent="1"/>
    </xf>
    <xf numFmtId="43" fontId="33" fillId="0" borderId="0" xfId="3" applyNumberFormat="1" applyFont="1"/>
    <xf numFmtId="0" fontId="33" fillId="0" borderId="27" xfId="2" applyFont="1" applyBorder="1" applyAlignment="1">
      <alignment wrapText="1"/>
    </xf>
    <xf numFmtId="43" fontId="33" fillId="0" borderId="27" xfId="3" applyNumberFormat="1" applyFont="1" applyBorder="1"/>
    <xf numFmtId="0" fontId="33" fillId="0" borderId="27" xfId="2" applyFont="1" applyBorder="1"/>
    <xf numFmtId="0" fontId="39" fillId="0" borderId="0" xfId="2" applyFont="1" applyAlignment="1">
      <alignment wrapText="1"/>
    </xf>
    <xf numFmtId="43" fontId="39" fillId="0" borderId="0" xfId="3" applyNumberFormat="1" applyFont="1"/>
    <xf numFmtId="0" fontId="39" fillId="0" borderId="0" xfId="2" applyFont="1" applyFill="1" applyBorder="1"/>
    <xf numFmtId="9" fontId="39" fillId="2" borderId="6" xfId="4" applyFont="1" applyFill="1" applyBorder="1" applyAlignment="1">
      <alignment horizontal="right" indent="4"/>
    </xf>
    <xf numFmtId="9" fontId="39" fillId="0" borderId="6" xfId="4" applyFont="1" applyBorder="1" applyAlignment="1">
      <alignment horizontal="right" indent="4"/>
    </xf>
    <xf numFmtId="4" fontId="39" fillId="2" borderId="0" xfId="2" applyNumberFormat="1" applyFont="1" applyFill="1" applyBorder="1"/>
    <xf numFmtId="164" fontId="39" fillId="2" borderId="0" xfId="2" applyNumberFormat="1" applyFont="1" applyFill="1" applyBorder="1"/>
    <xf numFmtId="4" fontId="39" fillId="0" borderId="0" xfId="2" applyNumberFormat="1" applyFont="1" applyBorder="1"/>
    <xf numFmtId="164" fontId="39" fillId="0" borderId="0" xfId="2" applyNumberFormat="1" applyFont="1" applyBorder="1"/>
    <xf numFmtId="4" fontId="39" fillId="2" borderId="27" xfId="2" applyNumberFormat="1" applyFont="1" applyFill="1" applyBorder="1"/>
    <xf numFmtId="4" fontId="39" fillId="2" borderId="49" xfId="2" applyNumberFormat="1" applyFont="1" applyFill="1" applyBorder="1"/>
    <xf numFmtId="0" fontId="33" fillId="0" borderId="0" xfId="2" applyFont="1" applyBorder="1" applyAlignment="1">
      <alignment wrapText="1"/>
    </xf>
    <xf numFmtId="4" fontId="33" fillId="0" borderId="0" xfId="2" applyNumberFormat="1" applyFont="1" applyAlignment="1">
      <alignment horizontal="right" indent="2"/>
    </xf>
    <xf numFmtId="4" fontId="39" fillId="2" borderId="6" xfId="2" quotePrefix="1" applyNumberFormat="1" applyFont="1" applyFill="1" applyBorder="1"/>
    <xf numFmtId="4" fontId="39" fillId="0" borderId="6" xfId="2" quotePrefix="1" applyNumberFormat="1" applyFont="1" applyBorder="1"/>
    <xf numFmtId="9" fontId="39" fillId="2" borderId="50" xfId="4" applyFont="1" applyFill="1" applyBorder="1" applyAlignment="1">
      <alignment horizontal="right" indent="4"/>
    </xf>
    <xf numFmtId="9" fontId="33" fillId="0" borderId="0" xfId="2" applyNumberFormat="1" applyFont="1" applyAlignment="1">
      <alignment horizontal="right" indent="4"/>
    </xf>
    <xf numFmtId="0" fontId="39" fillId="0" borderId="0" xfId="2" applyFont="1" applyAlignment="1">
      <alignment horizontal="left" wrapText="1"/>
    </xf>
    <xf numFmtId="4" fontId="39" fillId="0" borderId="6" xfId="2" applyNumberFormat="1" applyFont="1" applyBorder="1" applyAlignment="1">
      <alignment horizontal="right" indent="1"/>
    </xf>
    <xf numFmtId="166" fontId="33" fillId="0" borderId="0" xfId="2" applyNumberFormat="1" applyFont="1"/>
    <xf numFmtId="0" fontId="39" fillId="0" borderId="0" xfId="2" applyFont="1" applyBorder="1" applyAlignment="1">
      <alignment wrapText="1"/>
    </xf>
    <xf numFmtId="9" fontId="33" fillId="0" borderId="0" xfId="2" applyNumberFormat="1" applyFont="1"/>
    <xf numFmtId="0" fontId="33" fillId="0" borderId="21" xfId="2" applyFont="1" applyBorder="1" applyAlignment="1">
      <alignment horizontal="center"/>
    </xf>
    <xf numFmtId="0" fontId="33" fillId="0" borderId="21" xfId="2" applyFont="1" applyBorder="1" applyAlignment="1">
      <alignment horizontal="center" wrapText="1"/>
    </xf>
    <xf numFmtId="4" fontId="51" fillId="2" borderId="20" xfId="2" applyNumberFormat="1" applyFont="1" applyFill="1" applyBorder="1"/>
    <xf numFmtId="4" fontId="40" fillId="2" borderId="6" xfId="2" applyNumberFormat="1" applyFont="1" applyFill="1" applyBorder="1"/>
    <xf numFmtId="4" fontId="52" fillId="2" borderId="0" xfId="2" applyNumberFormat="1" applyFont="1" applyFill="1" applyBorder="1"/>
    <xf numFmtId="4" fontId="51" fillId="0" borderId="20" xfId="2" applyNumberFormat="1" applyFont="1" applyBorder="1"/>
    <xf numFmtId="4" fontId="40" fillId="0" borderId="6" xfId="2" applyNumberFormat="1" applyFont="1" applyBorder="1"/>
    <xf numFmtId="4" fontId="52" fillId="0" borderId="0" xfId="2" applyNumberFormat="1" applyFont="1" applyBorder="1"/>
    <xf numFmtId="0" fontId="39" fillId="0" borderId="21" xfId="2" applyFont="1" applyBorder="1"/>
    <xf numFmtId="43" fontId="33" fillId="0" borderId="21" xfId="2" applyNumberFormat="1" applyFont="1" applyBorder="1"/>
    <xf numFmtId="0" fontId="53" fillId="0" borderId="0" xfId="2" applyFont="1"/>
    <xf numFmtId="4" fontId="33" fillId="0" borderId="0" xfId="2" applyNumberFormat="1" applyFont="1"/>
    <xf numFmtId="0" fontId="36" fillId="0" borderId="0" xfId="2" applyFont="1" applyAlignment="1">
      <alignment wrapText="1"/>
    </xf>
    <xf numFmtId="2" fontId="36" fillId="0" borderId="0" xfId="2" applyNumberFormat="1" applyFont="1"/>
    <xf numFmtId="0" fontId="49" fillId="0" borderId="0" xfId="2" applyFont="1" applyBorder="1" applyAlignment="1">
      <alignment vertical="top" wrapText="1"/>
    </xf>
    <xf numFmtId="0" fontId="39" fillId="0" borderId="21" xfId="2" applyFont="1" applyBorder="1" applyAlignment="1">
      <alignment wrapText="1"/>
    </xf>
    <xf numFmtId="0" fontId="55" fillId="0" borderId="0" xfId="2" applyFont="1" applyFill="1" applyBorder="1"/>
    <xf numFmtId="0" fontId="56" fillId="0" borderId="0" xfId="2" applyFont="1" applyFill="1" applyBorder="1"/>
    <xf numFmtId="0" fontId="25" fillId="0" borderId="0" xfId="2" applyFont="1" applyFill="1"/>
    <xf numFmtId="0" fontId="58" fillId="0" borderId="0" xfId="2" applyFont="1" applyFill="1" applyBorder="1"/>
    <xf numFmtId="0" fontId="57" fillId="0" borderId="0" xfId="2" applyFont="1" applyFill="1" applyBorder="1"/>
    <xf numFmtId="0" fontId="24" fillId="0" borderId="0" xfId="2" applyFill="1"/>
    <xf numFmtId="0" fontId="24" fillId="0" borderId="0" xfId="2" applyFont="1"/>
    <xf numFmtId="0" fontId="59" fillId="0" borderId="0" xfId="6"/>
    <xf numFmtId="0" fontId="28" fillId="0" borderId="0" xfId="2" applyFont="1"/>
    <xf numFmtId="0" fontId="60" fillId="0" borderId="0" xfId="2" applyFont="1" applyFill="1" applyBorder="1"/>
    <xf numFmtId="2" fontId="24" fillId="0" borderId="0" xfId="2" applyNumberFormat="1"/>
    <xf numFmtId="167" fontId="61" fillId="0" borderId="0" xfId="4" applyNumberFormat="1" applyFont="1"/>
    <xf numFmtId="168" fontId="24" fillId="0" borderId="0" xfId="2" applyNumberFormat="1"/>
    <xf numFmtId="0" fontId="62" fillId="0" borderId="0" xfId="2" applyFont="1" applyFill="1" applyBorder="1"/>
    <xf numFmtId="0" fontId="63" fillId="0" borderId="0" xfId="2" applyFont="1"/>
    <xf numFmtId="0" fontId="24" fillId="0" borderId="0" xfId="2" applyAlignment="1">
      <alignment horizontal="left"/>
    </xf>
    <xf numFmtId="2" fontId="24" fillId="2" borderId="51" xfId="2" applyNumberFormat="1" applyFont="1" applyFill="1" applyBorder="1" applyAlignment="1">
      <alignment horizontal="center"/>
    </xf>
    <xf numFmtId="167" fontId="24" fillId="2" borderId="51" xfId="2" applyNumberFormat="1" applyFont="1" applyFill="1" applyBorder="1" applyAlignment="1">
      <alignment horizontal="center"/>
    </xf>
    <xf numFmtId="4" fontId="24" fillId="2" borderId="51" xfId="2" applyNumberFormat="1" applyFont="1" applyFill="1" applyBorder="1" applyAlignment="1">
      <alignment horizontal="center"/>
    </xf>
    <xf numFmtId="0" fontId="64" fillId="6" borderId="51" xfId="2" applyFont="1" applyFill="1" applyBorder="1" applyAlignment="1">
      <alignment horizontal="left" vertical="top" wrapText="1"/>
    </xf>
    <xf numFmtId="0" fontId="64" fillId="6" borderId="53" xfId="2" applyFont="1" applyFill="1" applyBorder="1" applyAlignment="1">
      <alignment horizontal="left" vertical="top" wrapText="1"/>
    </xf>
    <xf numFmtId="0" fontId="24" fillId="0" borderId="0" xfId="2" applyAlignment="1">
      <alignment horizontal="left" vertical="top"/>
    </xf>
    <xf numFmtId="4" fontId="56" fillId="0" borderId="0" xfId="2" applyNumberFormat="1" applyFont="1" applyFill="1" applyBorder="1" applyAlignment="1">
      <alignment wrapText="1"/>
    </xf>
    <xf numFmtId="4" fontId="56" fillId="0" borderId="0" xfId="2" applyNumberFormat="1" applyFont="1" applyFill="1" applyBorder="1" applyAlignment="1">
      <alignment horizontal="right" wrapText="1"/>
    </xf>
    <xf numFmtId="4" fontId="58" fillId="7" borderId="0" xfId="2" applyNumberFormat="1" applyFont="1" applyFill="1" applyBorder="1" applyAlignment="1">
      <alignment wrapText="1"/>
    </xf>
    <xf numFmtId="4" fontId="58" fillId="0" borderId="36" xfId="2" applyNumberFormat="1" applyFont="1" applyFill="1" applyBorder="1" applyAlignment="1">
      <alignment wrapText="1"/>
    </xf>
    <xf numFmtId="4" fontId="58" fillId="0" borderId="0" xfId="2" applyNumberFormat="1" applyFont="1" applyFill="1" applyBorder="1" applyAlignment="1">
      <alignment horizontal="right" wrapText="1"/>
    </xf>
    <xf numFmtId="4" fontId="58" fillId="0" borderId="21" xfId="2" applyNumberFormat="1" applyFont="1" applyFill="1" applyBorder="1" applyAlignment="1">
      <alignment horizontal="right" wrapText="1"/>
    </xf>
    <xf numFmtId="4" fontId="58" fillId="0" borderId="54" xfId="2" applyNumberFormat="1" applyFont="1" applyFill="1" applyBorder="1" applyAlignment="1">
      <alignment horizontal="right" wrapText="1"/>
    </xf>
    <xf numFmtId="4" fontId="58" fillId="0" borderId="55" xfId="2" applyNumberFormat="1" applyFont="1" applyFill="1" applyBorder="1" applyAlignment="1">
      <alignment horizontal="center" wrapText="1"/>
    </xf>
    <xf numFmtId="4" fontId="66" fillId="0" borderId="0" xfId="2" applyNumberFormat="1" applyFont="1" applyFill="1" applyBorder="1" applyAlignment="1">
      <alignment wrapText="1"/>
    </xf>
    <xf numFmtId="4" fontId="56" fillId="0" borderId="56" xfId="2" applyNumberFormat="1" applyFont="1" applyFill="1" applyBorder="1" applyAlignment="1">
      <alignment wrapText="1"/>
    </xf>
    <xf numFmtId="164" fontId="56" fillId="0" borderId="43" xfId="2" applyNumberFormat="1" applyFont="1" applyFill="1" applyBorder="1" applyAlignment="1">
      <alignment wrapText="1"/>
    </xf>
    <xf numFmtId="164" fontId="56" fillId="0" borderId="42" xfId="2" applyNumberFormat="1" applyFont="1" applyFill="1" applyBorder="1" applyAlignment="1">
      <alignment wrapText="1"/>
    </xf>
    <xf numFmtId="4" fontId="56" fillId="0" borderId="43" xfId="2" applyNumberFormat="1" applyFont="1" applyFill="1" applyBorder="1" applyAlignment="1">
      <alignment wrapText="1"/>
    </xf>
    <xf numFmtId="164" fontId="56" fillId="0" borderId="57" xfId="2" applyNumberFormat="1" applyFont="1" applyFill="1" applyBorder="1" applyAlignment="1">
      <alignment horizontal="right" wrapText="1"/>
    </xf>
    <xf numFmtId="4" fontId="56" fillId="0" borderId="36" xfId="2" applyNumberFormat="1" applyFont="1" applyFill="1" applyBorder="1" applyAlignment="1">
      <alignment wrapText="1"/>
    </xf>
    <xf numFmtId="164" fontId="56" fillId="0" borderId="0" xfId="2" applyNumberFormat="1" applyFont="1" applyFill="1" applyBorder="1" applyAlignment="1">
      <alignment wrapText="1"/>
    </xf>
    <xf numFmtId="164" fontId="56" fillId="0" borderId="24" xfId="2" applyNumberFormat="1" applyFont="1" applyFill="1" applyBorder="1" applyAlignment="1">
      <alignment wrapText="1"/>
    </xf>
    <xf numFmtId="164" fontId="56" fillId="0" borderId="18" xfId="2" applyNumberFormat="1" applyFont="1" applyFill="1" applyBorder="1" applyAlignment="1">
      <alignment horizontal="right" wrapText="1"/>
    </xf>
    <xf numFmtId="4" fontId="56" fillId="0" borderId="58" xfId="2" applyNumberFormat="1" applyFont="1" applyFill="1" applyBorder="1" applyAlignment="1">
      <alignment wrapText="1"/>
    </xf>
    <xf numFmtId="164" fontId="56" fillId="0" borderId="26" xfId="2" applyNumberFormat="1" applyFont="1" applyFill="1" applyBorder="1" applyAlignment="1">
      <alignment wrapText="1"/>
    </xf>
    <xf numFmtId="4" fontId="56" fillId="0" borderId="21" xfId="2" applyNumberFormat="1" applyFont="1" applyFill="1" applyBorder="1" applyAlignment="1">
      <alignment wrapText="1"/>
    </xf>
    <xf numFmtId="164" fontId="56" fillId="0" borderId="59" xfId="2" applyNumberFormat="1" applyFont="1" applyFill="1" applyBorder="1" applyAlignment="1">
      <alignment horizontal="right" wrapText="1"/>
    </xf>
    <xf numFmtId="164" fontId="56" fillId="0" borderId="43" xfId="2" applyNumberFormat="1" applyFont="1" applyFill="1" applyBorder="1" applyAlignment="1">
      <alignment horizontal="right" wrapText="1"/>
    </xf>
    <xf numFmtId="164" fontId="56" fillId="0" borderId="0" xfId="2" applyNumberFormat="1" applyFont="1" applyFill="1" applyBorder="1" applyAlignment="1">
      <alignment horizontal="right" wrapText="1"/>
    </xf>
    <xf numFmtId="4" fontId="67" fillId="0" borderId="36" xfId="2" applyNumberFormat="1" applyFont="1" applyFill="1" applyBorder="1" applyAlignment="1">
      <alignment vertical="center" wrapText="1"/>
    </xf>
    <xf numFmtId="164" fontId="56" fillId="0" borderId="0" xfId="2" applyNumberFormat="1" applyFont="1" applyFill="1" applyBorder="1" applyAlignment="1">
      <alignment horizontal="right" vertical="center" wrapText="1"/>
    </xf>
    <xf numFmtId="4" fontId="56" fillId="0" borderId="0" xfId="2" applyNumberFormat="1" applyFont="1" applyFill="1" applyBorder="1" applyAlignment="1">
      <alignment vertical="center" wrapText="1"/>
    </xf>
    <xf numFmtId="164" fontId="56" fillId="0" borderId="18" xfId="2" applyNumberFormat="1" applyFont="1" applyFill="1" applyBorder="1" applyAlignment="1">
      <alignment horizontal="right" vertical="center" wrapText="1"/>
    </xf>
    <xf numFmtId="4" fontId="62" fillId="0" borderId="0" xfId="2" applyNumberFormat="1" applyFont="1" applyFill="1" applyBorder="1" applyAlignment="1">
      <alignment wrapText="1"/>
    </xf>
    <xf numFmtId="2" fontId="56" fillId="0" borderId="0" xfId="2" applyNumberFormat="1" applyFont="1" applyFill="1" applyBorder="1" applyAlignment="1">
      <alignment wrapText="1"/>
    </xf>
    <xf numFmtId="4" fontId="58" fillId="0" borderId="60" xfId="2" applyNumberFormat="1" applyFont="1" applyFill="1" applyBorder="1" applyAlignment="1">
      <alignment vertical="center" wrapText="1"/>
    </xf>
    <xf numFmtId="164" fontId="58" fillId="0" borderId="61" xfId="2" applyNumberFormat="1" applyFont="1" applyFill="1" applyBorder="1" applyAlignment="1">
      <alignment horizontal="right" vertical="center" wrapText="1"/>
    </xf>
    <xf numFmtId="164" fontId="58" fillId="0" borderId="62" xfId="2" applyNumberFormat="1" applyFont="1" applyFill="1" applyBorder="1" applyAlignment="1">
      <alignment horizontal="right" vertical="center" wrapText="1"/>
    </xf>
    <xf numFmtId="4" fontId="58" fillId="0" borderId="63" xfId="2" applyNumberFormat="1" applyFont="1" applyFill="1" applyBorder="1" applyAlignment="1">
      <alignment vertical="center" wrapText="1"/>
    </xf>
    <xf numFmtId="164" fontId="58" fillId="0" borderId="64" xfId="2" applyNumberFormat="1" applyFont="1" applyFill="1" applyBorder="1" applyAlignment="1">
      <alignment horizontal="right" vertical="center" wrapText="1"/>
    </xf>
    <xf numFmtId="169" fontId="56" fillId="0" borderId="0" xfId="2" applyNumberFormat="1" applyFont="1" applyFill="1" applyBorder="1" applyAlignment="1">
      <alignment wrapText="1"/>
    </xf>
    <xf numFmtId="4" fontId="56" fillId="0" borderId="0" xfId="2" applyNumberFormat="1" applyFont="1" applyFill="1" applyBorder="1" applyAlignment="1">
      <alignment horizontal="right" vertical="center" wrapText="1"/>
    </xf>
    <xf numFmtId="4" fontId="56" fillId="0" borderId="0" xfId="2" applyNumberFormat="1" applyFont="1" applyFill="1" applyBorder="1" applyAlignment="1">
      <alignment horizontal="center" vertical="center" wrapText="1"/>
    </xf>
    <xf numFmtId="4" fontId="56" fillId="9" borderId="64" xfId="2" applyNumberFormat="1" applyFont="1" applyFill="1" applyBorder="1" applyAlignment="1">
      <alignment vertical="center" wrapText="1"/>
    </xf>
    <xf numFmtId="4" fontId="56" fillId="9" borderId="65" xfId="2" applyNumberFormat="1" applyFont="1" applyFill="1" applyBorder="1" applyAlignment="1">
      <alignment vertical="center" wrapText="1"/>
    </xf>
    <xf numFmtId="4" fontId="66" fillId="0" borderId="0" xfId="2" applyNumberFormat="1" applyFont="1" applyFill="1" applyBorder="1" applyAlignment="1">
      <alignment horizontal="right" vertical="center" wrapText="1"/>
    </xf>
    <xf numFmtId="4" fontId="66" fillId="0" borderId="0" xfId="2" applyNumberFormat="1" applyFont="1" applyFill="1" applyBorder="1" applyAlignment="1">
      <alignment vertical="center" wrapText="1"/>
    </xf>
    <xf numFmtId="4" fontId="56" fillId="9" borderId="18" xfId="2" applyNumberFormat="1" applyFont="1" applyFill="1" applyBorder="1" applyAlignment="1">
      <alignment wrapText="1"/>
    </xf>
    <xf numFmtId="4" fontId="56" fillId="9" borderId="37" xfId="2" applyNumberFormat="1" applyFont="1" applyFill="1" applyBorder="1" applyAlignment="1">
      <alignment wrapText="1"/>
    </xf>
    <xf numFmtId="2" fontId="66" fillId="0" borderId="0" xfId="2" applyNumberFormat="1" applyFont="1" applyFill="1" applyBorder="1" applyAlignment="1">
      <alignment wrapText="1"/>
    </xf>
    <xf numFmtId="4" fontId="56" fillId="9" borderId="59" xfId="2" applyNumberFormat="1" applyFont="1" applyFill="1" applyBorder="1" applyAlignment="1">
      <alignment wrapText="1"/>
    </xf>
    <xf numFmtId="4" fontId="56" fillId="0" borderId="28" xfId="2" applyNumberFormat="1" applyFont="1" applyFill="1" applyBorder="1" applyAlignment="1">
      <alignment vertical="center" wrapText="1"/>
    </xf>
    <xf numFmtId="4" fontId="69" fillId="0" borderId="0" xfId="2" applyNumberFormat="1" applyFont="1" applyFill="1" applyBorder="1" applyAlignment="1">
      <alignment horizontal="right" wrapText="1"/>
    </xf>
    <xf numFmtId="4" fontId="70" fillId="7" borderId="0" xfId="2" applyNumberFormat="1" applyFont="1" applyFill="1" applyBorder="1" applyAlignment="1">
      <alignment wrapText="1"/>
    </xf>
    <xf numFmtId="4" fontId="71" fillId="0" borderId="0" xfId="2" applyNumberFormat="1" applyFont="1" applyFill="1" applyBorder="1" applyAlignment="1">
      <alignment wrapText="1"/>
    </xf>
    <xf numFmtId="2" fontId="71" fillId="0" borderId="0" xfId="2" applyNumberFormat="1" applyFont="1" applyFill="1" applyBorder="1" applyAlignment="1">
      <alignment wrapText="1"/>
    </xf>
    <xf numFmtId="4" fontId="72" fillId="0" borderId="0" xfId="2" applyNumberFormat="1" applyFont="1" applyFill="1" applyBorder="1" applyAlignment="1">
      <alignment wrapText="1"/>
    </xf>
    <xf numFmtId="170" fontId="71" fillId="0" borderId="0" xfId="2" applyNumberFormat="1" applyFont="1" applyFill="1" applyBorder="1" applyAlignment="1">
      <alignment wrapText="1"/>
    </xf>
    <xf numFmtId="4" fontId="67" fillId="0" borderId="0" xfId="2" applyNumberFormat="1" applyFont="1" applyFill="1" applyBorder="1" applyAlignment="1">
      <alignment wrapText="1"/>
    </xf>
    <xf numFmtId="4" fontId="58" fillId="0" borderId="0" xfId="2" applyNumberFormat="1" applyFont="1" applyFill="1" applyBorder="1" applyAlignment="1">
      <alignment wrapText="1"/>
    </xf>
    <xf numFmtId="2" fontId="72" fillId="0" borderId="0" xfId="2" applyNumberFormat="1" applyFont="1" applyFill="1" applyBorder="1" applyAlignment="1">
      <alignment wrapText="1"/>
    </xf>
    <xf numFmtId="4" fontId="68" fillId="0" borderId="0" xfId="2" applyNumberFormat="1" applyFont="1" applyFill="1" applyBorder="1" applyAlignment="1">
      <alignment wrapText="1"/>
    </xf>
    <xf numFmtId="4" fontId="73" fillId="0" borderId="0" xfId="2" applyNumberFormat="1" applyFont="1" applyFill="1" applyBorder="1" applyAlignment="1">
      <alignment wrapText="1"/>
    </xf>
    <xf numFmtId="0" fontId="27" fillId="0" borderId="0" xfId="2" applyFont="1"/>
    <xf numFmtId="0" fontId="25" fillId="8" borderId="0" xfId="2" applyFont="1" applyFill="1" applyAlignment="1">
      <alignment horizontal="center"/>
    </xf>
    <xf numFmtId="0" fontId="25" fillId="0" borderId="0" xfId="2" applyFont="1" applyFill="1" applyAlignment="1">
      <alignment horizontal="center"/>
    </xf>
    <xf numFmtId="0" fontId="75" fillId="0" borderId="0" xfId="2" applyFont="1"/>
    <xf numFmtId="0" fontId="64" fillId="6" borderId="66" xfId="2" applyFont="1" applyFill="1" applyBorder="1" applyAlignment="1">
      <alignment horizontal="left"/>
    </xf>
    <xf numFmtId="0" fontId="64" fillId="6" borderId="67" xfId="2" applyFont="1" applyFill="1" applyBorder="1" applyAlignment="1">
      <alignment horizontal="left"/>
    </xf>
    <xf numFmtId="0" fontId="54" fillId="0" borderId="0" xfId="5"/>
    <xf numFmtId="4" fontId="72" fillId="0" borderId="0" xfId="2" applyNumberFormat="1" applyFont="1" applyFill="1" applyBorder="1" applyAlignment="1">
      <alignment horizontal="right"/>
    </xf>
    <xf numFmtId="43" fontId="72" fillId="0" borderId="0" xfId="1" applyFont="1" applyFill="1" applyBorder="1" applyAlignment="1">
      <alignment wrapText="1"/>
    </xf>
    <xf numFmtId="0" fontId="64" fillId="6" borderId="51" xfId="0" applyFont="1" applyFill="1" applyBorder="1"/>
    <xf numFmtId="0" fontId="0" fillId="0" borderId="0" xfId="0" applyAlignment="1">
      <alignment wrapText="1"/>
    </xf>
    <xf numFmtId="0" fontId="0" fillId="0" borderId="51" xfId="0" applyFont="1" applyBorder="1"/>
    <xf numFmtId="0" fontId="0" fillId="2" borderId="51" xfId="0" applyFont="1" applyFill="1" applyBorder="1"/>
    <xf numFmtId="0" fontId="0" fillId="0" borderId="0" xfId="0" applyNumberFormat="1"/>
    <xf numFmtId="0" fontId="64" fillId="6" borderId="51" xfId="0" applyFont="1" applyFill="1" applyBorder="1" applyAlignment="1">
      <alignment wrapText="1"/>
    </xf>
    <xf numFmtId="0" fontId="77" fillId="0" borderId="0" xfId="0" applyFont="1"/>
    <xf numFmtId="3" fontId="0" fillId="0" borderId="0" xfId="0" applyNumberFormat="1"/>
    <xf numFmtId="167" fontId="0" fillId="0" borderId="0" xfId="0" applyNumberFormat="1"/>
    <xf numFmtId="0" fontId="38" fillId="0" borderId="0" xfId="0" quotePrefix="1" applyFont="1" applyBorder="1" applyAlignment="1">
      <alignment vertical="center" wrapText="1"/>
    </xf>
    <xf numFmtId="0" fontId="33" fillId="0" borderId="0" xfId="0" applyFont="1" applyBorder="1" applyAlignment="1">
      <alignment horizontal="right"/>
    </xf>
    <xf numFmtId="0" fontId="33" fillId="0" borderId="0" xfId="0" applyFont="1" applyBorder="1"/>
    <xf numFmtId="4" fontId="39" fillId="0" borderId="51" xfId="0" applyNumberFormat="1" applyFont="1" applyBorder="1"/>
    <xf numFmtId="0" fontId="33" fillId="0" borderId="51" xfId="0" applyFont="1" applyBorder="1"/>
    <xf numFmtId="4" fontId="39" fillId="0" borderId="71" xfId="0" applyNumberFormat="1" applyFont="1" applyBorder="1" applyAlignment="1">
      <alignment horizontal="right" indent="2"/>
    </xf>
    <xf numFmtId="4" fontId="39" fillId="0" borderId="72" xfId="0" applyNumberFormat="1" applyFont="1" applyBorder="1"/>
    <xf numFmtId="4" fontId="39" fillId="0" borderId="52" xfId="0" applyNumberFormat="1" applyFont="1" applyBorder="1"/>
    <xf numFmtId="4" fontId="40" fillId="0" borderId="70" xfId="0" applyNumberFormat="1" applyFont="1" applyBorder="1" applyAlignment="1">
      <alignment horizontal="right" indent="3"/>
    </xf>
    <xf numFmtId="0" fontId="33" fillId="0" borderId="0" xfId="0" applyFont="1" applyFill="1" applyAlignment="1">
      <alignment vertical="center"/>
    </xf>
    <xf numFmtId="49" fontId="37" fillId="0" borderId="0" xfId="0" applyNumberFormat="1" applyFont="1" applyAlignment="1">
      <alignment horizontal="left"/>
    </xf>
    <xf numFmtId="49" fontId="80" fillId="0" borderId="0" xfId="0" applyNumberFormat="1" applyFont="1" applyAlignment="1">
      <alignment horizontal="left"/>
    </xf>
    <xf numFmtId="4" fontId="39" fillId="2" borderId="73" xfId="0" applyNumberFormat="1" applyFont="1" applyFill="1" applyBorder="1"/>
    <xf numFmtId="4" fontId="39" fillId="2" borderId="4" xfId="0" applyNumberFormat="1" applyFont="1" applyFill="1" applyBorder="1"/>
    <xf numFmtId="4" fontId="39" fillId="2" borderId="2" xfId="0" applyNumberFormat="1" applyFont="1" applyFill="1" applyBorder="1"/>
    <xf numFmtId="0" fontId="33" fillId="2" borderId="2" xfId="0" applyFont="1" applyFill="1" applyBorder="1"/>
    <xf numFmtId="4" fontId="39" fillId="2" borderId="74" xfId="0" applyNumberFormat="1" applyFont="1" applyFill="1" applyBorder="1" applyAlignment="1">
      <alignment horizontal="right" indent="1"/>
    </xf>
    <xf numFmtId="4" fontId="40" fillId="2" borderId="75" xfId="0" applyNumberFormat="1" applyFont="1" applyFill="1" applyBorder="1" applyAlignment="1">
      <alignment horizontal="right" indent="1"/>
    </xf>
    <xf numFmtId="164" fontId="39" fillId="2" borderId="75" xfId="0" applyNumberFormat="1" applyFont="1" applyFill="1" applyBorder="1"/>
    <xf numFmtId="4" fontId="39" fillId="2" borderId="74" xfId="0" applyNumberFormat="1" applyFont="1" applyFill="1" applyBorder="1" applyAlignment="1">
      <alignment horizontal="right" indent="2"/>
    </xf>
    <xf numFmtId="4" fontId="39" fillId="2" borderId="2" xfId="0" applyNumberFormat="1" applyFont="1" applyFill="1" applyBorder="1" applyAlignment="1">
      <alignment horizontal="right" indent="2"/>
    </xf>
    <xf numFmtId="4" fontId="40" fillId="2" borderId="75" xfId="0" applyNumberFormat="1" applyFont="1" applyFill="1" applyBorder="1" applyAlignment="1">
      <alignment horizontal="right" indent="2"/>
    </xf>
    <xf numFmtId="4" fontId="39" fillId="0" borderId="69" xfId="0" applyNumberFormat="1" applyFont="1" applyBorder="1"/>
    <xf numFmtId="4" fontId="39" fillId="0" borderId="76" xfId="0" applyNumberFormat="1" applyFont="1" applyBorder="1"/>
    <xf numFmtId="4" fontId="39" fillId="0" borderId="68" xfId="0" applyNumberFormat="1" applyFont="1" applyBorder="1"/>
    <xf numFmtId="0" fontId="33" fillId="0" borderId="68" xfId="0" applyFont="1" applyBorder="1"/>
    <xf numFmtId="4" fontId="39" fillId="2" borderId="77" xfId="0" applyNumberFormat="1" applyFont="1" applyFill="1" applyBorder="1" applyAlignment="1">
      <alignment horizontal="right" indent="1"/>
    </xf>
    <xf numFmtId="4" fontId="40" fillId="0" borderId="78" xfId="0" applyNumberFormat="1" applyFont="1" applyBorder="1" applyAlignment="1">
      <alignment horizontal="right" indent="1"/>
    </xf>
    <xf numFmtId="164" fontId="39" fillId="0" borderId="78" xfId="0" applyNumberFormat="1" applyFont="1" applyBorder="1"/>
    <xf numFmtId="4" fontId="39" fillId="2" borderId="77" xfId="0" applyNumberFormat="1" applyFont="1" applyFill="1" applyBorder="1" applyAlignment="1">
      <alignment horizontal="right" indent="2"/>
    </xf>
    <xf numFmtId="4" fontId="39" fillId="2" borderId="68" xfId="0" applyNumberFormat="1" applyFont="1" applyFill="1" applyBorder="1" applyAlignment="1">
      <alignment horizontal="right" indent="2"/>
    </xf>
    <xf numFmtId="4" fontId="40" fillId="0" borderId="78" xfId="0" applyNumberFormat="1" applyFont="1" applyBorder="1" applyAlignment="1">
      <alignment horizontal="right" indent="2"/>
    </xf>
    <xf numFmtId="4" fontId="40" fillId="0" borderId="79" xfId="0" applyNumberFormat="1" applyFont="1" applyBorder="1" applyAlignment="1">
      <alignment horizontal="right" indent="3"/>
    </xf>
    <xf numFmtId="4" fontId="39" fillId="2" borderId="69" xfId="0" applyNumberFormat="1" applyFont="1" applyFill="1" applyBorder="1"/>
    <xf numFmtId="4" fontId="39" fillId="2" borderId="76" xfId="0" applyNumberFormat="1" applyFont="1" applyFill="1" applyBorder="1"/>
    <xf numFmtId="4" fontId="39" fillId="2" borderId="68" xfId="0" applyNumberFormat="1" applyFont="1" applyFill="1" applyBorder="1"/>
    <xf numFmtId="0" fontId="33" fillId="2" borderId="68" xfId="0" applyFont="1" applyFill="1" applyBorder="1"/>
    <xf numFmtId="4" fontId="40" fillId="2" borderId="78" xfId="0" applyNumberFormat="1" applyFont="1" applyFill="1" applyBorder="1" applyAlignment="1">
      <alignment horizontal="right" indent="1"/>
    </xf>
    <xf numFmtId="164" fontId="39" fillId="2" borderId="78" xfId="0" applyNumberFormat="1" applyFont="1" applyFill="1" applyBorder="1"/>
    <xf numFmtId="4" fontId="40" fillId="2" borderId="78" xfId="0" applyNumberFormat="1" applyFont="1" applyFill="1" applyBorder="1" applyAlignment="1">
      <alignment horizontal="right" indent="2"/>
    </xf>
    <xf numFmtId="4" fontId="40" fillId="2" borderId="79" xfId="0" applyNumberFormat="1" applyFont="1" applyFill="1" applyBorder="1" applyAlignment="1">
      <alignment horizontal="right" indent="3"/>
    </xf>
    <xf numFmtId="4" fontId="39" fillId="0" borderId="68" xfId="0" applyNumberFormat="1" applyFont="1" applyBorder="1" applyAlignment="1">
      <alignment horizontal="right" indent="2"/>
    </xf>
    <xf numFmtId="4" fontId="39" fillId="2" borderId="80" xfId="0" applyNumberFormat="1" applyFont="1" applyFill="1" applyBorder="1" applyAlignment="1">
      <alignment horizontal="right" indent="1"/>
    </xf>
    <xf numFmtId="4" fontId="40" fillId="0" borderId="81" xfId="0" applyNumberFormat="1" applyFont="1" applyBorder="1" applyAlignment="1">
      <alignment horizontal="right" indent="1"/>
    </xf>
    <xf numFmtId="164" fontId="39" fillId="0" borderId="82" xfId="0" applyNumberFormat="1" applyFont="1" applyBorder="1"/>
    <xf numFmtId="4" fontId="39" fillId="2" borderId="80" xfId="0" applyNumberFormat="1" applyFont="1" applyFill="1" applyBorder="1" applyAlignment="1">
      <alignment horizontal="right" indent="2"/>
    </xf>
    <xf numFmtId="4" fontId="40" fillId="0" borderId="81" xfId="0" applyNumberFormat="1" applyFont="1" applyBorder="1" applyAlignment="1">
      <alignment horizontal="right" indent="2"/>
    </xf>
    <xf numFmtId="49" fontId="81" fillId="6" borderId="6" xfId="0" applyNumberFormat="1" applyFont="1" applyFill="1" applyBorder="1" applyAlignment="1">
      <alignment horizontal="left"/>
    </xf>
    <xf numFmtId="49" fontId="81" fillId="6" borderId="0" xfId="0" applyNumberFormat="1" applyFont="1" applyFill="1" applyBorder="1" applyAlignment="1">
      <alignment horizontal="left"/>
    </xf>
    <xf numFmtId="49" fontId="81" fillId="6" borderId="5" xfId="0" applyNumberFormat="1" applyFont="1" applyFill="1" applyBorder="1" applyAlignment="1">
      <alignment horizontal="left"/>
    </xf>
    <xf numFmtId="0" fontId="82" fillId="0" borderId="0" xfId="2" applyFont="1"/>
    <xf numFmtId="0" fontId="26" fillId="0" borderId="0" xfId="2" applyFont="1"/>
    <xf numFmtId="2" fontId="37" fillId="0" borderId="0" xfId="2" applyNumberFormat="1" applyFont="1"/>
    <xf numFmtId="0" fontId="24" fillId="5" borderId="0" xfId="2" applyFill="1"/>
    <xf numFmtId="0" fontId="21" fillId="0" borderId="0" xfId="2" applyFont="1"/>
    <xf numFmtId="0" fontId="24" fillId="41" borderId="0" xfId="2" applyFill="1"/>
    <xf numFmtId="2" fontId="24" fillId="3" borderId="51" xfId="2" applyNumberFormat="1" applyFont="1" applyFill="1" applyBorder="1" applyAlignment="1">
      <alignment horizontal="center"/>
    </xf>
    <xf numFmtId="0" fontId="24" fillId="3" borderId="0" xfId="2" applyFill="1"/>
    <xf numFmtId="4" fontId="24" fillId="3" borderId="51" xfId="2" applyNumberFormat="1" applyFont="1" applyFill="1" applyBorder="1" applyAlignment="1">
      <alignment horizontal="center"/>
    </xf>
    <xf numFmtId="0" fontId="24" fillId="42" borderId="0" xfId="2" applyFill="1"/>
    <xf numFmtId="0" fontId="24" fillId="43" borderId="0" xfId="2" applyFill="1"/>
    <xf numFmtId="4" fontId="56" fillId="0" borderId="0" xfId="2" applyNumberFormat="1" applyFont="1" applyFill="1" applyBorder="1" applyAlignment="1">
      <alignment wrapText="1"/>
    </xf>
    <xf numFmtId="4" fontId="56" fillId="0" borderId="0" xfId="2" applyNumberFormat="1" applyFont="1" applyFill="1" applyBorder="1" applyAlignment="1">
      <alignment vertical="center" wrapText="1"/>
    </xf>
    <xf numFmtId="0" fontId="24" fillId="8" borderId="0" xfId="2" applyFill="1"/>
    <xf numFmtId="0" fontId="20" fillId="0" borderId="0" xfId="2" applyFont="1"/>
    <xf numFmtId="0" fontId="24" fillId="44" borderId="0" xfId="2" applyFill="1"/>
    <xf numFmtId="0" fontId="24" fillId="45" borderId="0" xfId="2" applyFill="1"/>
    <xf numFmtId="0" fontId="44" fillId="0" borderId="0" xfId="2" applyFont="1"/>
    <xf numFmtId="43" fontId="36" fillId="0" borderId="0" xfId="2" applyNumberFormat="1" applyFont="1"/>
    <xf numFmtId="4" fontId="60" fillId="0" borderId="0" xfId="2" applyNumberFormat="1" applyFont="1" applyFill="1" applyBorder="1" applyAlignment="1">
      <alignment wrapText="1"/>
    </xf>
    <xf numFmtId="4" fontId="96" fillId="46" borderId="0" xfId="2" applyNumberFormat="1" applyFont="1" applyFill="1" applyBorder="1" applyAlignment="1">
      <alignment wrapText="1"/>
    </xf>
    <xf numFmtId="4" fontId="60" fillId="0" borderId="27" xfId="2" applyNumberFormat="1" applyFont="1" applyFill="1" applyBorder="1" applyAlignment="1">
      <alignment wrapText="1"/>
    </xf>
    <xf numFmtId="164" fontId="66" fillId="0" borderId="0" xfId="2" applyNumberFormat="1" applyFont="1" applyFill="1" applyBorder="1" applyAlignment="1">
      <alignment wrapText="1"/>
    </xf>
    <xf numFmtId="4" fontId="97" fillId="0" borderId="0" xfId="2" applyNumberFormat="1" applyFont="1" applyFill="1" applyBorder="1" applyAlignment="1">
      <alignment wrapText="1"/>
    </xf>
    <xf numFmtId="0" fontId="78" fillId="0" borderId="0" xfId="53" applyFont="1"/>
    <xf numFmtId="0" fontId="79" fillId="0" borderId="0" xfId="53" applyFont="1" applyAlignment="1">
      <alignment horizontal="center" vertical="center"/>
    </xf>
    <xf numFmtId="0" fontId="79" fillId="0" borderId="0" xfId="53" applyFont="1" applyAlignment="1">
      <alignment horizontal="justify" vertical="center"/>
    </xf>
    <xf numFmtId="0" fontId="76" fillId="0" borderId="0" xfId="53" applyFont="1"/>
    <xf numFmtId="0" fontId="63" fillId="0" borderId="0" xfId="53" applyFont="1" applyAlignment="1">
      <alignment horizontal="center" vertical="center"/>
    </xf>
    <xf numFmtId="0" fontId="63" fillId="0" borderId="0" xfId="53" applyFont="1" applyAlignment="1">
      <alignment horizontal="justify" vertical="center"/>
    </xf>
    <xf numFmtId="0" fontId="19" fillId="0" borderId="0" xfId="53"/>
    <xf numFmtId="0" fontId="28" fillId="0" borderId="0" xfId="53" applyFont="1" applyAlignment="1">
      <alignment horizontal="center" vertical="center"/>
    </xf>
    <xf numFmtId="0" fontId="25" fillId="0" borderId="0" xfId="53" applyFont="1" applyAlignment="1">
      <alignment horizontal="justify" vertical="center"/>
    </xf>
    <xf numFmtId="0" fontId="25" fillId="0" borderId="0" xfId="53" applyFont="1" applyAlignment="1">
      <alignment horizontal="right"/>
    </xf>
    <xf numFmtId="0" fontId="25" fillId="0" borderId="0" xfId="53" applyFont="1"/>
    <xf numFmtId="0" fontId="30" fillId="0" borderId="0" xfId="53" applyFont="1" applyAlignment="1">
      <alignment horizontal="center" vertical="center"/>
    </xf>
    <xf numFmtId="0" fontId="19" fillId="0" borderId="0" xfId="53" applyAlignment="1">
      <alignment horizontal="justify" vertical="center"/>
    </xf>
    <xf numFmtId="0" fontId="19" fillId="0" borderId="0" xfId="53" applyAlignment="1"/>
    <xf numFmtId="0" fontId="19" fillId="0" borderId="0" xfId="53" applyFont="1"/>
    <xf numFmtId="0" fontId="29" fillId="0" borderId="0" xfId="53" applyFont="1" applyAlignment="1">
      <alignment horizontal="center" vertical="center"/>
    </xf>
    <xf numFmtId="0" fontId="19" fillId="0" borderId="0" xfId="53" applyFont="1" applyAlignment="1">
      <alignment horizontal="right"/>
    </xf>
    <xf numFmtId="0" fontId="25" fillId="0" borderId="0" xfId="53" applyFont="1" applyAlignment="1">
      <alignment vertical="center"/>
    </xf>
    <xf numFmtId="0" fontId="25" fillId="0" borderId="0" xfId="53" applyFont="1" applyAlignment="1">
      <alignment horizontal="justify" vertical="top"/>
    </xf>
    <xf numFmtId="0" fontId="19" fillId="0" borderId="0" xfId="53" applyFont="1" applyAlignment="1">
      <alignment vertical="top"/>
    </xf>
    <xf numFmtId="0" fontId="19" fillId="0" borderId="0" xfId="53" applyFont="1" applyAlignment="1">
      <alignment horizontal="right" vertical="top"/>
    </xf>
    <xf numFmtId="0" fontId="19" fillId="0" borderId="0" xfId="53" applyAlignment="1">
      <alignment vertical="top"/>
    </xf>
    <xf numFmtId="0" fontId="30" fillId="0" borderId="0" xfId="53" applyFont="1" applyAlignment="1">
      <alignment horizontal="center" vertical="top"/>
    </xf>
    <xf numFmtId="4" fontId="56" fillId="0" borderId="0" xfId="2" applyNumberFormat="1" applyFont="1" applyFill="1" applyBorder="1" applyAlignment="1">
      <alignment wrapText="1"/>
    </xf>
    <xf numFmtId="168" fontId="26" fillId="0" borderId="0" xfId="2" applyNumberFormat="1" applyFont="1"/>
    <xf numFmtId="0" fontId="36" fillId="0" borderId="0" xfId="2" applyFont="1" applyAlignment="1">
      <alignment horizontal="center"/>
    </xf>
    <xf numFmtId="168" fontId="98" fillId="0" borderId="0" xfId="2" applyNumberFormat="1" applyFont="1"/>
    <xf numFmtId="0" fontId="18" fillId="0" borderId="0" xfId="2" applyFont="1"/>
    <xf numFmtId="4" fontId="56" fillId="0" borderId="0" xfId="2" applyNumberFormat="1" applyFont="1" applyFill="1" applyBorder="1" applyAlignment="1">
      <alignment wrapText="1"/>
    </xf>
    <xf numFmtId="0" fontId="24" fillId="47" borderId="0" xfId="2" applyFill="1"/>
    <xf numFmtId="0" fontId="29" fillId="0" borderId="0" xfId="2" applyFont="1"/>
    <xf numFmtId="0" fontId="16" fillId="0" borderId="0" xfId="2" applyFont="1"/>
    <xf numFmtId="168" fontId="56" fillId="0" borderId="0" xfId="2" applyNumberFormat="1" applyFont="1" applyFill="1" applyBorder="1" applyAlignment="1">
      <alignment wrapText="1"/>
    </xf>
    <xf numFmtId="3" fontId="56" fillId="0" borderId="0" xfId="2" applyNumberFormat="1" applyFont="1" applyFill="1" applyBorder="1" applyAlignment="1">
      <alignment wrapText="1"/>
    </xf>
    <xf numFmtId="0" fontId="33" fillId="0" borderId="0" xfId="2" applyFont="1" applyAlignment="1">
      <alignment horizontal="left" wrapText="1"/>
    </xf>
    <xf numFmtId="0" fontId="99" fillId="0" borderId="0" xfId="2" applyFont="1"/>
    <xf numFmtId="0" fontId="101" fillId="0" borderId="0" xfId="2" applyFont="1"/>
    <xf numFmtId="0" fontId="57" fillId="0" borderId="0" xfId="2" applyFont="1" applyFill="1" applyBorder="1" applyAlignment="1"/>
    <xf numFmtId="0" fontId="32" fillId="0" borderId="23" xfId="2" applyFont="1" applyBorder="1"/>
    <xf numFmtId="0" fontId="33" fillId="0" borderId="23" xfId="2" applyFont="1" applyBorder="1"/>
    <xf numFmtId="0" fontId="33" fillId="0" borderId="23" xfId="2" applyFont="1" applyBorder="1" applyAlignment="1">
      <alignment horizontal="left" wrapText="1"/>
    </xf>
    <xf numFmtId="0" fontId="33" fillId="0" borderId="23" xfId="2" applyFont="1" applyBorder="1" applyAlignment="1">
      <alignment horizontal="left" indent="1"/>
    </xf>
    <xf numFmtId="0" fontId="33" fillId="0" borderId="23" xfId="2" applyFont="1" applyBorder="1" applyAlignment="1">
      <alignment wrapText="1"/>
    </xf>
    <xf numFmtId="0" fontId="103" fillId="0" borderId="43" xfId="2" applyFont="1" applyBorder="1" applyAlignment="1">
      <alignment vertical="top"/>
    </xf>
    <xf numFmtId="0" fontId="103" fillId="0" borderId="23" xfId="2" applyFont="1" applyBorder="1" applyAlignment="1">
      <alignment vertical="top"/>
    </xf>
    <xf numFmtId="0" fontId="103" fillId="0" borderId="0" xfId="2" applyFont="1" applyAlignment="1">
      <alignment vertical="top"/>
    </xf>
    <xf numFmtId="0" fontId="33" fillId="0" borderId="0" xfId="0" applyFont="1" applyAlignment="1">
      <alignment wrapText="1"/>
    </xf>
    <xf numFmtId="0" fontId="103" fillId="0" borderId="0" xfId="2" applyFont="1"/>
    <xf numFmtId="0" fontId="31" fillId="0" borderId="0" xfId="2" applyFont="1"/>
    <xf numFmtId="0" fontId="34" fillId="0" borderId="0" xfId="2" applyFont="1"/>
    <xf numFmtId="0" fontId="24" fillId="0" borderId="0" xfId="2" applyFill="1" applyAlignment="1">
      <alignment horizontal="right"/>
    </xf>
    <xf numFmtId="167" fontId="26" fillId="0" borderId="0" xfId="54" applyNumberFormat="1" applyFont="1" applyFill="1" applyAlignment="1">
      <alignment horizontal="right"/>
    </xf>
    <xf numFmtId="167" fontId="26" fillId="0" borderId="0" xfId="54" applyNumberFormat="1" applyFont="1"/>
    <xf numFmtId="166" fontId="24" fillId="0" borderId="0" xfId="1" applyNumberFormat="1" applyFont="1"/>
    <xf numFmtId="166" fontId="24" fillId="0" borderId="0" xfId="1" applyNumberFormat="1" applyFont="1" applyAlignment="1">
      <alignment horizontal="right"/>
    </xf>
    <xf numFmtId="166" fontId="24" fillId="0" borderId="0" xfId="1" applyNumberFormat="1" applyFont="1" applyFill="1" applyAlignment="1">
      <alignment horizontal="right"/>
    </xf>
    <xf numFmtId="0" fontId="15" fillId="0" borderId="0" xfId="2" applyFont="1"/>
    <xf numFmtId="43" fontId="24" fillId="0" borderId="0" xfId="2" applyNumberFormat="1"/>
    <xf numFmtId="4" fontId="56" fillId="0" borderId="0" xfId="2" applyNumberFormat="1" applyFont="1" applyFill="1" applyBorder="1" applyAlignment="1">
      <alignment wrapText="1"/>
    </xf>
    <xf numFmtId="0" fontId="14" fillId="0" borderId="0" xfId="2" applyFont="1"/>
    <xf numFmtId="0" fontId="14" fillId="0" borderId="0" xfId="53" applyFont="1"/>
    <xf numFmtId="4" fontId="56" fillId="0" borderId="0" xfId="2" applyNumberFormat="1" applyFont="1" applyFill="1" applyBorder="1" applyAlignment="1">
      <alignment wrapText="1"/>
    </xf>
    <xf numFmtId="0" fontId="33" fillId="0" borderId="0" xfId="2" applyFont="1" applyAlignment="1">
      <alignment horizontal="center"/>
    </xf>
    <xf numFmtId="171" fontId="56" fillId="0" borderId="0" xfId="2" applyNumberFormat="1" applyFont="1" applyFill="1" applyBorder="1" applyAlignment="1">
      <alignment wrapText="1"/>
    </xf>
    <xf numFmtId="4" fontId="60" fillId="8" borderId="0" xfId="2" applyNumberFormat="1" applyFont="1" applyFill="1" applyBorder="1" applyAlignment="1">
      <alignment wrapText="1"/>
    </xf>
    <xf numFmtId="4" fontId="56" fillId="0" borderId="0" xfId="2" applyNumberFormat="1" applyFont="1" applyFill="1" applyBorder="1" applyAlignment="1"/>
    <xf numFmtId="4" fontId="73" fillId="0" borderId="0" xfId="2" applyNumberFormat="1" applyFont="1" applyFill="1" applyBorder="1" applyAlignment="1"/>
    <xf numFmtId="4" fontId="66" fillId="0" borderId="0" xfId="2" applyNumberFormat="1" applyFont="1" applyFill="1" applyBorder="1" applyAlignment="1"/>
    <xf numFmtId="4" fontId="71" fillId="0" borderId="0" xfId="2" applyNumberFormat="1" applyFont="1" applyFill="1" applyBorder="1" applyAlignment="1"/>
    <xf numFmtId="170" fontId="56" fillId="0" borderId="0" xfId="2" applyNumberFormat="1" applyFont="1" applyFill="1" applyBorder="1" applyAlignment="1">
      <alignment wrapText="1"/>
    </xf>
    <xf numFmtId="4" fontId="56" fillId="49" borderId="0" xfId="2" applyNumberFormat="1" applyFont="1" applyFill="1" applyBorder="1" applyAlignment="1">
      <alignment wrapText="1"/>
    </xf>
    <xf numFmtId="43" fontId="33" fillId="0" borderId="0" xfId="2" applyNumberFormat="1" applyFont="1" applyAlignment="1"/>
    <xf numFmtId="168" fontId="33" fillId="0" borderId="0" xfId="2" applyNumberFormat="1" applyFont="1" applyAlignment="1">
      <alignment horizontal="right"/>
    </xf>
    <xf numFmtId="172" fontId="71" fillId="0" borderId="0" xfId="2" applyNumberFormat="1" applyFont="1" applyFill="1" applyBorder="1" applyAlignment="1">
      <alignment wrapText="1"/>
    </xf>
    <xf numFmtId="0" fontId="0" fillId="0" borderId="0" xfId="0"/>
    <xf numFmtId="0" fontId="13" fillId="0" borderId="0" xfId="74" applyAlignment="1">
      <alignment wrapText="1"/>
    </xf>
    <xf numFmtId="0" fontId="33" fillId="0" borderId="0" xfId="0" applyFont="1"/>
    <xf numFmtId="0" fontId="33" fillId="0" borderId="0" xfId="0" applyFont="1" applyFill="1"/>
    <xf numFmtId="0" fontId="13" fillId="0" borderId="0" xfId="74" applyFont="1"/>
    <xf numFmtId="0" fontId="27" fillId="0" borderId="0" xfId="74" applyFont="1"/>
    <xf numFmtId="0" fontId="75" fillId="0" borderId="0" xfId="74" applyFont="1"/>
    <xf numFmtId="0" fontId="54" fillId="0" borderId="0" xfId="5"/>
    <xf numFmtId="0" fontId="99" fillId="0" borderId="0" xfId="74" applyFont="1"/>
    <xf numFmtId="0" fontId="67" fillId="0" borderId="0" xfId="0" applyFont="1"/>
    <xf numFmtId="0" fontId="44" fillId="0" borderId="0" xfId="0" applyFont="1"/>
    <xf numFmtId="0" fontId="67" fillId="0" borderId="0" xfId="0" applyFont="1" applyAlignment="1">
      <alignment horizontal="right"/>
    </xf>
    <xf numFmtId="0" fontId="36" fillId="0" borderId="0" xfId="0" applyFont="1" applyAlignment="1">
      <alignment wrapText="1"/>
    </xf>
    <xf numFmtId="0" fontId="54" fillId="0" borderId="0" xfId="5" applyAlignment="1">
      <alignment wrapText="1"/>
    </xf>
    <xf numFmtId="0" fontId="104" fillId="0" borderId="0" xfId="0" applyFont="1"/>
    <xf numFmtId="0" fontId="105" fillId="0" borderId="0" xfId="74" applyFont="1"/>
    <xf numFmtId="0" fontId="45" fillId="0" borderId="0" xfId="0" applyFont="1" applyAlignment="1">
      <alignment wrapText="1"/>
    </xf>
    <xf numFmtId="0" fontId="33" fillId="0" borderId="0" xfId="2" applyNumberFormat="1" applyFont="1" applyFill="1"/>
    <xf numFmtId="0" fontId="12" fillId="0" borderId="0" xfId="2" applyFont="1"/>
    <xf numFmtId="4" fontId="56" fillId="0" borderId="0" xfId="2" applyNumberFormat="1" applyFont="1" applyFill="1" applyBorder="1" applyAlignment="1">
      <alignment wrapText="1"/>
    </xf>
    <xf numFmtId="4" fontId="56" fillId="0" borderId="0" xfId="2" applyNumberFormat="1" applyFont="1" applyFill="1" applyBorder="1" applyAlignment="1">
      <alignment wrapText="1"/>
    </xf>
    <xf numFmtId="4" fontId="56" fillId="0" borderId="0" xfId="2" applyNumberFormat="1" applyFont="1" applyFill="1" applyBorder="1" applyAlignment="1">
      <alignment vertical="center" wrapText="1"/>
    </xf>
    <xf numFmtId="4" fontId="72" fillId="50" borderId="0" xfId="2" applyNumberFormat="1" applyFont="1" applyFill="1" applyBorder="1" applyAlignment="1">
      <alignment horizontal="center" wrapText="1"/>
    </xf>
    <xf numFmtId="4" fontId="71" fillId="0" borderId="0" xfId="2" applyNumberFormat="1" applyFont="1" applyFill="1" applyBorder="1" applyAlignment="1">
      <alignment horizontal="center" wrapText="1"/>
    </xf>
    <xf numFmtId="4" fontId="72" fillId="48" borderId="0" xfId="2" applyNumberFormat="1" applyFont="1" applyFill="1" applyBorder="1" applyAlignment="1">
      <alignment horizontal="center" wrapText="1"/>
    </xf>
    <xf numFmtId="4" fontId="56" fillId="0" borderId="0" xfId="2" applyNumberFormat="1" applyFont="1" applyFill="1" applyBorder="1" applyAlignment="1">
      <alignment wrapText="1"/>
    </xf>
    <xf numFmtId="3" fontId="66" fillId="0" borderId="0" xfId="2" applyNumberFormat="1" applyFont="1" applyFill="1" applyBorder="1" applyAlignment="1">
      <alignment wrapText="1"/>
    </xf>
    <xf numFmtId="0" fontId="106" fillId="0" borderId="0" xfId="2" applyFont="1" applyFill="1" applyBorder="1"/>
    <xf numFmtId="0" fontId="68" fillId="0" borderId="0" xfId="2" applyFont="1" applyFill="1" applyBorder="1"/>
    <xf numFmtId="4" fontId="56" fillId="0" borderId="0" xfId="2" applyNumberFormat="1" applyFont="1" applyFill="1" applyBorder="1" applyAlignment="1">
      <alignment wrapText="1"/>
    </xf>
    <xf numFmtId="4" fontId="56" fillId="0" borderId="0" xfId="2" applyNumberFormat="1" applyFont="1" applyFill="1" applyBorder="1" applyAlignment="1">
      <alignment wrapText="1"/>
    </xf>
    <xf numFmtId="4" fontId="70" fillId="8" borderId="0" xfId="2" applyNumberFormat="1" applyFont="1" applyFill="1" applyBorder="1" applyAlignment="1">
      <alignment wrapText="1"/>
    </xf>
    <xf numFmtId="4" fontId="56" fillId="0" borderId="0" xfId="2" applyNumberFormat="1" applyFont="1" applyFill="1" applyBorder="1" applyAlignment="1">
      <alignment wrapText="1"/>
    </xf>
    <xf numFmtId="169" fontId="71" fillId="0" borderId="0" xfId="2" applyNumberFormat="1" applyFont="1" applyFill="1" applyBorder="1" applyAlignment="1">
      <alignment wrapText="1"/>
    </xf>
    <xf numFmtId="0" fontId="64" fillId="6" borderId="51" xfId="2" applyFont="1" applyFill="1" applyBorder="1" applyAlignment="1">
      <alignment horizontal="center" vertical="top"/>
    </xf>
    <xf numFmtId="0" fontId="64" fillId="6" borderId="51" xfId="2" applyFont="1" applyFill="1" applyBorder="1" applyAlignment="1">
      <alignment horizontal="center" vertical="top" wrapText="1"/>
    </xf>
    <xf numFmtId="0" fontId="64" fillId="6" borderId="66" xfId="2" applyFont="1" applyFill="1" applyBorder="1" applyAlignment="1">
      <alignment horizontal="left" vertical="center"/>
    </xf>
    <xf numFmtId="2" fontId="24" fillId="46" borderId="51" xfId="2" applyNumberFormat="1" applyFont="1" applyFill="1" applyBorder="1" applyAlignment="1">
      <alignment horizontal="center"/>
    </xf>
    <xf numFmtId="2" fontId="17" fillId="46" borderId="51" xfId="2" applyNumberFormat="1" applyFont="1" applyFill="1" applyBorder="1" applyAlignment="1">
      <alignment horizontal="center"/>
    </xf>
    <xf numFmtId="2" fontId="24" fillId="46" borderId="68" xfId="2" applyNumberFormat="1" applyFont="1" applyFill="1" applyBorder="1" applyAlignment="1">
      <alignment horizontal="center"/>
    </xf>
    <xf numFmtId="2" fontId="107" fillId="2" borderId="51" xfId="2" applyNumberFormat="1" applyFont="1" applyFill="1" applyBorder="1" applyAlignment="1">
      <alignment horizontal="center"/>
    </xf>
    <xf numFmtId="2" fontId="107" fillId="3" borderId="51" xfId="2" applyNumberFormat="1" applyFont="1" applyFill="1" applyBorder="1" applyAlignment="1">
      <alignment horizontal="center"/>
    </xf>
    <xf numFmtId="0" fontId="64" fillId="6" borderId="52" xfId="2" applyFont="1" applyFill="1" applyBorder="1" applyAlignment="1">
      <alignment horizontal="center" vertical="top"/>
    </xf>
    <xf numFmtId="0" fontId="56" fillId="5" borderId="0" xfId="2" applyFont="1" applyFill="1" applyBorder="1"/>
    <xf numFmtId="0" fontId="56" fillId="51" borderId="0" xfId="2" applyFont="1" applyFill="1" applyBorder="1"/>
    <xf numFmtId="4" fontId="56" fillId="0" borderId="0" xfId="2" applyNumberFormat="1" applyFont="1" applyFill="1" applyBorder="1" applyAlignment="1">
      <alignment wrapText="1"/>
    </xf>
    <xf numFmtId="0" fontId="56" fillId="42" borderId="0" xfId="2" applyFont="1" applyFill="1" applyBorder="1"/>
    <xf numFmtId="0" fontId="56" fillId="52" borderId="0" xfId="2" applyFont="1" applyFill="1" applyBorder="1"/>
    <xf numFmtId="0" fontId="10" fillId="0" borderId="0" xfId="2" applyFont="1"/>
    <xf numFmtId="0" fontId="25" fillId="41" borderId="0" xfId="2" applyFont="1" applyFill="1"/>
    <xf numFmtId="0" fontId="10" fillId="3" borderId="0" xfId="2" applyFont="1" applyFill="1"/>
    <xf numFmtId="2" fontId="24" fillId="3" borderId="0" xfId="2" applyNumberFormat="1" applyFill="1"/>
    <xf numFmtId="0" fontId="56" fillId="0" borderId="0" xfId="2" applyFont="1" applyFill="1" applyBorder="1" applyAlignment="1">
      <alignment horizontal="right"/>
    </xf>
    <xf numFmtId="4" fontId="56" fillId="0" borderId="0" xfId="2" applyNumberFormat="1" applyFont="1" applyFill="1" applyBorder="1" applyAlignment="1">
      <alignment wrapText="1"/>
    </xf>
    <xf numFmtId="4" fontId="56" fillId="0" borderId="0" xfId="2" applyNumberFormat="1" applyFont="1" applyFill="1" applyBorder="1" applyAlignment="1">
      <alignment vertical="center" wrapText="1"/>
    </xf>
    <xf numFmtId="164" fontId="72" fillId="0" borderId="0" xfId="2" applyNumberFormat="1" applyFont="1" applyFill="1" applyBorder="1" applyAlignment="1">
      <alignment wrapText="1"/>
    </xf>
    <xf numFmtId="164" fontId="71" fillId="0" borderId="0" xfId="2" applyNumberFormat="1" applyFont="1" applyFill="1" applyBorder="1" applyAlignment="1">
      <alignment wrapText="1"/>
    </xf>
    <xf numFmtId="4" fontId="60" fillId="0" borderId="0" xfId="2" applyNumberFormat="1" applyFont="1" applyFill="1" applyBorder="1" applyAlignment="1">
      <alignment vertical="center"/>
    </xf>
    <xf numFmtId="43" fontId="33" fillId="0" borderId="0" xfId="2" applyNumberFormat="1" applyFont="1" applyFill="1"/>
    <xf numFmtId="2" fontId="33" fillId="0" borderId="0" xfId="2" applyNumberFormat="1" applyFont="1" applyFill="1"/>
    <xf numFmtId="171" fontId="33" fillId="0" borderId="0" xfId="2" applyNumberFormat="1" applyFont="1" applyFill="1"/>
    <xf numFmtId="164" fontId="45" fillId="0" borderId="0" xfId="2" applyNumberFormat="1" applyFont="1"/>
    <xf numFmtId="2" fontId="45" fillId="0" borderId="0" xfId="2" applyNumberFormat="1" applyFont="1"/>
    <xf numFmtId="2" fontId="45" fillId="0" borderId="0" xfId="2" applyNumberFormat="1" applyFont="1" applyFill="1"/>
    <xf numFmtId="0" fontId="109" fillId="0" borderId="0" xfId="2" applyFont="1" applyFill="1"/>
    <xf numFmtId="43" fontId="109" fillId="0" borderId="0" xfId="2" applyNumberFormat="1" applyFont="1" applyFill="1"/>
    <xf numFmtId="4" fontId="68" fillId="0" borderId="0" xfId="2" applyNumberFormat="1" applyFont="1" applyFill="1" applyBorder="1" applyAlignment="1">
      <alignment vertical="center" wrapText="1"/>
    </xf>
    <xf numFmtId="4" fontId="60" fillId="0" borderId="27" xfId="2" applyNumberFormat="1" applyFont="1" applyFill="1" applyBorder="1" applyAlignment="1">
      <alignment horizontal="center" wrapText="1"/>
    </xf>
    <xf numFmtId="4" fontId="58" fillId="53" borderId="0" xfId="2" applyNumberFormat="1" applyFont="1" applyFill="1" applyBorder="1" applyAlignment="1">
      <alignment horizontal="center" vertical="center" wrapText="1"/>
    </xf>
    <xf numFmtId="0" fontId="56" fillId="0" borderId="0" xfId="2" applyFont="1"/>
    <xf numFmtId="0" fontId="56" fillId="0" borderId="0" xfId="2" applyNumberFormat="1" applyFont="1" applyFill="1"/>
    <xf numFmtId="0" fontId="56" fillId="0" borderId="0" xfId="2" applyFont="1" applyFill="1"/>
    <xf numFmtId="164" fontId="56" fillId="0" borderId="0" xfId="2" applyNumberFormat="1" applyFont="1"/>
    <xf numFmtId="164" fontId="56" fillId="0" borderId="0" xfId="2" applyNumberFormat="1" applyFont="1" applyFill="1"/>
    <xf numFmtId="2" fontId="56" fillId="0" borderId="0" xfId="2" applyNumberFormat="1" applyFont="1" applyFill="1"/>
    <xf numFmtId="4" fontId="56" fillId="0" borderId="0" xfId="2" applyNumberFormat="1" applyFont="1" applyFill="1" applyBorder="1" applyAlignment="1">
      <alignment wrapText="1"/>
    </xf>
    <xf numFmtId="4" fontId="60" fillId="0" borderId="0" xfId="2" applyNumberFormat="1" applyFont="1" applyFill="1" applyBorder="1" applyAlignment="1">
      <alignment horizontal="center" wrapText="1"/>
    </xf>
    <xf numFmtId="0" fontId="9" fillId="0" borderId="0" xfId="2" applyFont="1"/>
    <xf numFmtId="0" fontId="25" fillId="48" borderId="0" xfId="53" applyFont="1" applyFill="1"/>
    <xf numFmtId="0" fontId="19" fillId="48" borderId="0" xfId="53" applyFill="1"/>
    <xf numFmtId="0" fontId="108" fillId="0" borderId="0" xfId="2" applyFont="1" applyAlignment="1">
      <alignment horizontal="center"/>
    </xf>
    <xf numFmtId="0" fontId="8" fillId="0" borderId="0" xfId="2" applyFont="1"/>
    <xf numFmtId="0" fontId="113" fillId="0" borderId="0" xfId="2" applyFont="1" applyFill="1"/>
    <xf numFmtId="0" fontId="39" fillId="0" borderId="0" xfId="2" applyFont="1" applyFill="1"/>
    <xf numFmtId="4" fontId="68" fillId="0" borderId="0" xfId="2" applyNumberFormat="1" applyFont="1" applyFill="1" applyBorder="1" applyAlignment="1">
      <alignment horizontal="center" wrapText="1"/>
    </xf>
    <xf numFmtId="4" fontId="56" fillId="0" borderId="0" xfId="2" applyNumberFormat="1" applyFont="1" applyFill="1" applyBorder="1" applyAlignment="1">
      <alignment wrapText="1"/>
    </xf>
    <xf numFmtId="43" fontId="33" fillId="55" borderId="0" xfId="2" applyNumberFormat="1" applyFont="1" applyFill="1"/>
    <xf numFmtId="0" fontId="33" fillId="55" borderId="0" xfId="2" applyFont="1" applyFill="1"/>
    <xf numFmtId="173" fontId="47" fillId="55" borderId="0" xfId="3" applyNumberFormat="1" applyFont="1" applyFill="1" applyBorder="1"/>
    <xf numFmtId="173" fontId="47" fillId="55" borderId="37" xfId="3" applyNumberFormat="1" applyFont="1" applyFill="1" applyBorder="1"/>
    <xf numFmtId="173" fontId="47" fillId="55" borderId="27" xfId="3" applyNumberFormat="1" applyFont="1" applyFill="1" applyBorder="1"/>
    <xf numFmtId="173" fontId="47" fillId="55" borderId="40" xfId="3" applyNumberFormat="1" applyFont="1" applyFill="1" applyBorder="1"/>
    <xf numFmtId="174" fontId="37" fillId="0" borderId="0" xfId="2" applyNumberFormat="1" applyFont="1" applyFill="1"/>
    <xf numFmtId="4" fontId="33" fillId="55" borderId="0" xfId="2" applyNumberFormat="1" applyFont="1" applyFill="1"/>
    <xf numFmtId="2" fontId="33" fillId="55" borderId="0" xfId="2" applyNumberFormat="1" applyFont="1" applyFill="1"/>
    <xf numFmtId="168" fontId="33" fillId="55" borderId="0" xfId="2" applyNumberFormat="1" applyFont="1" applyFill="1"/>
    <xf numFmtId="0" fontId="7" fillId="0" borderId="0" xfId="2" applyFont="1"/>
    <xf numFmtId="0" fontId="68" fillId="0" borderId="0" xfId="2" applyFont="1" applyFill="1" applyBorder="1" applyAlignment="1">
      <alignment horizontal="right"/>
    </xf>
    <xf numFmtId="173" fontId="37" fillId="0" borderId="0" xfId="2" applyNumberFormat="1" applyFont="1"/>
    <xf numFmtId="170" fontId="33" fillId="0" borderId="0" xfId="2" applyNumberFormat="1" applyFont="1"/>
    <xf numFmtId="4" fontId="56" fillId="0" borderId="0" xfId="2" applyNumberFormat="1" applyFont="1" applyFill="1" applyBorder="1" applyAlignment="1" applyProtection="1">
      <alignment vertical="center" wrapText="1"/>
    </xf>
    <xf numFmtId="168" fontId="56" fillId="0" borderId="0" xfId="2" applyNumberFormat="1" applyFont="1" applyFill="1" applyBorder="1" applyAlignment="1" applyProtection="1">
      <alignment wrapText="1"/>
      <protection locked="0"/>
    </xf>
    <xf numFmtId="0" fontId="6" fillId="0" borderId="0" xfId="2" applyFont="1"/>
    <xf numFmtId="0" fontId="5" fillId="0" borderId="0" xfId="0" applyFont="1"/>
    <xf numFmtId="0" fontId="56" fillId="51" borderId="0" xfId="2" applyFont="1" applyFill="1" applyBorder="1" applyAlignment="1">
      <alignment horizontal="left"/>
    </xf>
    <xf numFmtId="0" fontId="56" fillId="5" borderId="0" xfId="2" applyFont="1" applyFill="1" applyBorder="1" applyAlignment="1">
      <alignment horizontal="left"/>
    </xf>
    <xf numFmtId="0" fontId="68" fillId="0" borderId="0" xfId="2" applyFont="1" applyFill="1" applyBorder="1" applyAlignment="1">
      <alignment horizontal="left"/>
    </xf>
    <xf numFmtId="0" fontId="4" fillId="0" borderId="0" xfId="2" applyFont="1"/>
    <xf numFmtId="2" fontId="64" fillId="6" borderId="66" xfId="2" applyNumberFormat="1" applyFont="1" applyFill="1" applyBorder="1" applyAlignment="1">
      <alignment horizontal="left"/>
    </xf>
    <xf numFmtId="0" fontId="3" fillId="0" borderId="0" xfId="2" applyFont="1" applyFill="1"/>
    <xf numFmtId="0" fontId="56" fillId="52" borderId="0" xfId="2" applyFont="1" applyFill="1" applyBorder="1" applyAlignment="1">
      <alignment horizontal="left"/>
    </xf>
    <xf numFmtId="0" fontId="37" fillId="56" borderId="0" xfId="2" applyFont="1" applyFill="1" applyProtection="1">
      <protection locked="0"/>
    </xf>
    <xf numFmtId="14" fontId="37" fillId="56" borderId="0" xfId="2" applyNumberFormat="1" applyFont="1" applyFill="1" applyAlignment="1" applyProtection="1">
      <alignment horizontal="left"/>
      <protection locked="0"/>
    </xf>
    <xf numFmtId="0" fontId="16" fillId="42" borderId="51" xfId="2" applyFont="1" applyFill="1" applyBorder="1" applyAlignment="1" applyProtection="1">
      <alignment horizontal="center"/>
      <protection locked="0"/>
    </xf>
    <xf numFmtId="0" fontId="14" fillId="42" borderId="51" xfId="2" applyFont="1" applyFill="1" applyBorder="1" applyAlignment="1" applyProtection="1">
      <alignment horizontal="center"/>
      <protection locked="0"/>
    </xf>
    <xf numFmtId="0" fontId="11" fillId="42" borderId="51" xfId="2" applyFont="1" applyFill="1" applyBorder="1" applyAlignment="1" applyProtection="1">
      <alignment horizontal="center"/>
      <protection locked="0"/>
    </xf>
    <xf numFmtId="0" fontId="10" fillId="42" borderId="51" xfId="2" applyFont="1" applyFill="1" applyBorder="1" applyAlignment="1" applyProtection="1">
      <alignment horizontal="center"/>
      <protection locked="0"/>
    </xf>
    <xf numFmtId="0" fontId="24" fillId="42" borderId="51" xfId="2" applyFont="1" applyFill="1" applyBorder="1" applyAlignment="1" applyProtection="1">
      <alignment horizontal="center"/>
      <protection locked="0"/>
    </xf>
    <xf numFmtId="0" fontId="24" fillId="42" borderId="68" xfId="2" applyFont="1" applyFill="1" applyBorder="1" applyAlignment="1" applyProtection="1">
      <alignment horizontal="center"/>
      <protection locked="0"/>
    </xf>
    <xf numFmtId="0" fontId="5" fillId="42" borderId="51" xfId="2" applyFont="1" applyFill="1" applyBorder="1" applyAlignment="1" applyProtection="1">
      <alignment horizontal="center"/>
      <protection locked="0"/>
    </xf>
    <xf numFmtId="0" fontId="16" fillId="47" borderId="52" xfId="2" applyFont="1" applyFill="1" applyBorder="1" applyAlignment="1" applyProtection="1">
      <alignment horizontal="center"/>
      <protection locked="0"/>
    </xf>
    <xf numFmtId="0" fontId="24" fillId="47" borderId="51" xfId="2" applyNumberFormat="1" applyFont="1" applyFill="1" applyBorder="1" applyAlignment="1" applyProtection="1">
      <alignment horizontal="center"/>
      <protection locked="0"/>
    </xf>
    <xf numFmtId="0" fontId="24" fillId="41" borderId="51" xfId="2" applyNumberFormat="1" applyFont="1" applyFill="1" applyBorder="1" applyAlignment="1" applyProtection="1">
      <alignment horizontal="center"/>
      <protection locked="0"/>
    </xf>
    <xf numFmtId="0" fontId="17" fillId="47" borderId="51" xfId="2" applyNumberFormat="1" applyFont="1" applyFill="1" applyBorder="1" applyAlignment="1" applyProtection="1">
      <alignment horizontal="center"/>
      <protection locked="0"/>
    </xf>
    <xf numFmtId="0" fontId="17" fillId="41" borderId="51" xfId="2" applyNumberFormat="1" applyFont="1" applyFill="1" applyBorder="1" applyAlignment="1" applyProtection="1">
      <alignment horizontal="center"/>
      <protection locked="0"/>
    </xf>
    <xf numFmtId="0" fontId="14" fillId="47" borderId="52" xfId="2" applyFont="1" applyFill="1" applyBorder="1" applyAlignment="1" applyProtection="1">
      <alignment horizontal="center"/>
      <protection locked="0"/>
    </xf>
    <xf numFmtId="0" fontId="11" fillId="47" borderId="52" xfId="2" applyFont="1" applyFill="1" applyBorder="1" applyAlignment="1" applyProtection="1">
      <alignment horizontal="center"/>
      <protection locked="0"/>
    </xf>
    <xf numFmtId="0" fontId="10" fillId="47" borderId="52" xfId="2" applyFont="1" applyFill="1" applyBorder="1" applyAlignment="1" applyProtection="1">
      <alignment horizontal="center"/>
      <protection locked="0"/>
    </xf>
    <xf numFmtId="0" fontId="24" fillId="47" borderId="52" xfId="2" applyFont="1" applyFill="1" applyBorder="1" applyAlignment="1" applyProtection="1">
      <alignment horizontal="center"/>
      <protection locked="0"/>
    </xf>
    <xf numFmtId="0" fontId="24" fillId="47" borderId="69" xfId="2" applyFont="1" applyFill="1" applyBorder="1" applyAlignment="1" applyProtection="1">
      <alignment horizontal="center"/>
      <protection locked="0"/>
    </xf>
    <xf numFmtId="0" fontId="24" fillId="47" borderId="68" xfId="2" applyNumberFormat="1" applyFont="1" applyFill="1" applyBorder="1" applyAlignment="1" applyProtection="1">
      <alignment horizontal="center"/>
      <protection locked="0"/>
    </xf>
    <xf numFmtId="0" fontId="24" fillId="41" borderId="68" xfId="2" applyNumberFormat="1" applyFont="1" applyFill="1" applyBorder="1" applyAlignment="1" applyProtection="1">
      <alignment horizontal="center"/>
      <protection locked="0"/>
    </xf>
    <xf numFmtId="0" fontId="24" fillId="5" borderId="51" xfId="2" applyFont="1" applyFill="1" applyBorder="1" applyAlignment="1" applyProtection="1">
      <alignment horizontal="center"/>
      <protection locked="0"/>
    </xf>
    <xf numFmtId="2" fontId="24" fillId="5" borderId="51" xfId="2" applyNumberFormat="1" applyFont="1" applyFill="1" applyBorder="1" applyAlignment="1" applyProtection="1">
      <alignment horizontal="center"/>
      <protection locked="0"/>
    </xf>
    <xf numFmtId="1" fontId="24" fillId="41" borderId="51" xfId="2" applyNumberFormat="1" applyFont="1" applyFill="1" applyBorder="1" applyAlignment="1" applyProtection="1">
      <alignment horizontal="center"/>
      <protection locked="0"/>
    </xf>
    <xf numFmtId="0" fontId="24" fillId="5" borderId="68" xfId="2" applyFont="1" applyFill="1" applyBorder="1" applyAlignment="1" applyProtection="1">
      <alignment horizontal="center"/>
      <protection locked="0"/>
    </xf>
    <xf numFmtId="2" fontId="24" fillId="5" borderId="68" xfId="2" applyNumberFormat="1" applyFont="1" applyFill="1" applyBorder="1" applyAlignment="1" applyProtection="1">
      <alignment horizontal="center"/>
      <protection locked="0"/>
    </xf>
    <xf numFmtId="1" fontId="24" fillId="41" borderId="68" xfId="2" applyNumberFormat="1" applyFont="1" applyFill="1" applyBorder="1" applyAlignment="1" applyProtection="1">
      <alignment horizontal="center"/>
      <protection locked="0"/>
    </xf>
    <xf numFmtId="2" fontId="24" fillId="43" borderId="51" xfId="2" applyNumberFormat="1" applyFont="1" applyFill="1" applyBorder="1" applyAlignment="1" applyProtection="1">
      <alignment horizontal="center"/>
      <protection locked="0"/>
    </xf>
    <xf numFmtId="164" fontId="56" fillId="49" borderId="0" xfId="2" applyNumberFormat="1" applyFont="1" applyFill="1" applyBorder="1" applyAlignment="1" applyProtection="1">
      <alignment wrapText="1"/>
      <protection locked="0"/>
    </xf>
    <xf numFmtId="4" fontId="56" fillId="49" borderId="0" xfId="2" applyNumberFormat="1" applyFont="1" applyFill="1" applyBorder="1" applyAlignment="1" applyProtection="1">
      <alignment wrapText="1"/>
      <protection locked="0"/>
    </xf>
    <xf numFmtId="2" fontId="56" fillId="49" borderId="0" xfId="2" applyNumberFormat="1" applyFont="1" applyFill="1" applyBorder="1" applyAlignment="1" applyProtection="1">
      <alignment wrapText="1"/>
      <protection locked="0"/>
    </xf>
    <xf numFmtId="168" fontId="56" fillId="49" borderId="0" xfId="2" applyNumberFormat="1" applyFont="1" applyFill="1" applyBorder="1" applyAlignment="1" applyProtection="1">
      <alignment wrapText="1"/>
      <protection locked="0"/>
    </xf>
    <xf numFmtId="4" fontId="56" fillId="54" borderId="0" xfId="2" applyNumberFormat="1" applyFont="1" applyFill="1" applyBorder="1" applyAlignment="1" applyProtection="1">
      <alignment vertical="center" wrapText="1"/>
      <protection locked="0"/>
    </xf>
    <xf numFmtId="0" fontId="33" fillId="8" borderId="0" xfId="2" applyFont="1" applyFill="1" applyProtection="1">
      <protection locked="0"/>
    </xf>
    <xf numFmtId="168" fontId="33" fillId="8" borderId="0" xfId="2" applyNumberFormat="1" applyFont="1" applyFill="1" applyProtection="1">
      <protection locked="0"/>
    </xf>
    <xf numFmtId="0" fontId="44" fillId="8" borderId="0" xfId="2" applyFont="1" applyFill="1" applyProtection="1">
      <protection locked="0"/>
    </xf>
    <xf numFmtId="4" fontId="56" fillId="0" borderId="0" xfId="2" applyNumberFormat="1" applyFont="1" applyFill="1" applyBorder="1" applyAlignment="1">
      <alignment wrapText="1"/>
    </xf>
    <xf numFmtId="4" fontId="67" fillId="0" borderId="0" xfId="2" applyNumberFormat="1" applyFont="1" applyAlignment="1">
      <alignment wrapText="1"/>
    </xf>
    <xf numFmtId="4" fontId="70" fillId="7" borderId="0" xfId="2" applyNumberFormat="1" applyFont="1" applyFill="1" applyAlignment="1">
      <alignment wrapText="1"/>
    </xf>
    <xf numFmtId="2" fontId="66" fillId="0" borderId="0" xfId="2" applyNumberFormat="1" applyFont="1" applyAlignment="1">
      <alignment wrapText="1"/>
    </xf>
    <xf numFmtId="2" fontId="71" fillId="0" borderId="0" xfId="2" applyNumberFormat="1" applyFont="1" applyAlignment="1">
      <alignment wrapText="1"/>
    </xf>
    <xf numFmtId="4" fontId="66" fillId="0" borderId="0" xfId="2" applyNumberFormat="1" applyFont="1"/>
    <xf numFmtId="4" fontId="71" fillId="0" borderId="0" xfId="2" applyNumberFormat="1" applyFont="1" applyAlignment="1">
      <alignment wrapText="1"/>
    </xf>
    <xf numFmtId="4" fontId="66" fillId="0" borderId="0" xfId="2" applyNumberFormat="1" applyFont="1" applyAlignment="1">
      <alignment wrapText="1"/>
    </xf>
    <xf numFmtId="2" fontId="71" fillId="57" borderId="0" xfId="2" applyNumberFormat="1" applyFont="1" applyFill="1" applyAlignment="1">
      <alignment wrapText="1"/>
    </xf>
    <xf numFmtId="0" fontId="2" fillId="0" borderId="0" xfId="53" applyFont="1" applyAlignment="1">
      <alignment vertical="top"/>
    </xf>
    <xf numFmtId="0" fontId="2" fillId="0" borderId="0" xfId="2" applyFont="1"/>
    <xf numFmtId="164" fontId="4" fillId="0" borderId="0" xfId="2" applyNumberFormat="1" applyFont="1"/>
    <xf numFmtId="43" fontId="43" fillId="4" borderId="94" xfId="3" applyFont="1" applyFill="1" applyBorder="1"/>
    <xf numFmtId="43" fontId="43" fillId="4" borderId="95" xfId="3" applyFont="1" applyFill="1" applyBorder="1"/>
    <xf numFmtId="43" fontId="43" fillId="4" borderId="24" xfId="3" applyFont="1" applyFill="1" applyBorder="1"/>
    <xf numFmtId="43" fontId="43" fillId="4" borderId="39" xfId="3" applyFont="1" applyFill="1" applyBorder="1"/>
    <xf numFmtId="0" fontId="19" fillId="0" borderId="0" xfId="53" applyFont="1" applyAlignment="1">
      <alignment horizontal="left" vertical="top" wrapText="1"/>
    </xf>
    <xf numFmtId="0" fontId="19" fillId="0" borderId="0" xfId="53" applyAlignment="1">
      <alignment horizontal="left" vertical="top" wrapText="1"/>
    </xf>
    <xf numFmtId="0" fontId="2" fillId="0" borderId="0" xfId="53" applyFont="1" applyAlignment="1">
      <alignment wrapText="1"/>
    </xf>
    <xf numFmtId="0" fontId="19" fillId="0" borderId="0" xfId="53" applyFont="1" applyAlignment="1">
      <alignment wrapText="1"/>
    </xf>
    <xf numFmtId="0" fontId="8" fillId="0" borderId="0" xfId="53" applyFont="1" applyAlignment="1">
      <alignment horizontal="left" vertical="top" wrapText="1"/>
    </xf>
    <xf numFmtId="0" fontId="19" fillId="0" borderId="0" xfId="53" applyAlignment="1">
      <alignment horizontal="left" vertical="top" wrapText="1" indent="1"/>
    </xf>
    <xf numFmtId="0" fontId="2" fillId="0" borderId="0" xfId="53" applyFont="1" applyAlignment="1">
      <alignment horizontal="left" vertical="top" wrapText="1" indent="1"/>
    </xf>
    <xf numFmtId="0" fontId="56" fillId="52" borderId="0" xfId="2" applyFont="1" applyFill="1" applyBorder="1" applyAlignment="1">
      <alignment horizontal="left"/>
    </xf>
    <xf numFmtId="0" fontId="56" fillId="42" borderId="0" xfId="2" applyFont="1" applyFill="1" applyBorder="1" applyAlignment="1">
      <alignment horizontal="left"/>
    </xf>
    <xf numFmtId="0" fontId="37" fillId="56" borderId="0" xfId="2" applyFont="1" applyFill="1" applyAlignment="1">
      <alignment horizontal="left"/>
    </xf>
    <xf numFmtId="0" fontId="33" fillId="0" borderId="0" xfId="2" applyFont="1" applyAlignment="1">
      <alignment horizontal="left" vertical="top" wrapText="1"/>
    </xf>
    <xf numFmtId="0" fontId="36" fillId="0" borderId="27" xfId="2" applyFont="1" applyBorder="1" applyAlignment="1">
      <alignment horizontal="center"/>
    </xf>
    <xf numFmtId="0" fontId="36" fillId="0" borderId="4" xfId="0" applyFont="1" applyBorder="1" applyAlignment="1">
      <alignment horizontal="center" vertical="center" textRotation="90"/>
    </xf>
    <xf numFmtId="0" fontId="36" fillId="0" borderId="6" xfId="0" applyFont="1" applyBorder="1" applyAlignment="1">
      <alignment horizontal="center" vertical="center" textRotation="90"/>
    </xf>
    <xf numFmtId="0" fontId="36" fillId="0" borderId="7" xfId="0" applyFont="1" applyBorder="1" applyAlignment="1">
      <alignment horizontal="center" vertical="center" textRotation="90"/>
    </xf>
    <xf numFmtId="0" fontId="36" fillId="0" borderId="1" xfId="0" applyFont="1" applyBorder="1" applyAlignment="1">
      <alignment horizontal="center" vertical="center" textRotation="90"/>
    </xf>
    <xf numFmtId="0" fontId="36" fillId="0" borderId="5" xfId="0" applyFont="1" applyBorder="1" applyAlignment="1">
      <alignment horizontal="center" vertical="center" textRotation="90"/>
    </xf>
    <xf numFmtId="0" fontId="33" fillId="0" borderId="0" xfId="0" applyFont="1" applyAlignment="1">
      <alignment horizontal="left" wrapText="1"/>
    </xf>
    <xf numFmtId="0" fontId="32" fillId="0" borderId="0" xfId="0" applyFont="1" applyFill="1" applyBorder="1" applyAlignment="1">
      <alignment horizontal="center" wrapText="1"/>
    </xf>
    <xf numFmtId="0" fontId="32" fillId="0" borderId="0" xfId="0" applyFont="1" applyAlignment="1">
      <alignment horizontal="center" wrapText="1"/>
    </xf>
    <xf numFmtId="0" fontId="32" fillId="0" borderId="0" xfId="0" applyFont="1" applyAlignment="1">
      <alignment horizontal="center"/>
    </xf>
    <xf numFmtId="0" fontId="36" fillId="0" borderId="4" xfId="0" applyFont="1" applyBorder="1" applyAlignment="1">
      <alignment horizontal="center"/>
    </xf>
    <xf numFmtId="0" fontId="36" fillId="0" borderId="2" xfId="0" applyFont="1" applyBorder="1" applyAlignment="1">
      <alignment horizontal="center"/>
    </xf>
    <xf numFmtId="0" fontId="36" fillId="0" borderId="3" xfId="0" applyFont="1" applyBorder="1" applyAlignment="1">
      <alignment horizontal="center"/>
    </xf>
    <xf numFmtId="0" fontId="103" fillId="0" borderId="43" xfId="2" applyFont="1" applyBorder="1" applyAlignment="1">
      <alignment horizontal="left" wrapText="1"/>
    </xf>
    <xf numFmtId="0" fontId="31" fillId="0" borderId="0" xfId="2" applyFont="1" applyAlignment="1">
      <alignment horizontal="left" wrapText="1"/>
    </xf>
    <xf numFmtId="0" fontId="33" fillId="0" borderId="0" xfId="2" applyFont="1" applyAlignment="1">
      <alignment horizontal="left" wrapText="1"/>
    </xf>
    <xf numFmtId="0" fontId="46" fillId="0" borderId="41" xfId="2" applyFont="1" applyBorder="1" applyAlignment="1">
      <alignment horizontal="left" vertical="top" wrapText="1"/>
    </xf>
    <xf numFmtId="0" fontId="46" fillId="0" borderId="42" xfId="2" applyFont="1" applyBorder="1" applyAlignment="1">
      <alignment horizontal="left" vertical="top" wrapText="1"/>
    </xf>
    <xf numFmtId="0" fontId="46" fillId="0" borderId="23" xfId="2" applyFont="1" applyBorder="1" applyAlignment="1">
      <alignment horizontal="left" vertical="top" wrapText="1"/>
    </xf>
    <xf numFmtId="0" fontId="46" fillId="0" borderId="24" xfId="2" applyFont="1" applyBorder="1" applyAlignment="1">
      <alignment horizontal="left" vertical="top" wrapText="1"/>
    </xf>
    <xf numFmtId="0" fontId="46" fillId="0" borderId="25" xfId="2" applyFont="1" applyBorder="1" applyAlignment="1">
      <alignment horizontal="left" vertical="top" wrapText="1"/>
    </xf>
    <xf numFmtId="0" fontId="46" fillId="0" borderId="26" xfId="2" applyFont="1" applyBorder="1" applyAlignment="1">
      <alignment horizontal="left" vertical="top" wrapText="1"/>
    </xf>
    <xf numFmtId="0" fontId="33" fillId="0" borderId="0" xfId="2" applyFont="1" applyBorder="1" applyAlignment="1">
      <alignment horizontal="left" vertical="center" wrapText="1" indent="2"/>
    </xf>
    <xf numFmtId="0" fontId="103" fillId="0" borderId="43" xfId="2" applyFont="1" applyBorder="1" applyAlignment="1">
      <alignment horizontal="left" vertical="top" wrapText="1"/>
    </xf>
    <xf numFmtId="0" fontId="103" fillId="0" borderId="41" xfId="2" applyFont="1" applyBorder="1" applyAlignment="1">
      <alignment horizontal="left" vertical="top" wrapText="1"/>
    </xf>
    <xf numFmtId="0" fontId="50" fillId="0" borderId="92" xfId="2" applyFont="1" applyBorder="1" applyAlignment="1">
      <alignment horizontal="center" vertical="center" textRotation="90"/>
    </xf>
    <xf numFmtId="0" fontId="50" fillId="0" borderId="23" xfId="2" applyFont="1" applyBorder="1" applyAlignment="1">
      <alignment horizontal="center" vertical="center" textRotation="90"/>
    </xf>
    <xf numFmtId="0" fontId="50" fillId="0" borderId="93" xfId="2" applyFont="1" applyBorder="1" applyAlignment="1">
      <alignment horizontal="center" vertical="center" textRotation="90"/>
    </xf>
    <xf numFmtId="4" fontId="39" fillId="2" borderId="6" xfId="2" applyNumberFormat="1" applyFont="1" applyFill="1" applyBorder="1" applyAlignment="1">
      <alignment horizontal="center"/>
    </xf>
    <xf numFmtId="4" fontId="39" fillId="2" borderId="0" xfId="2" applyNumberFormat="1" applyFont="1" applyFill="1" applyBorder="1" applyAlignment="1">
      <alignment horizontal="center"/>
    </xf>
    <xf numFmtId="4" fontId="39" fillId="0" borderId="6" xfId="2" applyNumberFormat="1" applyFont="1" applyBorder="1" applyAlignment="1">
      <alignment horizontal="center"/>
    </xf>
    <xf numFmtId="4" fontId="39" fillId="0" borderId="0" xfId="2" applyNumberFormat="1" applyFont="1" applyBorder="1" applyAlignment="1">
      <alignment horizontal="center"/>
    </xf>
    <xf numFmtId="0" fontId="36" fillId="0" borderId="0" xfId="2" applyFont="1" applyAlignment="1">
      <alignment horizontal="left" wrapText="1"/>
    </xf>
    <xf numFmtId="0" fontId="40" fillId="0" borderId="0" xfId="2" applyFont="1" applyBorder="1" applyAlignment="1">
      <alignment horizontal="center" wrapText="1"/>
    </xf>
    <xf numFmtId="0" fontId="49" fillId="0" borderId="41" xfId="2" applyFont="1" applyBorder="1" applyAlignment="1">
      <alignment horizontal="left" vertical="top" wrapText="1"/>
    </xf>
    <xf numFmtId="0" fontId="49" fillId="0" borderId="43" xfId="2" applyFont="1" applyBorder="1" applyAlignment="1">
      <alignment horizontal="left" vertical="top" wrapText="1"/>
    </xf>
    <xf numFmtId="0" fontId="49" fillId="0" borderId="42" xfId="2" applyFont="1" applyBorder="1" applyAlignment="1">
      <alignment horizontal="left" vertical="top" wrapText="1"/>
    </xf>
    <xf numFmtId="0" fontId="49" fillId="0" borderId="23" xfId="2" applyFont="1" applyBorder="1" applyAlignment="1">
      <alignment horizontal="left" vertical="top" wrapText="1"/>
    </xf>
    <xf numFmtId="0" fontId="49" fillId="0" borderId="0" xfId="2" applyFont="1" applyBorder="1" applyAlignment="1">
      <alignment horizontal="left" vertical="top" wrapText="1"/>
    </xf>
    <xf numFmtId="0" fontId="49" fillId="0" borderId="24" xfId="2" applyFont="1" applyBorder="1" applyAlignment="1">
      <alignment horizontal="left" vertical="top" wrapText="1"/>
    </xf>
    <xf numFmtId="0" fontId="49" fillId="0" borderId="25" xfId="2" applyFont="1" applyBorder="1" applyAlignment="1">
      <alignment horizontal="left" vertical="top" wrapText="1"/>
    </xf>
    <xf numFmtId="0" fontId="49" fillId="0" borderId="21" xfId="2" applyFont="1" applyBorder="1" applyAlignment="1">
      <alignment horizontal="left" vertical="top" wrapText="1"/>
    </xf>
    <xf numFmtId="0" fontId="49" fillId="0" borderId="26" xfId="2" applyFont="1" applyBorder="1" applyAlignment="1">
      <alignment horizontal="left" vertical="top" wrapText="1"/>
    </xf>
    <xf numFmtId="0" fontId="50" fillId="0" borderId="4" xfId="2" applyFont="1" applyBorder="1" applyAlignment="1">
      <alignment horizontal="center" vertical="center" textRotation="90"/>
    </xf>
    <xf numFmtId="0" fontId="50" fillId="0" borderId="6" xfId="2" applyFont="1" applyBorder="1" applyAlignment="1">
      <alignment horizontal="center" vertical="center" textRotation="90"/>
    </xf>
    <xf numFmtId="0" fontId="50" fillId="0" borderId="7" xfId="2" applyFont="1" applyBorder="1" applyAlignment="1">
      <alignment horizontal="center" vertical="center" textRotation="90"/>
    </xf>
    <xf numFmtId="4" fontId="65" fillId="0" borderId="28" xfId="2" applyNumberFormat="1" applyFont="1" applyFill="1" applyBorder="1" applyAlignment="1">
      <alignment wrapText="1"/>
    </xf>
    <xf numFmtId="0" fontId="65" fillId="0" borderId="30" xfId="2" applyFont="1" applyFill="1" applyBorder="1" applyAlignment="1">
      <alignment wrapText="1"/>
    </xf>
    <xf numFmtId="0" fontId="65" fillId="0" borderId="31" xfId="2" applyFont="1" applyFill="1" applyBorder="1" applyAlignment="1">
      <alignment wrapText="1"/>
    </xf>
    <xf numFmtId="4" fontId="56" fillId="0" borderId="0" xfId="2" applyNumberFormat="1" applyFont="1" applyFill="1" applyBorder="1" applyAlignment="1">
      <alignment wrapText="1"/>
    </xf>
    <xf numFmtId="0" fontId="56" fillId="0" borderId="0" xfId="2" applyFont="1" applyFill="1" applyBorder="1" applyAlignment="1">
      <alignment wrapText="1"/>
    </xf>
    <xf numFmtId="4" fontId="56" fillId="0" borderId="0" xfId="2" applyNumberFormat="1" applyFont="1" applyFill="1" applyBorder="1" applyAlignment="1">
      <alignment vertical="center" wrapText="1"/>
    </xf>
    <xf numFmtId="0" fontId="56" fillId="0" borderId="0" xfId="2" applyFont="1" applyFill="1" applyBorder="1" applyAlignment="1">
      <alignment vertical="center" wrapText="1"/>
    </xf>
    <xf numFmtId="0" fontId="33" fillId="0" borderId="0" xfId="2" applyFont="1" applyAlignment="1">
      <alignment vertical="top" wrapText="1"/>
    </xf>
    <xf numFmtId="0" fontId="74" fillId="0" borderId="0" xfId="2" applyFont="1" applyAlignment="1">
      <alignment horizontal="center"/>
    </xf>
  </cellXfs>
  <cellStyles count="75">
    <cellStyle name="20% - Accent1" xfId="24" builtinId="30" customBuiltin="1"/>
    <cellStyle name="20% - Accent1 2" xfId="58" xr:uid="{00000000-0005-0000-0000-000001000000}"/>
    <cellStyle name="20% - Accent2" xfId="28" builtinId="34" customBuiltin="1"/>
    <cellStyle name="20% - Accent2 2" xfId="60" xr:uid="{00000000-0005-0000-0000-000003000000}"/>
    <cellStyle name="20% - Accent3" xfId="32" builtinId="38" customBuiltin="1"/>
    <cellStyle name="20% - Accent3 2" xfId="62" xr:uid="{00000000-0005-0000-0000-000005000000}"/>
    <cellStyle name="20% - Accent4" xfId="36" builtinId="42" customBuiltin="1"/>
    <cellStyle name="20% - Accent4 2" xfId="64" xr:uid="{00000000-0005-0000-0000-000007000000}"/>
    <cellStyle name="20% - Accent5" xfId="40" builtinId="46" customBuiltin="1"/>
    <cellStyle name="20% - Accent5 2" xfId="66" xr:uid="{00000000-0005-0000-0000-000009000000}"/>
    <cellStyle name="20% - Accent6" xfId="44" builtinId="50" customBuiltin="1"/>
    <cellStyle name="20% - Accent6 2" xfId="68" xr:uid="{00000000-0005-0000-0000-00000B000000}"/>
    <cellStyle name="40% - Accent1" xfId="25" builtinId="31" customBuiltin="1"/>
    <cellStyle name="40% - Accent1 2" xfId="59" xr:uid="{00000000-0005-0000-0000-00000D000000}"/>
    <cellStyle name="40% - Accent2" xfId="29" builtinId="35" customBuiltin="1"/>
    <cellStyle name="40% - Accent2 2" xfId="61" xr:uid="{00000000-0005-0000-0000-00000F000000}"/>
    <cellStyle name="40% - Accent3" xfId="33" builtinId="39" customBuiltin="1"/>
    <cellStyle name="40% - Accent3 2" xfId="63" xr:uid="{00000000-0005-0000-0000-000011000000}"/>
    <cellStyle name="40% - Accent4" xfId="37" builtinId="43" customBuiltin="1"/>
    <cellStyle name="40% - Accent4 2" xfId="65" xr:uid="{00000000-0005-0000-0000-000013000000}"/>
    <cellStyle name="40% - Accent5" xfId="41" builtinId="47" customBuiltin="1"/>
    <cellStyle name="40% - Accent5 2" xfId="67" xr:uid="{00000000-0005-0000-0000-000015000000}"/>
    <cellStyle name="40% - Accent6" xfId="45" builtinId="51" customBuiltin="1"/>
    <cellStyle name="40% - Accent6 2" xfId="69" xr:uid="{00000000-0005-0000-0000-000017000000}"/>
    <cellStyle name="60% - Accent1" xfId="26" builtinId="32" customBuiltin="1"/>
    <cellStyle name="60% - Accent2" xfId="30" builtinId="36" customBuiltin="1"/>
    <cellStyle name="60% - Accent3" xfId="34" builtinId="40" customBuiltin="1"/>
    <cellStyle name="60% - Accent4" xfId="38" builtinId="44" customBuiltin="1"/>
    <cellStyle name="60% - Accent5" xfId="42" builtinId="48" customBuiltin="1"/>
    <cellStyle name="60% - Accent6" xfId="46" builtinId="52" customBuiltin="1"/>
    <cellStyle name="Accent1" xfId="23" builtinId="29" customBuiltin="1"/>
    <cellStyle name="Accent2" xfId="27" builtinId="33" customBuiltin="1"/>
    <cellStyle name="Accent3" xfId="31" builtinId="37" customBuiltin="1"/>
    <cellStyle name="Accent4" xfId="35" builtinId="41" customBuiltin="1"/>
    <cellStyle name="Accent5" xfId="39" builtinId="45" customBuiltin="1"/>
    <cellStyle name="Accent6" xfId="43" builtinId="49" customBuiltin="1"/>
    <cellStyle name="Bad" xfId="13" builtinId="27" customBuiltin="1"/>
    <cellStyle name="Calculation" xfId="17" builtinId="22" customBuiltin="1"/>
    <cellStyle name="Check Cell" xfId="19" builtinId="23" customBuiltin="1"/>
    <cellStyle name="Comma" xfId="1" builtinId="3"/>
    <cellStyle name="Comma 2" xfId="3" xr:uid="{00000000-0005-0000-0000-000028000000}"/>
    <cellStyle name="Comma 2 2" xfId="56" xr:uid="{00000000-0005-0000-0000-000029000000}"/>
    <cellStyle name="Comma 3" xfId="49" xr:uid="{00000000-0005-0000-0000-00002A000000}"/>
    <cellStyle name="Comma 3 2" xfId="72" xr:uid="{00000000-0005-0000-0000-00002B000000}"/>
    <cellStyle name="Explanatory Text" xfId="21" builtinId="53" customBuiltin="1"/>
    <cellStyle name="Good" xfId="12" builtinId="26" customBuiltin="1"/>
    <cellStyle name="Heading 1" xfId="8" builtinId="16" customBuiltin="1"/>
    <cellStyle name="Heading 2" xfId="9" builtinId="17" customBuiltin="1"/>
    <cellStyle name="Heading 3" xfId="10" builtinId="18" customBuiltin="1"/>
    <cellStyle name="Heading 4" xfId="11" builtinId="19" customBuiltin="1"/>
    <cellStyle name="Hyperlink" xfId="5" builtinId="8"/>
    <cellStyle name="Hyperlink 2" xfId="6" xr:uid="{00000000-0005-0000-0000-000033000000}"/>
    <cellStyle name="Input" xfId="15" builtinId="20" customBuiltin="1"/>
    <cellStyle name="Linked Cell" xfId="18" builtinId="24" customBuiltin="1"/>
    <cellStyle name="Neutral" xfId="14" builtinId="28" customBuiltin="1"/>
    <cellStyle name="Normal" xfId="0" builtinId="0"/>
    <cellStyle name="Normal 2" xfId="2" xr:uid="{00000000-0005-0000-0000-000038000000}"/>
    <cellStyle name="Normal 2 2" xfId="51" xr:uid="{00000000-0005-0000-0000-000039000000}"/>
    <cellStyle name="Normal 2 3" xfId="53" xr:uid="{00000000-0005-0000-0000-00003A000000}"/>
    <cellStyle name="Normal 2 3 2" xfId="74" xr:uid="{00000000-0005-0000-0000-00003B000000}"/>
    <cellStyle name="Normal 2 4" xfId="55" xr:uid="{00000000-0005-0000-0000-00003C000000}"/>
    <cellStyle name="Normal 3" xfId="47" xr:uid="{00000000-0005-0000-0000-00003D000000}"/>
    <cellStyle name="Normal 3 2" xfId="70" xr:uid="{00000000-0005-0000-0000-00003E000000}"/>
    <cellStyle name="Note 2" xfId="48" xr:uid="{00000000-0005-0000-0000-00003F000000}"/>
    <cellStyle name="Note 2 2" xfId="71" xr:uid="{00000000-0005-0000-0000-000040000000}"/>
    <cellStyle name="Output" xfId="16" builtinId="21" customBuiltin="1"/>
    <cellStyle name="Percent" xfId="54" builtinId="5"/>
    <cellStyle name="Percent 2" xfId="4" xr:uid="{00000000-0005-0000-0000-000043000000}"/>
    <cellStyle name="Percent 2 2" xfId="52" xr:uid="{00000000-0005-0000-0000-000044000000}"/>
    <cellStyle name="Percent 2 3" xfId="57" xr:uid="{00000000-0005-0000-0000-000045000000}"/>
    <cellStyle name="Percent 3" xfId="50" xr:uid="{00000000-0005-0000-0000-000046000000}"/>
    <cellStyle name="Percent 3 2" xfId="73" xr:uid="{00000000-0005-0000-0000-000047000000}"/>
    <cellStyle name="Title" xfId="7" builtinId="15" customBuiltin="1"/>
    <cellStyle name="Total" xfId="22" builtinId="25" customBuiltin="1"/>
    <cellStyle name="Warning Text" xfId="20" builtinId="11" customBuiltin="1"/>
  </cellStyles>
  <dxfs count="96">
    <dxf>
      <font>
        <b val="0"/>
        <i val="0"/>
        <strike val="0"/>
        <condense val="0"/>
        <extend val="0"/>
        <outline val="0"/>
        <shadow val="0"/>
        <u val="none"/>
        <vertAlign val="baseline"/>
        <sz val="11"/>
        <color theme="1"/>
        <name val="Calibri"/>
        <scheme val="minor"/>
      </font>
      <numFmt numFmtId="4"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4"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4"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4"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167" formatCode="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167" formatCode="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167" formatCode="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4"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4"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4"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theme="1"/>
        <name val="Calibri"/>
        <scheme val="minor"/>
      </font>
      <numFmt numFmtId="167" formatCode="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scheme val="minor"/>
      </font>
      <numFmt numFmtId="2"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scheme val="minor"/>
      </font>
      <numFmt numFmtId="2" formatCode="0.00"/>
      <fill>
        <patternFill patternType="solid">
          <fgColor indexed="64"/>
          <bgColor rgb="FF1DC4FF"/>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numFmt numFmtId="2"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family val="2"/>
        <scheme val="minor"/>
      </font>
      <numFmt numFmtId="2" formatCode="0.00"/>
      <fill>
        <patternFill patternType="solid">
          <fgColor indexed="64"/>
          <bgColor theme="4" tint="0.79998168889431442"/>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family val="2"/>
        <scheme val="minor"/>
      </font>
      <numFmt numFmtId="2" formatCode="0.00"/>
      <fill>
        <patternFill patternType="solid">
          <fgColor indexed="64"/>
          <bgColor theme="4" tint="0.79998168889431442"/>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scheme val="minor"/>
      </font>
      <numFmt numFmtId="2" formatCode="0.00"/>
      <fill>
        <patternFill patternType="solid">
          <fgColor theme="4" tint="0.79998168889431442"/>
          <bgColor theme="4" tint="0.79998168889431442"/>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scheme val="minor"/>
      </font>
      <numFmt numFmtId="1" formatCode="0"/>
      <fill>
        <patternFill patternType="solid">
          <fgColor indexed="64"/>
          <bgColor theme="7" tint="0.59999389629810485"/>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numFmt numFmtId="1" formatCode="0"/>
      <fill>
        <patternFill patternType="solid">
          <fgColor indexed="64"/>
          <bgColor theme="7" tint="0.59999389629810485"/>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numFmt numFmtId="2" formatCode="0.00"/>
      <fill>
        <patternFill patternType="solid">
          <fgColor indexed="64"/>
          <bgColor theme="9" tint="0.39997558519241921"/>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9" tint="0.39997558519241921"/>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9" tint="0.39997558519241921"/>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family val="2"/>
        <scheme val="minor"/>
      </font>
      <numFmt numFmtId="0" formatCode="General"/>
      <fill>
        <patternFill patternType="solid">
          <fgColor indexed="64"/>
          <bgColor theme="7" tint="0.59999389629810485"/>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family val="2"/>
        <scheme val="minor"/>
      </font>
      <numFmt numFmtId="2" formatCode="0.00"/>
      <fill>
        <patternFill patternType="solid">
          <fgColor indexed="64"/>
          <bgColor theme="0" tint="-0.14999847407452621"/>
        </patternFill>
      </fill>
      <alignment horizontal="center" vertical="bottom" textRotation="0" wrapText="0" indent="0" justifyLastLine="0" shrinkToFit="0" readingOrder="0"/>
      <border diagonalUp="0" diagonalDown="0" outline="0">
        <left/>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family val="2"/>
        <scheme val="minor"/>
      </font>
      <numFmt numFmtId="0" formatCode="General"/>
      <fill>
        <patternFill patternType="solid">
          <fgColor indexed="64"/>
          <bgColor theme="7" tint="0.59999389629810485"/>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2" tint="-0.249977111117893"/>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D1DF4D"/>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D1DF4D"/>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theme="2" tint="-0.249977111117893"/>
        </patternFill>
      </fill>
      <alignment horizontal="center" vertical="bottom" textRotation="0" wrapText="0" indent="0" justifyLastLine="0" shrinkToFit="0" readingOrder="0"/>
      <border diagonalUp="0" diagonalDown="0">
        <left/>
        <right/>
        <top style="thin">
          <color theme="4" tint="0.39997558519241921"/>
        </top>
        <bottom style="thin">
          <color theme="4" tint="0.39997558519241921"/>
        </bottom>
      </border>
      <protection locked="0" hidden="0"/>
    </dxf>
    <dxf>
      <font>
        <b val="0"/>
        <i val="0"/>
        <strike val="0"/>
        <condense val="0"/>
        <extend val="0"/>
        <outline val="0"/>
        <shadow val="0"/>
        <u val="none"/>
        <vertAlign val="baseline"/>
        <sz val="11"/>
        <color theme="1"/>
        <name val="Calibri"/>
        <scheme val="minor"/>
      </font>
      <fill>
        <patternFill patternType="solid">
          <fgColor indexed="64"/>
          <bgColor rgb="FFD1DF4D"/>
        </patternFill>
      </fill>
      <alignment horizontal="center" vertical="bottom" textRotation="0" wrapText="0" indent="0" justifyLastLine="0" shrinkToFit="0" readingOrder="0"/>
      <border diagonalUp="0" diagonalDown="0">
        <left/>
        <right style="thin">
          <color theme="4" tint="0.39997558519241921"/>
        </right>
        <top style="thin">
          <color theme="4" tint="0.39997558519241921"/>
        </top>
        <bottom style="thin">
          <color theme="4" tint="0.39997558519241921"/>
        </bottom>
      </border>
      <protection locked="0" hidden="0"/>
    </dxf>
    <dxf>
      <border outline="0">
        <top style="thin">
          <color theme="4" tint="0.39997558519241921"/>
        </top>
      </border>
    </dxf>
    <dxf>
      <border outline="0">
        <left style="thin">
          <color theme="4" tint="0.39997558519241921"/>
        </left>
        <right style="thin">
          <color theme="4" tint="0.39997558519241921"/>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Calibri"/>
        <scheme val="minor"/>
      </font>
      <fill>
        <patternFill patternType="solid">
          <fgColor theme="4" tint="0.79998168889431442"/>
          <bgColor theme="4" tint="0.79998168889431442"/>
        </patternFill>
      </fill>
      <alignment horizontal="center" vertical="bottom" textRotation="0" wrapText="0" indent="0" justifyLastLine="0" shrinkToFit="0" readingOrder="0"/>
    </dxf>
    <dxf>
      <border outline="0">
        <bottom style="thin">
          <color theme="4" tint="0.39997558519241921"/>
        </bottom>
      </border>
    </dxf>
    <dxf>
      <font>
        <b/>
        <i val="0"/>
        <strike val="0"/>
        <condense val="0"/>
        <extend val="0"/>
        <outline val="0"/>
        <shadow val="0"/>
        <u val="none"/>
        <vertAlign val="baseline"/>
        <sz val="11"/>
        <color theme="0"/>
        <name val="Calibri"/>
        <scheme val="minor"/>
      </font>
      <fill>
        <patternFill patternType="solid">
          <fgColor theme="4"/>
          <bgColor theme="4"/>
        </patternFill>
      </fill>
      <alignment horizontal="left" vertical="bottom" textRotation="0" wrapText="0" indent="0" justifyLastLine="0" shrinkToFit="0" readingOrder="0"/>
    </dxf>
    <dxf>
      <font>
        <b/>
        <i val="0"/>
        <color rgb="FFFF0000"/>
      </font>
    </dxf>
    <dxf>
      <font>
        <color rgb="FF9C0006"/>
      </font>
    </dxf>
    <dxf>
      <font>
        <color rgb="FFFF0000"/>
      </font>
    </dxf>
    <dxf>
      <font>
        <b/>
        <i val="0"/>
        <color rgb="FFFF0000"/>
      </font>
    </dxf>
    <dxf>
      <fill>
        <patternFill patternType="lightDown"/>
      </fill>
    </dxf>
    <dxf>
      <fill>
        <patternFill patternType="lightDown"/>
      </fill>
    </dxf>
    <dxf>
      <fill>
        <patternFill patternType="lightDown"/>
      </fill>
    </dxf>
    <dxf>
      <fill>
        <patternFill patternType="lightDown"/>
      </fill>
    </dxf>
    <dxf>
      <fill>
        <patternFill patternType="lightDown"/>
      </fill>
    </dxf>
    <dxf>
      <fill>
        <patternFill patternType="lightDown"/>
      </fill>
    </dxf>
    <dxf>
      <fill>
        <patternFill patternType="lightDown"/>
      </fill>
    </dxf>
    <dxf>
      <fill>
        <patternFill patternType="lightDown"/>
      </fill>
    </dxf>
    <dxf>
      <fill>
        <patternFill patternType="lightDown"/>
      </fill>
    </dxf>
    <dxf>
      <fill>
        <patternFill patternType="lightDown"/>
      </fill>
    </dxf>
    <dxf>
      <fill>
        <patternFill patternType="lightDown"/>
      </fill>
    </dxf>
    <dxf>
      <fill>
        <patternFill patternType="lightDown"/>
      </fill>
    </dxf>
    <dxf>
      <fill>
        <patternFill patternType="lightDown"/>
      </fill>
    </dxf>
    <dxf>
      <fill>
        <patternFill patternType="lightDown"/>
      </fill>
    </dxf>
    <dxf>
      <font>
        <b/>
        <i val="0"/>
        <strike val="0"/>
        <condense val="0"/>
        <extend val="0"/>
        <outline val="0"/>
        <shadow val="0"/>
        <u val="none"/>
        <vertAlign val="baseline"/>
        <sz val="10"/>
        <color auto="1"/>
        <name val="Arial"/>
        <scheme val="none"/>
      </font>
      <numFmt numFmtId="4" formatCode="#,##0.00"/>
      <alignment horizontal="right" vertical="bottom" textRotation="0" wrapText="0" indent="3" justifyLastLine="0" shrinkToFit="0" readingOrder="0"/>
      <border diagonalUp="0" diagonalDown="0">
        <left style="medium">
          <color auto="1"/>
        </left>
        <right style="medium">
          <color auto="1"/>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alignment horizontal="right" vertical="bottom" textRotation="0" wrapText="0" indent="2"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fill>
        <patternFill patternType="solid">
          <fgColor theme="4" tint="0.79998168889431442"/>
          <bgColor theme="4" tint="0.79998168889431442"/>
        </patternFill>
      </fill>
      <alignment horizontal="right" vertical="bottom" textRotation="0" wrapText="0" indent="1" justifyLastLine="0" shrinkToFit="0" readingOrder="0"/>
      <border diagonalUp="0" diagonalDown="0">
        <left style="dashDot">
          <color theme="1" tint="0.2499465926084170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fill>
        <patternFill patternType="solid">
          <fgColor theme="4" tint="0.79998168889431442"/>
          <bgColor theme="4" tint="0.79998168889431442"/>
        </patternFill>
      </fill>
      <alignment horizontal="right" vertical="bottom" textRotation="0" wrapText="0" indent="1" justifyLastLine="0" shrinkToFit="0" readingOrder="0"/>
      <border diagonalUp="0" diagonalDown="0">
        <left style="dashDot">
          <color theme="1" tint="0.2499465926084170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164" formatCode="#,##0.0"/>
      <border diagonalUp="0" diagonalDown="0">
        <left style="medium">
          <color auto="1"/>
        </left>
        <right/>
        <top style="thin">
          <color theme="4" tint="0.39997558519241921"/>
        </top>
        <bottom/>
        <vertical/>
        <horizontal/>
      </border>
    </dxf>
    <dxf>
      <font>
        <b/>
        <i val="0"/>
        <strike val="0"/>
        <condense val="0"/>
        <extend val="0"/>
        <outline val="0"/>
        <shadow val="0"/>
        <u val="none"/>
        <vertAlign val="baseline"/>
        <sz val="10"/>
        <color auto="1"/>
        <name val="Arial"/>
        <scheme val="none"/>
      </font>
      <numFmt numFmtId="4" formatCode="#,##0.00"/>
      <alignment horizontal="right" vertical="bottom" textRotation="0" wrapText="0" indent="2" justifyLastLine="0" shrinkToFit="0" readingOrder="0"/>
      <border diagonalUp="0" diagonalDown="0">
        <left style="medium">
          <color auto="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alignment horizontal="right" vertical="bottom" textRotation="0" wrapText="0" indent="2" justifyLastLine="0" shrinkToFit="0" readingOrder="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fill>
        <patternFill patternType="solid">
          <fgColor theme="4" tint="0.79998168889431442"/>
          <bgColor theme="4" tint="0.79998168889431442"/>
        </patternFill>
      </fill>
      <alignment horizontal="right" vertical="bottom" textRotation="0" wrapText="0" indent="2" justifyLastLine="0" shrinkToFit="0" readingOrder="0"/>
      <border diagonalUp="0" diagonalDown="0">
        <left style="dashDot">
          <color theme="1" tint="0.2499465926084170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fill>
        <patternFill patternType="solid">
          <fgColor theme="4" tint="0.79998168889431442"/>
          <bgColor theme="4" tint="0.79998168889431442"/>
        </patternFill>
      </fill>
      <alignment horizontal="right" vertical="bottom" textRotation="0" wrapText="0" indent="1" justifyLastLine="0" shrinkToFit="0" readingOrder="0"/>
      <border diagonalUp="0" diagonalDown="0">
        <left style="dashDot">
          <color theme="1" tint="0.2499465926084170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164" formatCode="#,##0.0"/>
      <border diagonalUp="0" diagonalDown="0">
        <left style="medium">
          <color auto="1"/>
        </left>
        <right/>
        <top style="thin">
          <color theme="4" tint="0.39997558519241921"/>
        </top>
        <bottom/>
        <vertical/>
        <horizontal/>
      </border>
    </dxf>
    <dxf>
      <font>
        <b/>
        <i val="0"/>
        <strike val="0"/>
        <condense val="0"/>
        <extend val="0"/>
        <outline val="0"/>
        <shadow val="0"/>
        <u val="none"/>
        <vertAlign val="baseline"/>
        <sz val="10"/>
        <color auto="1"/>
        <name val="Arial"/>
        <scheme val="none"/>
      </font>
      <numFmt numFmtId="4" formatCode="#,##0.00"/>
      <alignment horizontal="right" vertical="bottom" textRotation="0" wrapText="0" indent="1" justifyLastLine="0" shrinkToFit="0" readingOrder="0"/>
      <border diagonalUp="0" diagonalDown="0">
        <left style="medium">
          <color auto="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fill>
        <patternFill patternType="solid">
          <fgColor theme="4" tint="0.79998168889431442"/>
          <bgColor theme="4" tint="0.79998168889431442"/>
        </patternFill>
      </fill>
      <alignment horizontal="right" vertical="bottom" textRotation="0" wrapText="0" indent="1" justifyLastLine="0" shrinkToFit="0" readingOrder="0"/>
      <border diagonalUp="0" diagonalDown="0">
        <left style="dashDot">
          <color theme="1" tint="0.2499465926084170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fill>
        <patternFill patternType="solid">
          <fgColor theme="4" tint="0.79998168889431442"/>
          <bgColor theme="4" tint="0.79998168889431442"/>
        </patternFill>
      </fill>
      <alignment horizontal="right" vertical="bottom" textRotation="0" wrapText="0" indent="1" justifyLastLine="0" shrinkToFit="0" readingOrder="0"/>
      <border diagonalUp="0" diagonalDown="0">
        <left style="dashDot">
          <color theme="1" tint="0.24994659260841701"/>
        </left>
        <right/>
        <top style="thin">
          <color theme="4" tint="0.39997558519241921"/>
        </top>
        <bottom/>
        <vertical/>
        <horizontal/>
      </border>
    </dxf>
    <dxf>
      <font>
        <b val="0"/>
        <i val="0"/>
        <strike val="0"/>
        <condense val="0"/>
        <extend val="0"/>
        <outline val="0"/>
        <shadow val="0"/>
        <u val="none"/>
        <vertAlign val="baseline"/>
        <sz val="10"/>
        <color theme="1"/>
        <name val="Arial"/>
        <scheme val="none"/>
      </font>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style="thin">
          <color theme="1" tint="0.24994659260841701"/>
        </left>
        <right/>
        <top style="thin">
          <color theme="4" tint="0.39997558519241921"/>
        </top>
        <bottom/>
        <vertical/>
        <horizontal/>
      </border>
    </dxf>
    <dxf>
      <font>
        <b val="0"/>
        <i val="0"/>
        <strike val="0"/>
        <condense val="0"/>
        <extend val="0"/>
        <outline val="0"/>
        <shadow val="0"/>
        <u val="none"/>
        <vertAlign val="baseline"/>
        <sz val="10"/>
        <color auto="1"/>
        <name val="Arial"/>
        <scheme val="none"/>
      </font>
      <numFmt numFmtId="4" formatCode="#,##0.00"/>
      <border diagonalUp="0" diagonalDown="0">
        <left style="thin">
          <color theme="4" tint="0.39997558519241921"/>
        </left>
        <right/>
        <top style="thin">
          <color theme="4" tint="0.39997558519241921"/>
        </top>
        <bottom/>
        <vertical/>
        <horizontal/>
      </border>
    </dxf>
    <dxf>
      <border outline="0">
        <top style="thin">
          <color theme="1" tint="0.24994659260841701"/>
        </top>
      </border>
    </dxf>
    <dxf>
      <font>
        <b/>
        <i/>
        <strike val="0"/>
        <condense val="0"/>
        <extend val="0"/>
        <outline val="0"/>
        <shadow val="0"/>
        <u val="none"/>
        <vertAlign val="baseline"/>
        <sz val="10"/>
        <color theme="0"/>
        <name val="Arial"/>
        <scheme val="none"/>
      </font>
      <numFmt numFmtId="30" formatCode="@"/>
      <fill>
        <patternFill patternType="solid">
          <fgColor theme="4"/>
          <bgColor theme="4"/>
        </patternFill>
      </fill>
      <alignment horizontal="left" vertical="bottom" textRotation="0" wrapText="0" indent="0" justifyLastLine="0" shrinkToFit="0" readingOrder="0"/>
    </dxf>
    <dxf>
      <font>
        <b val="0"/>
        <i val="0"/>
        <strike val="0"/>
        <condense val="0"/>
        <extend val="0"/>
        <outline val="0"/>
        <shadow val="0"/>
        <u val="none"/>
        <vertAlign val="baseline"/>
        <sz val="11"/>
        <color theme="1"/>
        <name val="Calibri"/>
        <family val="2"/>
        <scheme val="none"/>
      </font>
      <fill>
        <patternFill patternType="none">
          <fgColor indexed="64"/>
          <bgColor indexed="65"/>
        </patternFill>
      </fill>
    </dxf>
    <dxf>
      <font>
        <b val="0"/>
        <i val="0"/>
        <strike val="0"/>
        <condense val="0"/>
        <extend val="0"/>
        <outline val="0"/>
        <shadow val="0"/>
        <u val="none"/>
        <vertAlign val="baseline"/>
        <sz val="11"/>
        <color theme="1"/>
        <name val="Calibri"/>
        <family val="2"/>
        <scheme val="none"/>
      </font>
      <fill>
        <patternFill patternType="none">
          <fgColor indexed="64"/>
          <bgColor indexed="65"/>
        </patternFill>
      </fill>
    </dxf>
    <dxf>
      <font>
        <b val="0"/>
        <i val="0"/>
        <strike val="0"/>
        <condense val="0"/>
        <extend val="0"/>
        <outline val="0"/>
        <shadow val="0"/>
        <u val="none"/>
        <vertAlign val="baseline"/>
        <sz val="11"/>
        <color theme="1"/>
        <name val="Calibri"/>
        <family val="2"/>
        <scheme val="none"/>
      </font>
      <fill>
        <patternFill patternType="none">
          <fgColor indexed="64"/>
          <bgColor indexed="65"/>
        </patternFill>
      </fill>
    </dxf>
    <dxf>
      <font>
        <b val="0"/>
        <i val="0"/>
        <strike val="0"/>
        <condense val="0"/>
        <extend val="0"/>
        <outline val="0"/>
        <shadow val="0"/>
        <u val="none"/>
        <vertAlign val="baseline"/>
        <sz val="11"/>
        <color theme="1"/>
        <name val="Calibri"/>
        <family val="2"/>
        <scheme val="none"/>
      </font>
      <fill>
        <patternFill patternType="solid">
          <fgColor indexed="64"/>
          <bgColor theme="8" tint="0.39997558519241921"/>
        </patternFill>
      </fill>
      <alignment horizontal="left" vertical="bottom" textRotation="0" wrapText="0" indent="0" justifyLastLine="0" shrinkToFit="0" readingOrder="0"/>
    </dxf>
    <dxf>
      <font>
        <b val="0"/>
        <i val="0"/>
        <strike val="0"/>
        <condense val="0"/>
        <extend val="0"/>
        <outline val="0"/>
        <shadow val="0"/>
        <u val="none"/>
        <vertAlign val="baseline"/>
        <sz val="11"/>
        <color theme="1"/>
        <name val="Calibri"/>
        <family val="2"/>
        <scheme val="none"/>
      </font>
      <fill>
        <patternFill patternType="solid">
          <fgColor indexed="64"/>
          <bgColor theme="8" tint="0.39997558519241921"/>
        </patternFill>
      </fill>
      <alignment horizontal="left" vertical="bottom" textRotation="0" wrapText="0" indent="0" justifyLastLine="0" shrinkToFit="0" readingOrder="0"/>
    </dxf>
    <dxf>
      <font>
        <b val="0"/>
        <i val="0"/>
        <strike val="0"/>
        <condense val="0"/>
        <extend val="0"/>
        <outline val="0"/>
        <shadow val="0"/>
        <u val="none"/>
        <vertAlign val="baseline"/>
        <sz val="11"/>
        <color theme="1"/>
        <name val="Calibri"/>
        <family val="2"/>
        <scheme val="none"/>
      </font>
      <fill>
        <patternFill patternType="none">
          <fgColor indexed="64"/>
          <bgColor indexed="65"/>
        </patternFill>
      </fill>
    </dxf>
    <dxf>
      <font>
        <b val="0"/>
        <i/>
        <strike val="0"/>
        <condense val="0"/>
        <extend val="0"/>
        <outline val="0"/>
        <shadow val="0"/>
        <u val="none"/>
        <vertAlign val="baseline"/>
        <sz val="11"/>
        <color theme="1"/>
        <name val="Calibri"/>
        <family val="2"/>
        <scheme val="none"/>
      </font>
      <fill>
        <patternFill patternType="none">
          <fgColor indexed="64"/>
          <bgColor indexed="65"/>
        </patternFill>
      </fill>
    </dxf>
    <dxf>
      <numFmt numFmtId="0" formatCode="General"/>
    </dxf>
    <dxf>
      <numFmt numFmtId="167" formatCode="0.0%"/>
    </dxf>
    <dxf>
      <numFmt numFmtId="167" formatCode="0.0%"/>
    </dxf>
    <dxf>
      <numFmt numFmtId="167" formatCode="0.0%"/>
    </dxf>
    <dxf>
      <numFmt numFmtId="0" formatCode="General"/>
    </dxf>
    <dxf>
      <font>
        <b val="0"/>
        <i val="0"/>
        <strike val="0"/>
        <condense val="0"/>
        <extend val="0"/>
        <outline val="0"/>
        <shadow val="0"/>
        <u val="none"/>
        <vertAlign val="baseline"/>
        <sz val="11"/>
        <color theme="1"/>
        <name val="Calibri"/>
        <scheme val="minor"/>
      </font>
      <fill>
        <patternFill patternType="solid">
          <fgColor theme="4" tint="0.79998168889431442"/>
          <bgColor theme="4" tint="0.79998168889431442"/>
        </patternFill>
      </fill>
      <border diagonalUp="0" diagonalDown="0">
        <left/>
        <right/>
        <top style="thin">
          <color theme="4" tint="0.39997558519241921"/>
        </top>
        <bottom style="thin">
          <color theme="4" tint="0.39997558519241921"/>
        </bottom>
        <vertical/>
        <horizontal/>
      </border>
    </dxf>
    <dxf>
      <border outline="0">
        <left style="thin">
          <color theme="4" tint="0.39997558519241921"/>
        </left>
      </border>
    </dxf>
    <dxf>
      <alignment horizontal="general" vertical="bottom" textRotation="0" wrapText="1" indent="0" justifyLastLine="0" shrinkToFit="0" readingOrder="0"/>
    </dxf>
  </dxfs>
  <tableStyles count="0" defaultTableStyle="TableStyleMedium2" defaultPivotStyle="PivotStyleLight16"/>
  <colors>
    <mruColors>
      <color rgb="FFD1DF4D"/>
      <color rgb="FF009A46"/>
      <color rgb="FF1DC4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tmp"/><Relationship Id="rId2" Type="http://schemas.openxmlformats.org/officeDocument/2006/relationships/image" Target="../media/image2.tmp"/><Relationship Id="rId1" Type="http://schemas.openxmlformats.org/officeDocument/2006/relationships/image" Target="../media/image1.tmp"/><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158750</xdr:colOff>
      <xdr:row>42</xdr:row>
      <xdr:rowOff>19051</xdr:rowOff>
    </xdr:from>
    <xdr:to>
      <xdr:col>4</xdr:col>
      <xdr:colOff>425002</xdr:colOff>
      <xdr:row>78</xdr:row>
      <xdr:rowOff>132279</xdr:rowOff>
    </xdr:to>
    <xdr:pic>
      <xdr:nvPicPr>
        <xdr:cNvPr id="2" name="Picture 1" descr="Screen Clipping">
          <a:extLst>
            <a:ext uri="{FF2B5EF4-FFF2-40B4-BE49-F238E27FC236}">
              <a16:creationId xmlns:a16="http://schemas.microsoft.com/office/drawing/2014/main" id="{C12FF9B5-1D82-0C4D-804D-375B1120E9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8750" y="1187451"/>
          <a:ext cx="6848980" cy="6987103"/>
        </a:xfrm>
        <a:prstGeom prst="rect">
          <a:avLst/>
        </a:prstGeom>
      </xdr:spPr>
    </xdr:pic>
    <xdr:clientData/>
  </xdr:twoCellAnchor>
  <xdr:twoCellAnchor editAs="oneCell">
    <xdr:from>
      <xdr:col>0</xdr:col>
      <xdr:colOff>450850</xdr:colOff>
      <xdr:row>87</xdr:row>
      <xdr:rowOff>22225</xdr:rowOff>
    </xdr:from>
    <xdr:to>
      <xdr:col>4</xdr:col>
      <xdr:colOff>933032</xdr:colOff>
      <xdr:row>109</xdr:row>
      <xdr:rowOff>89854</xdr:rowOff>
    </xdr:to>
    <xdr:pic>
      <xdr:nvPicPr>
        <xdr:cNvPr id="3" name="Picture 2" descr="Screen Clipping">
          <a:extLst>
            <a:ext uri="{FF2B5EF4-FFF2-40B4-BE49-F238E27FC236}">
              <a16:creationId xmlns:a16="http://schemas.microsoft.com/office/drawing/2014/main" id="{2C8D9C8C-FD9D-484E-B856-A1CD08A91C5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50850" y="10080625"/>
          <a:ext cx="7047923" cy="4261169"/>
        </a:xfrm>
        <a:prstGeom prst="rect">
          <a:avLst/>
        </a:prstGeom>
      </xdr:spPr>
    </xdr:pic>
    <xdr:clientData/>
  </xdr:twoCellAnchor>
  <xdr:twoCellAnchor editAs="oneCell">
    <xdr:from>
      <xdr:col>0</xdr:col>
      <xdr:colOff>523875</xdr:colOff>
      <xdr:row>105</xdr:row>
      <xdr:rowOff>79375</xdr:rowOff>
    </xdr:from>
    <xdr:to>
      <xdr:col>4</xdr:col>
      <xdr:colOff>837940</xdr:colOff>
      <xdr:row>148</xdr:row>
      <xdr:rowOff>89454</xdr:rowOff>
    </xdr:to>
    <xdr:pic>
      <xdr:nvPicPr>
        <xdr:cNvPr id="4" name="Picture 3" descr="Screen Clipping">
          <a:extLst>
            <a:ext uri="{FF2B5EF4-FFF2-40B4-BE49-F238E27FC236}">
              <a16:creationId xmlns:a16="http://schemas.microsoft.com/office/drawing/2014/main" id="{B592FCCC-A093-0B49-8027-15B77E8CAB9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23875" y="13985875"/>
          <a:ext cx="6895523" cy="8204119"/>
        </a:xfrm>
        <a:prstGeom prst="rect">
          <a:avLst/>
        </a:prstGeom>
      </xdr:spPr>
    </xdr:pic>
    <xdr:clientData/>
  </xdr:twoCellAnchor>
  <xdr:oneCellAnchor>
    <xdr:from>
      <xdr:col>0</xdr:col>
      <xdr:colOff>158750</xdr:colOff>
      <xdr:row>42</xdr:row>
      <xdr:rowOff>19051</xdr:rowOff>
    </xdr:from>
    <xdr:ext cx="6848980" cy="6990278"/>
    <xdr:pic>
      <xdr:nvPicPr>
        <xdr:cNvPr id="6" name="Picture 5" descr="Screen Clipping">
          <a:extLst>
            <a:ext uri="{FF2B5EF4-FFF2-40B4-BE49-F238E27FC236}">
              <a16:creationId xmlns:a16="http://schemas.microsoft.com/office/drawing/2014/main" id="{49CD0073-3C7A-E742-AB32-1C561B2281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8750" y="1174751"/>
          <a:ext cx="6848980" cy="6990278"/>
        </a:xfrm>
        <a:prstGeom prst="rect">
          <a:avLst/>
        </a:prstGeom>
      </xdr:spPr>
    </xdr:pic>
    <xdr:clientData/>
  </xdr:oneCellAnchor>
  <xdr:oneCellAnchor>
    <xdr:from>
      <xdr:col>0</xdr:col>
      <xdr:colOff>450850</xdr:colOff>
      <xdr:row>87</xdr:row>
      <xdr:rowOff>22225</xdr:rowOff>
    </xdr:from>
    <xdr:ext cx="7047923" cy="4254819"/>
    <xdr:pic>
      <xdr:nvPicPr>
        <xdr:cNvPr id="7" name="Picture 6" descr="Screen Clipping">
          <a:extLst>
            <a:ext uri="{FF2B5EF4-FFF2-40B4-BE49-F238E27FC236}">
              <a16:creationId xmlns:a16="http://schemas.microsoft.com/office/drawing/2014/main" id="{C3CB78F3-2DBF-6C4D-96CA-AE5213954E2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50850" y="10067925"/>
          <a:ext cx="7047923" cy="4254819"/>
        </a:xfrm>
        <a:prstGeom prst="rect">
          <a:avLst/>
        </a:prstGeom>
      </xdr:spPr>
    </xdr:pic>
    <xdr:clientData/>
  </xdr:oneCellAnchor>
  <xdr:oneCellAnchor>
    <xdr:from>
      <xdr:col>0</xdr:col>
      <xdr:colOff>523875</xdr:colOff>
      <xdr:row>105</xdr:row>
      <xdr:rowOff>79375</xdr:rowOff>
    </xdr:from>
    <xdr:ext cx="6895523" cy="8204119"/>
    <xdr:pic>
      <xdr:nvPicPr>
        <xdr:cNvPr id="8" name="Picture 7" descr="Screen Clipping">
          <a:extLst>
            <a:ext uri="{FF2B5EF4-FFF2-40B4-BE49-F238E27FC236}">
              <a16:creationId xmlns:a16="http://schemas.microsoft.com/office/drawing/2014/main" id="{871AFF14-5174-9D4B-B2A4-0B219F41D25F}"/>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523875" y="13554075"/>
          <a:ext cx="6895523" cy="8204119"/>
        </a:xfrm>
        <a:prstGeom prst="rect">
          <a:avLst/>
        </a:prstGeom>
      </xdr:spPr>
    </xdr:pic>
    <xdr:clientData/>
  </xdr:oneCellAnchor>
  <xdr:oneCellAnchor>
    <xdr:from>
      <xdr:col>10</xdr:col>
      <xdr:colOff>0</xdr:colOff>
      <xdr:row>74</xdr:row>
      <xdr:rowOff>2186</xdr:rowOff>
    </xdr:from>
    <xdr:ext cx="5035721" cy="2140484"/>
    <xdr:pic>
      <xdr:nvPicPr>
        <xdr:cNvPr id="9" name="Picture 8">
          <a:extLst>
            <a:ext uri="{FF2B5EF4-FFF2-40B4-BE49-F238E27FC236}">
              <a16:creationId xmlns:a16="http://schemas.microsoft.com/office/drawing/2014/main" id="{D2D297F9-6ED0-3C44-B402-6BCB63F12DD7}"/>
            </a:ext>
          </a:extLst>
        </xdr:cNvPr>
        <xdr:cNvPicPr>
          <a:picLocks noChangeAspect="1"/>
        </xdr:cNvPicPr>
      </xdr:nvPicPr>
      <xdr:blipFill>
        <a:blip xmlns:r="http://schemas.openxmlformats.org/officeDocument/2006/relationships" r:embed="rId4"/>
        <a:stretch>
          <a:fillRect/>
        </a:stretch>
      </xdr:blipFill>
      <xdr:spPr>
        <a:xfrm>
          <a:off x="10906125" y="16083561"/>
          <a:ext cx="5035721" cy="2140484"/>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Impervious" displayName="Impervious" ref="B5:E27" totalsRowShown="0" headerRowDxfId="95" tableBorderDxfId="94">
  <autoFilter ref="B5:E27" xr:uid="{00000000-0009-0000-0100-000004000000}"/>
  <tableColumns count="4">
    <tableColumn id="1" xr3:uid="{00000000-0010-0000-0000-000001000000}" name="Source" dataDxfId="93"/>
    <tableColumn id="2" xr3:uid="{00000000-0010-0000-0000-000002000000}" name="impervFraction_defaultMapShed"/>
    <tableColumn id="3" xr3:uid="{00000000-0010-0000-0000-000003000000}" name="impervFraction_manualEntry"/>
    <tableColumn id="4" xr3:uid="{00000000-0010-0000-0000-000004000000}" name="impervFraction_toUse" dataDxfId="92">
      <calculatedColumnFormula>IF(ISNUMBER(Impervious[[#This Row],[impervFraction_manualEntry]]),Impervious[[#This Row],[impervFraction_manualEntry]],Impervious[[#This Row],[impervFraction_defaultMapShed]])</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1000000}" name="Street_Sweeping" displayName="Street_Sweeping" ref="B30:F31" totalsRowShown="0">
  <autoFilter ref="B30:F31" xr:uid="{00000000-0009-0000-0100-000005000000}"/>
  <tableColumns count="5">
    <tableColumn id="1" xr3:uid="{00000000-0010-0000-0100-000001000000}" name="Street Sweeping"/>
    <tableColumn id="2" xr3:uid="{00000000-0010-0000-0100-000002000000}" name="TSS Reduction (%)" dataDxfId="91">
      <calculatedColumnFormula>0.0715</calculatedColumnFormula>
    </tableColumn>
    <tableColumn id="3" xr3:uid="{00000000-0010-0000-0100-000003000000}" name="TP Reduction (%)" dataDxfId="90">
      <calculatedColumnFormula>0.0345</calculatedColumnFormula>
    </tableColumn>
    <tableColumn id="4" xr3:uid="{00000000-0010-0000-0100-000004000000}" name="TN Reduction (%)" dataDxfId="89">
      <calculatedColumnFormula>0.0125</calculatedColumnFormula>
    </tableColumn>
    <tableColumn id="5" xr3:uid="{00000000-0010-0000-0100-000005000000}" name="Road Width (ft)" dataDxfId="88"/>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2000000}" name="Stream_Nutrients" displayName="Stream_Nutrients" ref="B33:E36" totalsRowShown="0">
  <autoFilter ref="B33:E36" xr:uid="{00000000-0009-0000-0100-000006000000}"/>
  <tableColumns count="4">
    <tableColumn id="1" xr3:uid="{00000000-0010-0000-0200-000001000000}" name="Stream Restoration - Protocol 1"/>
    <tableColumn id="4" xr3:uid="{00000000-0010-0000-0200-000004000000}" name="TSS (lbs/ft/yr)"/>
    <tableColumn id="2" xr3:uid="{00000000-0010-0000-0200-000002000000}" name="TP (lbs/ft/yr)"/>
    <tableColumn id="3" xr3:uid="{00000000-0010-0000-0200-000003000000}" name="TN (lbs/ft/yr)"/>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854A27B5-64F4-4DAD-88CB-D42D89D5D48B}" name="UrbBMPCoeffs" displayName="UrbBMPCoeffs" ref="A159:E191" totalsRowShown="0" headerRowDxfId="87" dataDxfId="86" headerRowCellStyle="Normal 2" dataCellStyle="Normal 2">
  <autoFilter ref="A159:E191" xr:uid="{854A27B5-64F4-4DAD-88CB-D42D89D5D48B}"/>
  <tableColumns count="5">
    <tableColumn id="1" xr3:uid="{5CB74745-2B92-41E6-A877-1DDFDF979D2D}" name="Type" dataDxfId="85" dataCellStyle="Normal 2"/>
    <tableColumn id="2" xr3:uid="{AB213871-E24F-4138-8A61-EA0D7BF172BC}" name="Ignore" dataDxfId="84" dataCellStyle="Normal 2"/>
    <tableColumn id="3" xr3:uid="{962736DA-BD3A-474E-A9CD-9533B0C54089}" name="TSS Pct Red Coeff" dataDxfId="83" dataCellStyle="Normal 2"/>
    <tableColumn id="4" xr3:uid="{E29CE383-136B-439A-BB7E-AA5CD5109EA5}" name="TP Pct Red Coeff" dataDxfId="82" dataCellStyle="Normal 2"/>
    <tableColumn id="5" xr3:uid="{03F48D38-6B81-4467-B234-7B4E9B56CB6D}" name="TN Pct Red Coeff" dataDxfId="81" dataCellStyle="Normal 2"/>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3000000}" name="LoadRates" displayName="LoadRates" ref="B14:AA30" totalsRowShown="0" headerRowDxfId="80" tableBorderDxfId="79">
  <autoFilter ref="B14:AA30" xr:uid="{00000000-0009-0000-0100-000009000000}"/>
  <tableColumns count="26">
    <tableColumn id="1" xr3:uid="{00000000-0010-0000-0300-000001000000}" name="Source" dataDxfId="78"/>
    <tableColumn id="2" xr3:uid="{00000000-0010-0000-0300-000002000000}" name="area_ac" dataDxfId="77">
      <calculatedColumnFormula>+'MMW Output'!C20</calculatedColumnFormula>
    </tableColumn>
    <tableColumn id="3" xr3:uid="{00000000-0010-0000-0300-000003000000}" name="runoff_in" dataDxfId="76"/>
    <tableColumn id="4" xr3:uid="{00000000-0010-0000-0300-000004000000}" name="erosion_tons" dataDxfId="75"/>
    <tableColumn id="5" xr3:uid="{00000000-0010-0000-0300-000005000000}" name="Column1" dataDxfId="74"/>
    <tableColumn id="6" xr3:uid="{00000000-0010-0000-0300-000006000000}" name="sediment_tons" dataDxfId="73">
      <calculatedColumnFormula>+'MMW Output'!D20</calculatedColumnFormula>
    </tableColumn>
    <tableColumn id="7" xr3:uid="{00000000-0010-0000-0300-000007000000}" name="DN_lbs" dataDxfId="72"/>
    <tableColumn id="8" xr3:uid="{00000000-0010-0000-0300-000008000000}" name="Column2" dataDxfId="71"/>
    <tableColumn id="9" xr3:uid="{00000000-0010-0000-0300-000009000000}" name="TN_lbs" dataDxfId="70">
      <calculatedColumnFormula>+'MMW Output'!E20</calculatedColumnFormula>
    </tableColumn>
    <tableColumn id="10" xr3:uid="{00000000-0010-0000-0300-00000A000000}" name="DP_lbs" dataDxfId="69"/>
    <tableColumn id="11" xr3:uid="{00000000-0010-0000-0300-00000B000000}" name="Column3" dataDxfId="68"/>
    <tableColumn id="12" xr3:uid="{00000000-0010-0000-0300-00000C000000}" name="TP_lbs" dataDxfId="67">
      <calculatedColumnFormula>+'MMW Output'!F20</calculatedColumnFormula>
    </tableColumn>
    <tableColumn id="13" xr3:uid="{00000000-0010-0000-0300-00000D000000}" name="Column4" dataDxfId="66"/>
    <tableColumn id="14" xr3:uid="{00000000-0010-0000-0300-00000E000000}" name="TSS_LoadRateLand_lbPerAcPerY" dataDxfId="65">
      <calculatedColumnFormula>IF(C15=0,0,(G15*2000/C15))</calculatedColumnFormula>
    </tableColumn>
    <tableColumn id="15" xr3:uid="{00000000-0010-0000-0300-00000F000000}" name="TSS_LoadRateBanks_lbPerAcPerY" dataDxfId="64">
      <calculatedColumnFormula>IF(C15=0,0,'Stream Bank Loading Rates'!#REF!)</calculatedColumnFormula>
    </tableColumn>
    <tableColumn id="16" xr3:uid="{00000000-0010-0000-0300-000010000000}" name="TSS_LoadRate_lbPerAcPerY" dataDxfId="63">
      <calculatedColumnFormula>SUM(O15:P15)</calculatedColumnFormula>
    </tableColumn>
    <tableColumn id="17" xr3:uid="{00000000-0010-0000-0300-000011000000}" name="Column5" dataDxfId="62"/>
    <tableColumn id="18" xr3:uid="{00000000-0010-0000-0300-000012000000}" name="TN_LoadRateLand_lbPerAcPerY" dataDxfId="61">
      <calculatedColumnFormula>IF(C15=0,0,ROUND((J15/C15),2))</calculatedColumnFormula>
    </tableColumn>
    <tableColumn id="19" xr3:uid="{00000000-0010-0000-0300-000013000000}" name="TN_LoadRateBanks_lbPerAcPerY" dataDxfId="60">
      <calculatedColumnFormula>IF(C15=0,0,ROUND('Stream Bank Loading Rates'!#REF!,2))</calculatedColumnFormula>
    </tableColumn>
    <tableColumn id="20" xr3:uid="{00000000-0010-0000-0300-000014000000}" name="TN_LoadRateAnimal_lbPerAcPerY" dataDxfId="59"/>
    <tableColumn id="21" xr3:uid="{00000000-0010-0000-0300-000015000000}" name="TN_LoadRate_lbPerAcPerY" dataDxfId="58">
      <calculatedColumnFormula>SUM(S15:U15)</calculatedColumnFormula>
    </tableColumn>
    <tableColumn id="22" xr3:uid="{00000000-0010-0000-0300-000016000000}" name="Column6" dataDxfId="57"/>
    <tableColumn id="23" xr3:uid="{00000000-0010-0000-0300-000017000000}" name="TP_LoadRateLand_lbPerAcPerY" dataDxfId="56">
      <calculatedColumnFormula>IF(C15=0,0,ROUND((M15/C15),2))</calculatedColumnFormula>
    </tableColumn>
    <tableColumn id="24" xr3:uid="{00000000-0010-0000-0300-000018000000}" name="TP_LoadRateBanks_lbPerAcPerY" dataDxfId="55">
      <calculatedColumnFormula>IF(C15=0,0,ROUND('Stream Bank Loading Rates'!#REF!,2))</calculatedColumnFormula>
    </tableColumn>
    <tableColumn id="25" xr3:uid="{00000000-0010-0000-0300-000019000000}" name="TP_LoadRateAnimal_lbPerAcPerY" dataDxfId="54"/>
    <tableColumn id="26" xr3:uid="{00000000-0010-0000-0300-00001A000000}" name="TP_LoadRate_lbPerAcPerY" dataDxfId="53">
      <calculatedColumnFormula>SUM(X15:Z15)</calculatedColumnFormula>
    </tableColumn>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4000000}" name="UrbanBMPs" displayName="UrbanBMPs" ref="A10:AD23" totalsRowShown="0" headerRowDxfId="34" dataDxfId="32" headerRowBorderDxfId="33" tableBorderDxfId="31" totalsRowBorderDxfId="30" headerRowCellStyle="Normal 2" dataCellStyle="Normal 2">
  <autoFilter ref="A10:AD23" xr:uid="{00000000-0009-0000-0100-000002000000}"/>
  <tableColumns count="30">
    <tableColumn id="1" xr3:uid="{00000000-0010-0000-0400-000001000000}" name="Project_name" dataDxfId="29" dataCellStyle="Normal 2"/>
    <tableColumn id="2" xr3:uid="{00000000-0010-0000-0400-000002000000}" name="BMP_name" dataDxfId="28" dataCellStyle="Normal 2"/>
    <tableColumn id="3" xr3:uid="{00000000-0010-0000-0400-000003000000}" name="BMP_type" dataDxfId="27" dataCellStyle="Normal 2"/>
    <tableColumn id="4" xr3:uid="{00000000-0010-0000-0400-000004000000}" name="Existing?" dataDxfId="26" dataCellStyle="Normal 2"/>
    <tableColumn id="5" xr3:uid="{00000000-0010-0000-0400-000005000000}" name="YearInstalled" dataDxfId="25" dataCellStyle="Normal 2"/>
    <tableColumn id="26" xr3:uid="{4C7F5DBA-17C1-43E3-844A-F6031DAB5D24}" name="SquareFeet" dataDxfId="24" dataCellStyle="Normal 2"/>
    <tableColumn id="28" xr3:uid="{4C40C5EE-176D-4E0E-974B-37A868DFF021}" name="Acres" dataDxfId="23" dataCellStyle="Normal 2">
      <calculatedColumnFormula>UrbanBMPs[[#This Row],[SquareFeet]]/43560</calculatedColumnFormula>
    </tableColumn>
    <tableColumn id="27" xr3:uid="{840C012F-D8AC-42EC-ACAD-02695EE544EA}" name="CubicFeet" dataDxfId="22" dataCellStyle="Normal 2"/>
    <tableColumn id="6" xr3:uid="{00000000-0010-0000-0400-000006000000}" name="drainageLandCoverClass" dataDxfId="21" dataCellStyle="Normal 2"/>
    <tableColumn id="7" xr3:uid="{00000000-0010-0000-0400-000007000000}" name="drainageArea_ac" dataDxfId="20" dataCellStyle="Normal 2"/>
    <tableColumn id="8" xr3:uid="{00000000-0010-0000-0400-000008000000}" name="treatmentDepth_in" dataDxfId="19" dataCellStyle="Normal 2"/>
    <tableColumn id="9" xr3:uid="{00000000-0010-0000-0400-000009000000}" name="lengthTreatedStream_ft" dataDxfId="18" dataCellStyle="Normal 2"/>
    <tableColumn id="10" xr3:uid="{00000000-0010-0000-0400-00000A000000}" name="lengthTreatedRoad_ft2" dataDxfId="17" dataCellStyle="Normal 2"/>
    <tableColumn id="11" xr3:uid="{00000000-0010-0000-0400-00000B000000}" name="impervArea_ac" dataDxfId="16" dataCellStyle="Normal 2">
      <calculatedColumnFormula>IFERROR(UrbanBMPs[[#This Row],[drainageArea_ac]]*UrbanBMPs[[#This Row],[impervFraction_percent]],NA())</calculatedColumnFormula>
    </tableColumn>
    <tableColumn id="30" xr3:uid="{321DD14A-ACDC-4927-BF3B-AB8CEF1B2C95}" name="LoadRatio1" dataDxfId="15" dataCellStyle="Normal 2">
      <calculatedColumnFormula>IFERROR(UrbanBMPs[[#This Row],[impervArea_ac]]/UrbanBMPs[[#This Row],[Acres]],NA())</calculatedColumnFormula>
    </tableColumn>
    <tableColumn id="31" xr3:uid="{EB89FA21-EA5B-4F81-BB73-C970E1ACFDA1}" name="LoadRatio2" dataDxfId="14" dataCellStyle="Normal 2">
      <calculatedColumnFormula>IF(UrbanBMPs[[#This Row],[BMP_type]]="RR",NA(),IF(UrbanBMPs[[#This Row],[BMP_type]]="ST",NA(),
IF(ISNUMBER(UrbanBMPs[[#This Row],[LoadRatio1]]),NA(),
IFERROR(UrbanBMPs[[#This Row],[CubicFeet]]/(0.208*UrbanBMPs[[#This Row],[impervArea_ac]]*43560),NA()))))</calculatedColumnFormula>
    </tableColumn>
    <tableColumn id="12" xr3:uid="{00000000-0010-0000-0400-00000C000000}" name="treatmentDepthNormalized_inPerImpervAc" dataDxfId="13" dataCellStyle="Normal 2"/>
    <tableColumn id="13" xr3:uid="{00000000-0010-0000-0400-00000D000000}" name="treatmentDepthNormalizedManual_inPerImpervAc" dataDxfId="12" dataCellStyle="Normal 2"/>
    <tableColumn id="14" xr3:uid="{00000000-0010-0000-0400-00000E000000}" name="treatmentDepthNormalizedEffective_inPerImpervAc" dataDxfId="11" dataCellStyle="Normal 2">
      <calculatedColumnFormula>IF(UrbanBMPs[[#This Row],[treatmentDepthNormalizedManual_inPerImpervAc]]&gt;0,UrbanBMPs[[#This Row],[treatmentDepthNormalizedManual_inPerImpervAc]],IFERROR(UrbanBMPs[[#This Row],[treatmentDepthNormalized_inPerImpervAc]],NA()))</calculatedColumnFormula>
    </tableColumn>
    <tableColumn id="15" xr3:uid="{00000000-0010-0000-0400-00000F000000}" name="impervFraction_percent" dataDxfId="10" dataCellStyle="Normal 2">
      <calculatedColumnFormula>IF(UrbanBMPs[[#This Row],[BMP_type]]="Stream Restoration",NA(),IFERROR(INDEX(Impervious[#All],MATCH(UrbanBMPs[[#This Row],[drainageLandCoverClass]],Impervious[[#All],[Source]],0),4),NA()))</calculatedColumnFormula>
    </tableColumn>
    <tableColumn id="16" xr3:uid="{00000000-0010-0000-0400-000010000000}" name="TSS_Load_lbPerY" dataDxfId="9" dataCellStyle="Normal 2">
      <calculatedColumnFormula>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calculatedColumnFormula>
    </tableColumn>
    <tableColumn id="17" xr3:uid="{00000000-0010-0000-0400-000011000000}" name="TP_Load_lbPerY" dataDxfId="8" dataCellStyle="Normal 2">
      <calculatedColumnFormula>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calculatedColumnFormula>
    </tableColumn>
    <tableColumn id="18" xr3:uid="{00000000-0010-0000-0400-000012000000}" name="TN_Load_lbPerY" dataDxfId="7" dataCellStyle="Normal 2">
      <calculatedColumnFormula>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calculatedColumnFormula>
    </tableColumn>
    <tableColumn id="19" xr3:uid="{00000000-0010-0000-0400-000013000000}" name="TSS_ReductionEfficiency_percent" dataDxfId="6" dataCellStyle="Normal 2">
      <calculatedColumnFormula>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calculatedColumnFormula>
    </tableColumn>
    <tableColumn id="20" xr3:uid="{00000000-0010-0000-0400-000014000000}" name="TP_ReductionEfficiency_percent" dataDxfId="5" dataCellStyle="Normal 2">
      <calculatedColumnFormula>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calculatedColumnFormula>
    </tableColumn>
    <tableColumn id="21" xr3:uid="{00000000-0010-0000-0400-000015000000}" name="TN_ReductionEfficiency_percent" dataDxfId="4" dataCellStyle="Normal 2">
      <calculatedColumnFormula>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calculatedColumnFormula>
    </tableColumn>
    <tableColumn id="22" xr3:uid="{00000000-0010-0000-0400-000016000000}" name="TSS_Reduction_lbPerY" dataDxfId="3" dataCellStyle="Normal 2">
      <calculatedColumnFormula>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calculatedColumnFormula>
    </tableColumn>
    <tableColumn id="23" xr3:uid="{00000000-0010-0000-0400-000017000000}" name="TSS_Reduction_tonPerY" dataDxfId="2" dataCellStyle="Normal 2"/>
    <tableColumn id="24" xr3:uid="{00000000-0010-0000-0400-000018000000}" name="TP_Reduction_lbPerY" dataDxfId="1" dataCellStyle="Normal 2">
      <calculatedColumnFormula>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calculatedColumnFormula>
    </tableColumn>
    <tableColumn id="25" xr3:uid="{00000000-0010-0000-0400-000019000000}" name="TN_Reduction_lbPerY" dataDxfId="0" dataCellStyle="Normal 2">
      <calculatedColumnFormula>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raw.githubusercontent.com/WikiWatershed/MMW-BMP-spreadsheet-tool/master/MMW_BMP_Spreadsheet_Tool.xlsx." TargetMode="External"/><Relationship Id="rId2" Type="http://schemas.openxmlformats.org/officeDocument/2006/relationships/hyperlink" Target="https://raw.githubusercontent.com/WikiWatershed/MMW-BMP-spreadsheet-tool/master/docs/MMW_BMP_Spreadsheet_Tool_UserManual.docx" TargetMode="External"/><Relationship Id="rId1" Type="http://schemas.openxmlformats.org/officeDocument/2006/relationships/hyperlink" Target="https://github.com/WikiWatershed/MMW-BMP-spreadsheet-tool" TargetMode="External"/><Relationship Id="rId5" Type="http://schemas.openxmlformats.org/officeDocument/2006/relationships/printerSettings" Target="../printerSettings/printerSettings1.bin"/><Relationship Id="rId4" Type="http://schemas.openxmlformats.org/officeDocument/2006/relationships/hyperlink" Target="https://raw.githubusercontent.com/WikiWatershed/MMW-BMP-spreadsheet-tool/master/docs/MMW_BMP_Spreadsheet_Tool_UserManual.docx" TargetMode="External"/></Relationships>
</file>

<file path=xl/worksheets/_rels/sheet2.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hyperlink" Target="https://www.chesapeakebay.net/documents/Final-CBP-Approved-Expert-Panel-Report-on-Stormwater-Performance-Standards-LONG_012015.pdf" TargetMode="External"/><Relationship Id="rId7" Type="http://schemas.openxmlformats.org/officeDocument/2006/relationships/drawing" Target="../drawings/drawing1.xml"/><Relationship Id="rId2" Type="http://schemas.openxmlformats.org/officeDocument/2006/relationships/hyperlink" Target="https://www.chesapeakebay.net/documents/Final-CBP-Approved-Expert-Panel-Report-on-Stormwater-Performance-Standards-LONG_012015.pdf" TargetMode="External"/><Relationship Id="rId1" Type="http://schemas.openxmlformats.org/officeDocument/2006/relationships/hyperlink" Target="https://www.chesapeakebay.net/channel_files/19172/attach_f--draft_faq_document__template.pdf" TargetMode="External"/><Relationship Id="rId6" Type="http://schemas.openxmlformats.org/officeDocument/2006/relationships/printerSettings" Target="../printerSettings/printerSettings2.bin"/><Relationship Id="rId11" Type="http://schemas.openxmlformats.org/officeDocument/2006/relationships/table" Target="../tables/table4.xml"/><Relationship Id="rId5" Type="http://schemas.openxmlformats.org/officeDocument/2006/relationships/hyperlink" Target="https://www.mrlc.gov/nlcd11_leg.php" TargetMode="External"/><Relationship Id="rId10" Type="http://schemas.openxmlformats.org/officeDocument/2006/relationships/table" Target="../tables/table3.xml"/><Relationship Id="rId4" Type="http://schemas.openxmlformats.org/officeDocument/2006/relationships/hyperlink" Target="https://www.mrlc.gov/nlcd11_leg.php" TargetMode="External"/><Relationship Id="rId9"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5.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printerSettings" Target="../printerSettings/printerSettings6.bin"/><Relationship Id="rId1" Type="http://schemas.openxmlformats.org/officeDocument/2006/relationships/hyperlink" Target="https://support.office.com/en-us/article/overview-of-excel-tables-7ab0bb7d-3a9e-4b56-a3c9-6c94334e492c"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3"/>
  <sheetViews>
    <sheetView tabSelected="1" zoomScale="80" zoomScaleNormal="80" workbookViewId="0">
      <selection activeCell="C4" sqref="C4"/>
    </sheetView>
  </sheetViews>
  <sheetFormatPr defaultColWidth="9.125" defaultRowHeight="15" x14ac:dyDescent="0.25"/>
  <cols>
    <col min="1" max="1" width="9.375" style="421" customWidth="1"/>
    <col min="2" max="5" width="9.125" style="421"/>
    <col min="6" max="8" width="9.125" style="423"/>
    <col min="9" max="9" width="12.5" style="423" customWidth="1"/>
    <col min="10" max="16384" width="9.125" style="423"/>
  </cols>
  <sheetData>
    <row r="1" spans="1:12" s="417" customFormat="1" ht="26.25" x14ac:dyDescent="0.4">
      <c r="A1" s="415"/>
      <c r="B1" s="415"/>
      <c r="C1" s="415"/>
      <c r="D1" s="415"/>
      <c r="E1" s="416" t="s">
        <v>378</v>
      </c>
    </row>
    <row r="2" spans="1:12" s="420" customFormat="1" ht="21" x14ac:dyDescent="0.35">
      <c r="A2" s="418"/>
      <c r="B2" s="418"/>
      <c r="C2" s="418"/>
      <c r="D2" s="418"/>
      <c r="E2" s="419" t="s">
        <v>0</v>
      </c>
    </row>
    <row r="3" spans="1:12" x14ac:dyDescent="0.25">
      <c r="E3" s="422"/>
      <c r="F3" s="421"/>
      <c r="G3" s="421"/>
      <c r="H3" s="421"/>
      <c r="I3" s="421"/>
    </row>
    <row r="4" spans="1:12" ht="15.75" x14ac:dyDescent="0.25">
      <c r="B4" s="424" t="s">
        <v>428</v>
      </c>
      <c r="C4" s="567" t="s">
        <v>733</v>
      </c>
      <c r="D4" s="568"/>
      <c r="E4" s="426"/>
      <c r="F4" s="421"/>
      <c r="G4" s="421"/>
      <c r="H4" s="421"/>
      <c r="I4" s="421"/>
    </row>
    <row r="5" spans="1:12" x14ac:dyDescent="0.25">
      <c r="E5" s="427"/>
    </row>
    <row r="6" spans="1:12" x14ac:dyDescent="0.25">
      <c r="A6" s="423"/>
      <c r="B6" s="424" t="s">
        <v>1</v>
      </c>
      <c r="C6" s="428" t="s">
        <v>2</v>
      </c>
      <c r="E6" s="422"/>
      <c r="F6" s="421"/>
      <c r="G6" s="421"/>
      <c r="H6" s="421"/>
      <c r="I6" s="421"/>
    </row>
    <row r="7" spans="1:12" x14ac:dyDescent="0.25">
      <c r="C7" s="429" t="s">
        <v>444</v>
      </c>
      <c r="E7" s="430"/>
      <c r="F7" s="421"/>
      <c r="G7" s="421"/>
      <c r="H7" s="421"/>
      <c r="I7" s="421"/>
    </row>
    <row r="8" spans="1:12" ht="15.75" x14ac:dyDescent="0.25">
      <c r="C8" s="421" t="s">
        <v>3</v>
      </c>
      <c r="E8" s="426"/>
    </row>
    <row r="9" spans="1:12" ht="15.75" x14ac:dyDescent="0.25">
      <c r="C9" s="421" t="s">
        <v>521</v>
      </c>
      <c r="E9" s="426"/>
    </row>
    <row r="10" spans="1:12" ht="15.75" x14ac:dyDescent="0.25">
      <c r="B10" s="431"/>
      <c r="E10" s="426"/>
      <c r="F10" s="421"/>
      <c r="G10" s="421"/>
      <c r="H10" s="421"/>
      <c r="I10" s="421"/>
    </row>
    <row r="11" spans="1:12" ht="15.75" x14ac:dyDescent="0.25">
      <c r="B11" s="424" t="s">
        <v>449</v>
      </c>
      <c r="C11" s="496" t="s">
        <v>450</v>
      </c>
      <c r="F11" s="421"/>
      <c r="G11" s="421"/>
      <c r="H11" s="421"/>
      <c r="I11" s="421"/>
    </row>
    <row r="12" spans="1:12" ht="15.75" x14ac:dyDescent="0.25">
      <c r="B12" s="424" t="s">
        <v>447</v>
      </c>
      <c r="C12" s="496" t="s">
        <v>448</v>
      </c>
    </row>
    <row r="13" spans="1:12" ht="15.75" x14ac:dyDescent="0.25">
      <c r="B13" s="424" t="s">
        <v>429</v>
      </c>
      <c r="C13" s="496" t="s">
        <v>446</v>
      </c>
      <c r="E13" s="422"/>
      <c r="F13" s="421"/>
      <c r="G13" s="421"/>
      <c r="H13" s="421"/>
      <c r="I13" s="421"/>
    </row>
    <row r="15" spans="1:12" ht="15.75" x14ac:dyDescent="0.25">
      <c r="A15" s="425" t="s">
        <v>4</v>
      </c>
      <c r="B15" s="431"/>
      <c r="E15" s="426"/>
      <c r="F15" s="421"/>
      <c r="G15" s="421"/>
      <c r="H15" s="421"/>
      <c r="I15" s="421"/>
    </row>
    <row r="16" spans="1:12" s="432" customFormat="1" ht="45" customHeight="1" x14ac:dyDescent="0.25">
      <c r="A16" s="654" t="s">
        <v>708</v>
      </c>
      <c r="B16" s="655"/>
      <c r="C16" s="655"/>
      <c r="D16" s="655"/>
      <c r="E16" s="655"/>
      <c r="F16" s="655"/>
      <c r="G16" s="655"/>
      <c r="H16" s="655"/>
      <c r="I16" s="655"/>
      <c r="J16" s="655"/>
      <c r="K16" s="655"/>
      <c r="L16" s="655"/>
    </row>
    <row r="17" spans="1:12" s="432" customFormat="1" ht="51.75" customHeight="1" x14ac:dyDescent="0.25">
      <c r="A17" s="655" t="s">
        <v>5</v>
      </c>
      <c r="B17" s="655"/>
      <c r="C17" s="655"/>
      <c r="D17" s="655"/>
      <c r="E17" s="655"/>
      <c r="F17" s="655"/>
      <c r="G17" s="655"/>
      <c r="H17" s="655"/>
      <c r="I17" s="655"/>
      <c r="J17" s="655"/>
      <c r="K17" s="655"/>
      <c r="L17" s="655"/>
    </row>
    <row r="18" spans="1:12" ht="15.75" x14ac:dyDescent="0.25">
      <c r="B18" s="431"/>
      <c r="E18" s="426"/>
      <c r="F18" s="421"/>
      <c r="G18" s="421"/>
      <c r="H18" s="421"/>
      <c r="I18" s="421"/>
    </row>
    <row r="19" spans="1:12" ht="15.75" x14ac:dyDescent="0.25">
      <c r="A19" s="425" t="s">
        <v>431</v>
      </c>
      <c r="B19" s="431"/>
      <c r="E19" s="426"/>
      <c r="F19" s="421"/>
      <c r="G19" s="421"/>
      <c r="H19" s="421"/>
      <c r="I19" s="421"/>
    </row>
    <row r="20" spans="1:12" s="433" customFormat="1" ht="70.5" customHeight="1" x14ac:dyDescent="0.25">
      <c r="A20" s="656" t="s">
        <v>688</v>
      </c>
      <c r="B20" s="652"/>
      <c r="C20" s="652"/>
      <c r="D20" s="652"/>
      <c r="E20" s="652"/>
      <c r="F20" s="652"/>
      <c r="G20" s="652"/>
      <c r="H20" s="652"/>
      <c r="I20" s="652"/>
      <c r="J20" s="652"/>
      <c r="K20" s="652"/>
      <c r="L20" s="652"/>
    </row>
    <row r="21" spans="1:12" s="433" customFormat="1" ht="63.75" customHeight="1" x14ac:dyDescent="0.25">
      <c r="A21" s="657" t="s">
        <v>430</v>
      </c>
      <c r="B21" s="657"/>
      <c r="C21" s="657"/>
      <c r="D21" s="657"/>
      <c r="E21" s="657"/>
      <c r="F21" s="657"/>
      <c r="G21" s="657"/>
      <c r="H21" s="657"/>
      <c r="I21" s="657"/>
      <c r="J21" s="657"/>
      <c r="K21" s="657"/>
      <c r="L21" s="657"/>
    </row>
    <row r="22" spans="1:12" s="433" customFormat="1" ht="110.25" customHeight="1" x14ac:dyDescent="0.25">
      <c r="A22" s="658" t="s">
        <v>709</v>
      </c>
      <c r="B22" s="657"/>
      <c r="C22" s="657"/>
      <c r="D22" s="657"/>
      <c r="E22" s="657"/>
      <c r="F22" s="657"/>
      <c r="G22" s="657"/>
      <c r="H22" s="657"/>
      <c r="I22" s="657"/>
      <c r="J22" s="657"/>
      <c r="K22" s="657"/>
      <c r="L22" s="657"/>
    </row>
    <row r="23" spans="1:12" s="433" customFormat="1" ht="15.75" x14ac:dyDescent="0.25">
      <c r="A23" s="645" t="s">
        <v>710</v>
      </c>
      <c r="B23" s="435"/>
      <c r="C23" s="436"/>
      <c r="D23" s="436"/>
      <c r="E23" s="437"/>
      <c r="F23" s="436"/>
      <c r="G23" s="436"/>
      <c r="H23" s="436"/>
      <c r="I23" s="436"/>
    </row>
    <row r="24" spans="1:12" s="433" customFormat="1" ht="15.75" x14ac:dyDescent="0.25">
      <c r="A24" s="434" t="s">
        <v>445</v>
      </c>
      <c r="B24" s="435"/>
      <c r="C24" s="436"/>
      <c r="D24" s="436"/>
      <c r="E24" s="437"/>
      <c r="F24" s="436"/>
      <c r="G24" s="436"/>
      <c r="H24" s="436"/>
      <c r="I24" s="436"/>
    </row>
    <row r="25" spans="1:12" ht="15.75" x14ac:dyDescent="0.25">
      <c r="B25" s="431"/>
      <c r="E25" s="426"/>
      <c r="F25" s="421"/>
      <c r="G25" s="421"/>
      <c r="H25" s="421"/>
      <c r="I25" s="421"/>
    </row>
    <row r="26" spans="1:12" s="2" customFormat="1" x14ac:dyDescent="0.25">
      <c r="A26" s="404"/>
      <c r="B26" s="405" t="s">
        <v>436</v>
      </c>
      <c r="C26" s="1"/>
      <c r="D26" s="1"/>
      <c r="E26" s="1"/>
    </row>
    <row r="27" spans="1:12" s="2" customFormat="1" x14ac:dyDescent="0.25">
      <c r="A27" s="406"/>
      <c r="B27" s="585" t="s">
        <v>697</v>
      </c>
      <c r="C27" s="1"/>
      <c r="D27" s="1"/>
      <c r="E27" s="1"/>
    </row>
    <row r="28" spans="1:12" s="2" customFormat="1" x14ac:dyDescent="0.25">
      <c r="A28" s="407"/>
      <c r="B28" s="405" t="s">
        <v>437</v>
      </c>
      <c r="C28" s="1"/>
      <c r="D28" s="1"/>
      <c r="E28" s="1"/>
    </row>
    <row r="29" spans="1:12" ht="15.75" x14ac:dyDescent="0.25">
      <c r="B29" s="431"/>
      <c r="E29" s="426"/>
      <c r="F29" s="421"/>
      <c r="G29" s="421"/>
      <c r="H29" s="421"/>
      <c r="I29" s="421"/>
    </row>
    <row r="30" spans="1:12" ht="15.75" x14ac:dyDescent="0.25">
      <c r="A30" s="475" t="s">
        <v>476</v>
      </c>
      <c r="B30" s="431"/>
      <c r="E30" s="426"/>
      <c r="F30" s="421"/>
      <c r="G30" s="421"/>
      <c r="H30" s="421"/>
      <c r="I30" s="496" t="s">
        <v>446</v>
      </c>
    </row>
    <row r="31" spans="1:12" ht="15.75" x14ac:dyDescent="0.25">
      <c r="A31" s="429"/>
      <c r="B31" s="431"/>
      <c r="E31" s="426"/>
      <c r="F31" s="421"/>
      <c r="G31" s="421"/>
      <c r="H31" s="421"/>
      <c r="I31" s="421"/>
    </row>
    <row r="32" spans="1:12" x14ac:dyDescent="0.25">
      <c r="A32" s="425" t="s">
        <v>451</v>
      </c>
      <c r="E32" s="427"/>
    </row>
    <row r="33" spans="1:12" ht="101.25" customHeight="1" x14ac:dyDescent="0.25">
      <c r="A33" s="652" t="s">
        <v>452</v>
      </c>
      <c r="B33" s="653"/>
      <c r="C33" s="653"/>
      <c r="D33" s="653"/>
      <c r="E33" s="653"/>
      <c r="F33" s="653"/>
      <c r="G33" s="653"/>
      <c r="H33" s="653"/>
      <c r="I33" s="653"/>
      <c r="J33" s="653"/>
      <c r="K33" s="653"/>
      <c r="L33" s="653"/>
    </row>
  </sheetData>
  <mergeCells count="6">
    <mergeCell ref="A33:L33"/>
    <mergeCell ref="A16:L16"/>
    <mergeCell ref="A17:L17"/>
    <mergeCell ref="A20:L20"/>
    <mergeCell ref="A21:L21"/>
    <mergeCell ref="A22:L22"/>
  </mergeCells>
  <hyperlinks>
    <hyperlink ref="C11" r:id="rId1" xr:uid="{00000000-0004-0000-0000-000000000000}"/>
    <hyperlink ref="C13" r:id="rId2" xr:uid="{00000000-0004-0000-0000-000001000000}"/>
    <hyperlink ref="C12" r:id="rId3" xr:uid="{00000000-0004-0000-0000-000002000000}"/>
    <hyperlink ref="I30" r:id="rId4" xr:uid="{00000000-0004-0000-0000-000003000000}"/>
  </hyperlinks>
  <pageMargins left="0.7" right="0.7" top="0.75" bottom="0.75" header="0.3" footer="0.3"/>
  <pageSetup orientation="portrait" r:id="rId5"/>
  <headerFooter>
    <oddFooter>&amp;R&amp;10Christina Basin Loading Rates Tool (May 5, 2017)</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tint="-0.34998626667073579"/>
  </sheetPr>
  <dimension ref="A1:T238"/>
  <sheetViews>
    <sheetView zoomScale="80" zoomScaleNormal="80" workbookViewId="0"/>
  </sheetViews>
  <sheetFormatPr defaultColWidth="8.875" defaultRowHeight="15" x14ac:dyDescent="0.25"/>
  <cols>
    <col min="1" max="1" width="13.5" style="1" customWidth="1"/>
    <col min="2" max="2" width="41.75" style="1" customWidth="1"/>
    <col min="3" max="3" width="15.875" style="1" customWidth="1"/>
    <col min="4" max="4" width="15.375" style="1" customWidth="1"/>
    <col min="5" max="5" width="15.5" style="1" customWidth="1"/>
    <col min="6" max="6" width="11.25" style="1" customWidth="1"/>
    <col min="7" max="11" width="8.875" style="1"/>
    <col min="12" max="17" width="10.875" style="1" customWidth="1"/>
    <col min="18" max="16384" width="8.875" style="1"/>
  </cols>
  <sheetData>
    <row r="1" spans="1:5" ht="31.5" x14ac:dyDescent="0.5">
      <c r="A1" s="450" t="s">
        <v>465</v>
      </c>
    </row>
    <row r="2" spans="1:5" ht="15.75" x14ac:dyDescent="0.25">
      <c r="B2" s="451" t="s">
        <v>432</v>
      </c>
    </row>
    <row r="4" spans="1:5" ht="45" x14ac:dyDescent="0.25">
      <c r="B4" s="332" t="s">
        <v>12</v>
      </c>
      <c r="C4" s="337" t="s">
        <v>379</v>
      </c>
      <c r="D4" s="337" t="s">
        <v>380</v>
      </c>
      <c r="E4" s="337" t="s">
        <v>381</v>
      </c>
    </row>
    <row r="5" spans="1:5" s="3" customFormat="1" ht="31.5" x14ac:dyDescent="0.25">
      <c r="B5" s="337" t="s">
        <v>12</v>
      </c>
      <c r="C5" s="333" t="s">
        <v>386</v>
      </c>
      <c r="D5" s="333" t="s">
        <v>387</v>
      </c>
      <c r="E5" s="333" t="s">
        <v>388</v>
      </c>
    </row>
    <row r="6" spans="1:5" ht="15.75" x14ac:dyDescent="0.25">
      <c r="B6" s="334" t="s">
        <v>34</v>
      </c>
      <c r="C6" s="489"/>
      <c r="D6" s="489"/>
      <c r="E6" s="489">
        <f>IF(ISNUMBER(Impervious[[#This Row],[impervFraction_manualEntry]]),Impervious[[#This Row],[impervFraction_manualEntry]],Impervious[[#This Row],[impervFraction_defaultMapShed]])</f>
        <v>0</v>
      </c>
    </row>
    <row r="7" spans="1:5" ht="15.75" x14ac:dyDescent="0.25">
      <c r="B7" s="335" t="s">
        <v>35</v>
      </c>
      <c r="C7" s="489"/>
      <c r="D7" s="489"/>
      <c r="E7" s="489">
        <f>IF(ISNUMBER(Impervious[[#This Row],[impervFraction_manualEntry]]),Impervious[[#This Row],[impervFraction_manualEntry]],Impervious[[#This Row],[impervFraction_defaultMapShed]])</f>
        <v>0</v>
      </c>
    </row>
    <row r="8" spans="1:5" ht="15.75" x14ac:dyDescent="0.25">
      <c r="B8" s="334" t="s">
        <v>36</v>
      </c>
      <c r="C8" s="489"/>
      <c r="D8" s="489"/>
      <c r="E8" s="489">
        <f>IF(ISNUMBER(Impervious[[#This Row],[impervFraction_manualEntry]]),Impervious[[#This Row],[impervFraction_manualEntry]],Impervious[[#This Row],[impervFraction_defaultMapShed]])</f>
        <v>0</v>
      </c>
    </row>
    <row r="9" spans="1:5" ht="15.75" x14ac:dyDescent="0.25">
      <c r="B9" s="335" t="s">
        <v>38</v>
      </c>
      <c r="C9" s="489"/>
      <c r="D9" s="489"/>
      <c r="E9" s="489">
        <f>IF(ISNUMBER(Impervious[[#This Row],[impervFraction_manualEntry]]),Impervious[[#This Row],[impervFraction_manualEntry]],Impervious[[#This Row],[impervFraction_defaultMapShed]])</f>
        <v>0</v>
      </c>
    </row>
    <row r="10" spans="1:5" ht="15.75" x14ac:dyDescent="0.25">
      <c r="B10" s="335" t="s">
        <v>39</v>
      </c>
      <c r="C10" s="489"/>
      <c r="D10" s="489"/>
      <c r="E10" s="336">
        <f>IF(ISNUMBER(Impervious[[#This Row],[impervFraction_manualEntry]]),Impervious[[#This Row],[impervFraction_manualEntry]],Impervious[[#This Row],[impervFraction_defaultMapShed]])</f>
        <v>0</v>
      </c>
    </row>
    <row r="11" spans="1:5" ht="15.75" x14ac:dyDescent="0.25">
      <c r="B11" s="335" t="s">
        <v>40</v>
      </c>
      <c r="C11" s="489"/>
      <c r="D11" s="489"/>
      <c r="E11" s="336">
        <f>IF(ISNUMBER(Impervious[[#This Row],[impervFraction_manualEntry]]),Impervious[[#This Row],[impervFraction_manualEntry]],Impervious[[#This Row],[impervFraction_defaultMapShed]])</f>
        <v>0</v>
      </c>
    </row>
    <row r="12" spans="1:5" ht="15.75" x14ac:dyDescent="0.25">
      <c r="B12" s="335" t="s">
        <v>41</v>
      </c>
      <c r="C12" s="489"/>
      <c r="D12" s="489"/>
      <c r="E12" s="336">
        <f>IF(ISNUMBER(Impervious[[#This Row],[impervFraction_manualEntry]]),Impervious[[#This Row],[impervFraction_manualEntry]],Impervious[[#This Row],[impervFraction_defaultMapShed]])</f>
        <v>0</v>
      </c>
    </row>
    <row r="13" spans="1:5" ht="15.75" x14ac:dyDescent="0.25">
      <c r="B13" s="335" t="s">
        <v>42</v>
      </c>
      <c r="C13" s="489"/>
      <c r="D13" s="489"/>
      <c r="E13" s="336">
        <f>IF(ISNUMBER(Impervious[[#This Row],[impervFraction_manualEntry]]),Impervious[[#This Row],[impervFraction_manualEntry]],Impervious[[#This Row],[impervFraction_defaultMapShed]])</f>
        <v>0</v>
      </c>
    </row>
    <row r="14" spans="1:5" ht="15.75" x14ac:dyDescent="0.25">
      <c r="B14" s="335" t="s">
        <v>43</v>
      </c>
      <c r="C14" s="489"/>
      <c r="D14" s="489"/>
      <c r="E14" s="336">
        <f>IF(ISNUMBER(Impervious[[#This Row],[impervFraction_manualEntry]]),Impervious[[#This Row],[impervFraction_manualEntry]],Impervious[[#This Row],[impervFraction_defaultMapShed]])</f>
        <v>0</v>
      </c>
    </row>
    <row r="15" spans="1:5" ht="15.75" x14ac:dyDescent="0.25">
      <c r="B15" s="335" t="s">
        <v>44</v>
      </c>
      <c r="C15" s="489"/>
      <c r="D15" s="489"/>
      <c r="E15" s="336">
        <f>IF(ISNUMBER(Impervious[[#This Row],[impervFraction_manualEntry]]),Impervious[[#This Row],[impervFraction_manualEntry]],Impervious[[#This Row],[impervFraction_defaultMapShed]])</f>
        <v>0</v>
      </c>
    </row>
    <row r="16" spans="1:5" ht="15.75" x14ac:dyDescent="0.25">
      <c r="B16" s="335" t="s">
        <v>45</v>
      </c>
      <c r="C16" s="489">
        <v>0.15</v>
      </c>
      <c r="D16" s="489"/>
      <c r="E16" s="336">
        <f>IF(ISNUMBER(Impervious[[#This Row],[impervFraction_manualEntry]]),Impervious[[#This Row],[impervFraction_manualEntry]],Impervious[[#This Row],[impervFraction_defaultMapShed]])</f>
        <v>0.15</v>
      </c>
    </row>
    <row r="17" spans="2:6" ht="15.75" x14ac:dyDescent="0.25">
      <c r="B17" s="335" t="s">
        <v>46</v>
      </c>
      <c r="C17" s="489">
        <v>0.52</v>
      </c>
      <c r="D17" s="489"/>
      <c r="E17" s="336">
        <f>IF(ISNUMBER(Impervious[[#This Row],[impervFraction_manualEntry]]),Impervious[[#This Row],[impervFraction_manualEntry]],Impervious[[#This Row],[impervFraction_defaultMapShed]])</f>
        <v>0.52</v>
      </c>
    </row>
    <row r="18" spans="2:6" ht="15.75" x14ac:dyDescent="0.25">
      <c r="B18" s="335" t="s">
        <v>47</v>
      </c>
      <c r="C18" s="489">
        <v>0.87</v>
      </c>
      <c r="D18" s="489"/>
      <c r="E18" s="336">
        <f>IF(ISNUMBER(Impervious[[#This Row],[impervFraction_manualEntry]]),Impervious[[#This Row],[impervFraction_manualEntry]],Impervious[[#This Row],[impervFraction_defaultMapShed]])</f>
        <v>0.87</v>
      </c>
    </row>
    <row r="19" spans="2:6" ht="15.75" x14ac:dyDescent="0.25">
      <c r="B19" s="335" t="s">
        <v>48</v>
      </c>
      <c r="C19" s="489">
        <v>0.15</v>
      </c>
      <c r="D19" s="489"/>
      <c r="E19" s="336">
        <f>IF(ISNUMBER(Impervious[[#This Row],[impervFraction_manualEntry]]),Impervious[[#This Row],[impervFraction_manualEntry]],Impervious[[#This Row],[impervFraction_defaultMapShed]])</f>
        <v>0.15</v>
      </c>
    </row>
    <row r="20" spans="2:6" ht="15.75" x14ac:dyDescent="0.25">
      <c r="B20" s="335" t="s">
        <v>49</v>
      </c>
      <c r="C20" s="489">
        <v>0.52</v>
      </c>
      <c r="D20" s="489"/>
      <c r="E20" s="336">
        <f>IF(ISNUMBER(Impervious[[#This Row],[impervFraction_manualEntry]]),Impervious[[#This Row],[impervFraction_manualEntry]],Impervious[[#This Row],[impervFraction_defaultMapShed]])</f>
        <v>0.52</v>
      </c>
    </row>
    <row r="21" spans="2:6" ht="15.75" x14ac:dyDescent="0.25">
      <c r="B21" s="335" t="s">
        <v>50</v>
      </c>
      <c r="C21" s="489">
        <v>0.87</v>
      </c>
      <c r="D21" s="489"/>
      <c r="E21" s="336">
        <f>IF(ISNUMBER(Impervious[[#This Row],[impervFraction_manualEntry]]),Impervious[[#This Row],[impervFraction_manualEntry]],Impervious[[#This Row],[impervFraction_defaultMapShed]])</f>
        <v>0.87</v>
      </c>
    </row>
    <row r="22" spans="2:6" ht="15.75" hidden="1" x14ac:dyDescent="0.25">
      <c r="B22" s="335" t="s">
        <v>312</v>
      </c>
      <c r="C22" s="489">
        <v>0.15</v>
      </c>
      <c r="D22" s="489"/>
      <c r="E22" s="336">
        <f>IF(ISNUMBER(Impervious[[#This Row],[impervFraction_manualEntry]]),Impervious[[#This Row],[impervFraction_manualEntry]],Impervious[[#This Row],[impervFraction_defaultMapShed]])</f>
        <v>0.15</v>
      </c>
    </row>
    <row r="23" spans="2:6" ht="15.75" hidden="1" x14ac:dyDescent="0.25">
      <c r="B23" s="335" t="s">
        <v>382</v>
      </c>
      <c r="C23" s="489">
        <v>0.52</v>
      </c>
      <c r="D23" s="489"/>
      <c r="E23" s="336">
        <f>IF(ISNUMBER(Impervious[[#This Row],[impervFraction_manualEntry]]),Impervious[[#This Row],[impervFraction_manualEntry]],Impervious[[#This Row],[impervFraction_defaultMapShed]])</f>
        <v>0.52</v>
      </c>
    </row>
    <row r="24" spans="2:6" ht="15.75" hidden="1" x14ac:dyDescent="0.25">
      <c r="B24" s="335" t="s">
        <v>313</v>
      </c>
      <c r="C24" s="489">
        <v>0.87</v>
      </c>
      <c r="D24" s="489"/>
      <c r="E24" s="336">
        <f>IF(ISNUMBER(Impervious[[#This Row],[impervFraction_manualEntry]]),Impervious[[#This Row],[impervFraction_manualEntry]],Impervious[[#This Row],[impervFraction_defaultMapShed]])</f>
        <v>0.87</v>
      </c>
    </row>
    <row r="25" spans="2:6" ht="15.75" hidden="1" x14ac:dyDescent="0.25">
      <c r="B25" s="335" t="s">
        <v>383</v>
      </c>
      <c r="C25" s="489">
        <v>0.15</v>
      </c>
      <c r="D25" s="489"/>
      <c r="E25" s="336">
        <f>IF(ISNUMBER(Impervious[[#This Row],[impervFraction_manualEntry]]),Impervious[[#This Row],[impervFraction_manualEntry]],Impervious[[#This Row],[impervFraction_defaultMapShed]])</f>
        <v>0.15</v>
      </c>
    </row>
    <row r="26" spans="2:6" ht="15.75" hidden="1" x14ac:dyDescent="0.25">
      <c r="B26" s="335" t="s">
        <v>384</v>
      </c>
      <c r="C26" s="489">
        <v>0.52</v>
      </c>
      <c r="D26" s="489"/>
      <c r="E26" s="336">
        <f>IF(ISNUMBER(Impervious[[#This Row],[impervFraction_manualEntry]]),Impervious[[#This Row],[impervFraction_manualEntry]],Impervious[[#This Row],[impervFraction_defaultMapShed]])</f>
        <v>0.52</v>
      </c>
    </row>
    <row r="27" spans="2:6" ht="15.75" hidden="1" x14ac:dyDescent="0.25">
      <c r="B27" s="335" t="s">
        <v>385</v>
      </c>
      <c r="C27" s="489">
        <v>0.87</v>
      </c>
      <c r="D27" s="489"/>
      <c r="E27" s="336">
        <f>IF(ISNUMBER(Impervious[[#This Row],[impervFraction_manualEntry]]),Impervious[[#This Row],[impervFraction_manualEntry]],Impervious[[#This Row],[impervFraction_defaultMapShed]])</f>
        <v>0.87</v>
      </c>
    </row>
    <row r="29" spans="2:6" x14ac:dyDescent="0.25">
      <c r="B29" s="1" t="s">
        <v>395</v>
      </c>
    </row>
    <row r="30" spans="2:6" ht="15.75" x14ac:dyDescent="0.25">
      <c r="B30" s="338" t="s">
        <v>311</v>
      </c>
      <c r="C30" s="489" t="s">
        <v>302</v>
      </c>
      <c r="D30" s="489" t="s">
        <v>303</v>
      </c>
      <c r="E30" s="339" t="s">
        <v>304</v>
      </c>
      <c r="F30" s="339" t="s">
        <v>389</v>
      </c>
    </row>
    <row r="31" spans="2:6" ht="15.75" x14ac:dyDescent="0.25">
      <c r="B31" s="489" t="s">
        <v>643</v>
      </c>
      <c r="C31" s="340">
        <f>0.0715</f>
        <v>7.1499999999999994E-2</v>
      </c>
      <c r="D31" s="340">
        <f>0.0345</f>
        <v>3.4500000000000003E-2</v>
      </c>
      <c r="E31" s="340">
        <f>0.0125</f>
        <v>1.2500000000000001E-2</v>
      </c>
      <c r="F31" s="336">
        <v>20</v>
      </c>
    </row>
    <row r="32" spans="2:6" ht="15.75" x14ac:dyDescent="0.25">
      <c r="B32" s="489"/>
      <c r="C32" s="489"/>
      <c r="D32" s="489"/>
      <c r="E32" s="489"/>
      <c r="F32" s="489"/>
    </row>
    <row r="33" spans="1:20" ht="15.75" x14ac:dyDescent="0.25">
      <c r="B33" s="338" t="s">
        <v>390</v>
      </c>
      <c r="C33" s="489" t="s">
        <v>391</v>
      </c>
      <c r="D33" s="489" t="s">
        <v>392</v>
      </c>
      <c r="E33" s="489" t="s">
        <v>393</v>
      </c>
      <c r="F33" s="489"/>
    </row>
    <row r="34" spans="1:20" ht="15.75" x14ac:dyDescent="0.25">
      <c r="B34" s="489" t="s">
        <v>394</v>
      </c>
      <c r="C34" s="489">
        <v>115</v>
      </c>
      <c r="D34" s="592">
        <v>0.17399999999999999</v>
      </c>
      <c r="E34" s="592">
        <v>0.192</v>
      </c>
      <c r="F34" s="489"/>
    </row>
    <row r="35" spans="1:20" x14ac:dyDescent="0.25">
      <c r="B35" s="539" t="s">
        <v>520</v>
      </c>
      <c r="C35" s="540">
        <f>+'MMW Output'!N18</f>
        <v>154.14681733346339</v>
      </c>
      <c r="D35" s="540">
        <f>+'MMW Output'!O18</f>
        <v>9.5971988140185302E-2</v>
      </c>
      <c r="E35" s="540">
        <f>+'MMW Output'!P18</f>
        <v>3.8368427146109371E-2</v>
      </c>
    </row>
    <row r="36" spans="1:20" x14ac:dyDescent="0.25">
      <c r="B36" s="566" t="s">
        <v>687</v>
      </c>
      <c r="C36" s="253">
        <f>MIN(C34,C35)</f>
        <v>115</v>
      </c>
      <c r="D36" s="253">
        <f t="shared" ref="D36:E36" si="0">MIN(D34,D35)</f>
        <v>9.5971988140185302E-2</v>
      </c>
      <c r="E36" s="253">
        <f t="shared" si="0"/>
        <v>3.8368427146109371E-2</v>
      </c>
    </row>
    <row r="39" spans="1:20" ht="31.5" x14ac:dyDescent="0.5">
      <c r="A39" s="243" t="s">
        <v>466</v>
      </c>
      <c r="B39" s="244"/>
      <c r="C39" s="244"/>
      <c r="D39" s="244"/>
      <c r="E39" s="244"/>
      <c r="F39" s="244"/>
      <c r="G39" s="244"/>
      <c r="H39" s="244"/>
      <c r="I39" s="244"/>
      <c r="J39" s="244"/>
      <c r="R39" s="244"/>
      <c r="S39" s="244"/>
      <c r="T39" s="244"/>
    </row>
    <row r="40" spans="1:20" ht="15.75" x14ac:dyDescent="0.25">
      <c r="A40" s="452" t="s">
        <v>249</v>
      </c>
      <c r="B40" s="452"/>
      <c r="C40" s="452"/>
      <c r="D40" s="452"/>
      <c r="E40" s="452"/>
      <c r="F40" s="452"/>
      <c r="G40" s="452"/>
      <c r="H40" s="452"/>
      <c r="I40" s="452"/>
      <c r="J40" s="452"/>
      <c r="K40" s="452"/>
      <c r="L40" s="452"/>
      <c r="M40" s="245"/>
      <c r="N40" s="4"/>
      <c r="O40" s="4"/>
      <c r="P40" s="4"/>
      <c r="Q40" s="4"/>
      <c r="R40" s="246"/>
      <c r="S40" s="246"/>
      <c r="T40" s="246"/>
    </row>
    <row r="41" spans="1:20" ht="15.75" x14ac:dyDescent="0.25">
      <c r="A41" s="247" t="s">
        <v>250</v>
      </c>
      <c r="B41" s="244"/>
      <c r="C41" s="246"/>
      <c r="D41" s="246"/>
      <c r="E41" s="246"/>
      <c r="F41" s="246"/>
      <c r="G41" s="246"/>
      <c r="H41" s="246"/>
      <c r="I41" s="246"/>
      <c r="J41" s="246"/>
      <c r="K41" s="4"/>
      <c r="N41" s="4"/>
      <c r="O41" s="4"/>
      <c r="P41" s="4"/>
      <c r="Q41" s="4"/>
      <c r="R41" s="246"/>
      <c r="S41" s="246"/>
      <c r="T41" s="246"/>
    </row>
    <row r="42" spans="1:20" x14ac:dyDescent="0.25">
      <c r="A42" s="244"/>
      <c r="B42" s="244"/>
      <c r="C42" s="244"/>
      <c r="D42" s="244"/>
      <c r="E42" s="244"/>
      <c r="F42" s="244"/>
      <c r="G42" s="244"/>
      <c r="H42" s="244"/>
      <c r="I42" s="244"/>
      <c r="J42" s="244"/>
      <c r="M42" s="248"/>
      <c r="N42" s="248"/>
      <c r="O42" s="248"/>
      <c r="P42" s="248"/>
      <c r="Q42" s="248"/>
      <c r="R42" s="244"/>
      <c r="S42" s="244"/>
      <c r="T42" s="244"/>
    </row>
    <row r="43" spans="1:20" ht="15.95" customHeight="1" x14ac:dyDescent="0.25">
      <c r="A43" s="244"/>
      <c r="B43" s="244"/>
      <c r="C43" s="244"/>
      <c r="D43" s="244"/>
      <c r="E43" s="244"/>
      <c r="F43" s="244"/>
      <c r="G43" s="244"/>
      <c r="H43" s="244"/>
      <c r="I43" s="244"/>
      <c r="J43" s="244"/>
      <c r="R43" s="244"/>
      <c r="S43" s="244"/>
      <c r="T43" s="244"/>
    </row>
    <row r="44" spans="1:20" x14ac:dyDescent="0.25">
      <c r="A44" s="244"/>
      <c r="B44" s="244"/>
      <c r="C44" s="244"/>
      <c r="D44" s="244"/>
      <c r="E44" s="244"/>
      <c r="F44" s="244"/>
      <c r="G44" s="244"/>
      <c r="H44" s="244"/>
      <c r="I44" s="244"/>
      <c r="J44" s="244"/>
      <c r="R44" s="244"/>
      <c r="S44" s="244"/>
      <c r="T44" s="244"/>
    </row>
    <row r="45" spans="1:20" x14ac:dyDescent="0.25">
      <c r="A45" s="244"/>
      <c r="B45" s="244"/>
      <c r="C45" s="244"/>
      <c r="D45" s="244"/>
      <c r="E45" s="244"/>
      <c r="F45" s="244"/>
      <c r="G45" s="244"/>
      <c r="H45" s="244"/>
      <c r="I45" s="244"/>
      <c r="J45" s="244"/>
      <c r="R45" s="244"/>
      <c r="S45" s="244"/>
      <c r="T45" s="244"/>
    </row>
    <row r="46" spans="1:20" x14ac:dyDescent="0.25">
      <c r="A46" s="244"/>
      <c r="B46" s="244"/>
      <c r="C46" s="244"/>
      <c r="D46" s="244"/>
      <c r="E46" s="244"/>
      <c r="F46" s="244"/>
      <c r="G46" s="244"/>
      <c r="H46" s="244"/>
      <c r="I46" s="244"/>
      <c r="J46" s="244"/>
      <c r="R46" s="244"/>
      <c r="S46" s="244"/>
      <c r="T46" s="244"/>
    </row>
    <row r="47" spans="1:20" x14ac:dyDescent="0.25">
      <c r="A47" s="244"/>
      <c r="B47" s="244"/>
      <c r="C47" s="244"/>
      <c r="D47" s="244"/>
      <c r="E47" s="244"/>
      <c r="F47" s="244"/>
      <c r="G47" s="244"/>
      <c r="H47" s="244"/>
      <c r="I47" s="244"/>
      <c r="J47" s="244"/>
      <c r="R47" s="244"/>
      <c r="S47" s="244"/>
      <c r="T47" s="244"/>
    </row>
    <row r="48" spans="1:20" x14ac:dyDescent="0.25">
      <c r="A48" s="244"/>
      <c r="B48" s="244"/>
      <c r="C48" s="244"/>
      <c r="D48" s="244"/>
      <c r="E48" s="244"/>
      <c r="F48" s="244"/>
      <c r="G48" s="244"/>
      <c r="H48" s="244"/>
      <c r="I48" s="244"/>
      <c r="J48" s="244"/>
      <c r="R48" s="244"/>
      <c r="S48" s="244"/>
      <c r="T48" s="244"/>
    </row>
    <row r="49" spans="1:20" x14ac:dyDescent="0.25">
      <c r="A49" s="244"/>
      <c r="B49" s="244"/>
      <c r="C49" s="244"/>
      <c r="D49" s="244"/>
      <c r="E49" s="244"/>
      <c r="F49" s="244"/>
      <c r="G49" s="244"/>
      <c r="H49" s="244"/>
      <c r="I49" s="244"/>
      <c r="J49" s="244"/>
      <c r="R49" s="244"/>
      <c r="S49" s="244"/>
      <c r="T49" s="244"/>
    </row>
    <row r="50" spans="1:20" x14ac:dyDescent="0.25">
      <c r="A50" s="244"/>
      <c r="B50" s="244"/>
      <c r="C50" s="244"/>
      <c r="D50" s="244"/>
      <c r="E50" s="244"/>
      <c r="F50" s="244"/>
      <c r="G50" s="244"/>
      <c r="H50" s="244"/>
      <c r="I50" s="244"/>
      <c r="J50" s="244"/>
      <c r="R50" s="244"/>
      <c r="S50" s="244"/>
      <c r="T50" s="244"/>
    </row>
    <row r="51" spans="1:20" x14ac:dyDescent="0.25">
      <c r="A51" s="244"/>
      <c r="B51" s="244"/>
      <c r="C51" s="244"/>
      <c r="D51" s="244"/>
      <c r="E51" s="244"/>
      <c r="F51" s="244"/>
      <c r="G51" s="244"/>
      <c r="H51" s="244"/>
      <c r="I51" s="244"/>
      <c r="J51" s="244"/>
      <c r="R51" s="244"/>
      <c r="S51" s="244"/>
      <c r="T51" s="244"/>
    </row>
    <row r="52" spans="1:20" x14ac:dyDescent="0.25">
      <c r="A52" s="244"/>
      <c r="B52" s="244"/>
      <c r="C52" s="244"/>
      <c r="D52" s="244"/>
      <c r="E52" s="244"/>
      <c r="F52" s="244"/>
      <c r="G52" s="244"/>
      <c r="H52" s="244"/>
      <c r="I52" s="244"/>
      <c r="J52" s="244"/>
      <c r="R52" s="244"/>
      <c r="S52" s="244"/>
      <c r="T52" s="244"/>
    </row>
    <row r="53" spans="1:20" x14ac:dyDescent="0.25">
      <c r="A53" s="244"/>
      <c r="B53" s="244"/>
      <c r="C53" s="244"/>
      <c r="D53" s="244"/>
      <c r="E53" s="244"/>
      <c r="F53" s="244"/>
      <c r="G53" s="244"/>
      <c r="H53" s="244"/>
      <c r="I53" s="244"/>
      <c r="J53" s="244"/>
      <c r="R53" s="244"/>
      <c r="S53" s="244"/>
      <c r="T53" s="244"/>
    </row>
    <row r="54" spans="1:20" x14ac:dyDescent="0.25">
      <c r="A54" s="244"/>
      <c r="B54" s="244"/>
      <c r="C54" s="244"/>
      <c r="D54" s="244"/>
      <c r="E54" s="244"/>
      <c r="F54" s="244"/>
      <c r="G54" s="244"/>
      <c r="H54" s="244"/>
      <c r="I54" s="244"/>
      <c r="J54" s="244"/>
      <c r="R54" s="244"/>
      <c r="S54" s="244"/>
      <c r="T54" s="244"/>
    </row>
    <row r="55" spans="1:20" x14ac:dyDescent="0.25">
      <c r="A55" s="244"/>
      <c r="B55" s="244"/>
      <c r="C55" s="244"/>
      <c r="D55" s="244"/>
      <c r="E55" s="244"/>
      <c r="F55" s="244"/>
      <c r="G55" s="244"/>
      <c r="H55" s="244"/>
      <c r="I55" s="244"/>
      <c r="J55" s="244"/>
      <c r="R55" s="244"/>
      <c r="S55" s="244"/>
      <c r="T55" s="244"/>
    </row>
    <row r="56" spans="1:20" x14ac:dyDescent="0.25">
      <c r="A56" s="244"/>
      <c r="B56" s="244"/>
      <c r="C56" s="244"/>
      <c r="D56" s="244"/>
      <c r="E56" s="244"/>
      <c r="F56" s="244"/>
      <c r="G56" s="244"/>
      <c r="H56" s="244"/>
      <c r="I56" s="244"/>
      <c r="J56" s="244"/>
      <c r="R56" s="244"/>
      <c r="S56" s="244"/>
      <c r="T56" s="244"/>
    </row>
    <row r="57" spans="1:20" x14ac:dyDescent="0.25">
      <c r="A57" s="244"/>
      <c r="B57" s="244"/>
      <c r="C57" s="244"/>
      <c r="D57" s="244"/>
      <c r="E57" s="244"/>
      <c r="F57" s="244"/>
      <c r="G57" s="244"/>
      <c r="H57" s="244"/>
      <c r="I57" s="244"/>
      <c r="J57" s="244"/>
      <c r="R57" s="244"/>
      <c r="S57" s="244"/>
      <c r="T57" s="244"/>
    </row>
    <row r="58" spans="1:20" x14ac:dyDescent="0.25">
      <c r="A58" s="244"/>
      <c r="B58" s="244"/>
      <c r="C58" s="244"/>
      <c r="D58" s="244"/>
      <c r="E58" s="244"/>
      <c r="F58" s="244"/>
      <c r="G58" s="244"/>
      <c r="H58" s="244"/>
      <c r="I58" s="244"/>
      <c r="J58" s="244"/>
      <c r="R58" s="244"/>
      <c r="S58" s="244"/>
      <c r="T58" s="244"/>
    </row>
    <row r="59" spans="1:20" x14ac:dyDescent="0.25">
      <c r="A59" s="244"/>
      <c r="B59" s="244"/>
      <c r="C59" s="244"/>
      <c r="D59" s="244"/>
      <c r="E59" s="244"/>
      <c r="F59" s="244"/>
      <c r="G59" s="244"/>
      <c r="H59" s="244"/>
      <c r="I59" s="244"/>
      <c r="J59" s="244"/>
      <c r="R59" s="244"/>
      <c r="S59" s="244"/>
      <c r="T59" s="244"/>
    </row>
    <row r="60" spans="1:20" x14ac:dyDescent="0.25">
      <c r="A60" s="244"/>
      <c r="B60" s="244"/>
      <c r="C60" s="244"/>
      <c r="D60" s="244"/>
      <c r="E60" s="244"/>
      <c r="F60" s="244"/>
      <c r="G60" s="244"/>
      <c r="H60" s="244"/>
      <c r="I60" s="244"/>
      <c r="J60" s="244"/>
      <c r="R60" s="244"/>
      <c r="S60" s="244"/>
      <c r="T60" s="244"/>
    </row>
    <row r="61" spans="1:20" x14ac:dyDescent="0.25">
      <c r="A61" s="244"/>
      <c r="B61" s="244"/>
      <c r="C61" s="244"/>
      <c r="D61" s="244"/>
      <c r="E61" s="244"/>
      <c r="F61" s="244"/>
      <c r="G61" s="244"/>
      <c r="H61" s="244"/>
      <c r="I61" s="244"/>
      <c r="J61" s="244"/>
      <c r="R61" s="244"/>
      <c r="S61" s="244"/>
      <c r="T61" s="244"/>
    </row>
    <row r="62" spans="1:20" x14ac:dyDescent="0.25">
      <c r="A62" s="244"/>
      <c r="B62" s="244"/>
      <c r="C62" s="244"/>
      <c r="D62" s="244"/>
      <c r="E62" s="244"/>
      <c r="F62" s="244"/>
      <c r="G62" s="244"/>
      <c r="H62" s="244"/>
      <c r="I62" s="244"/>
      <c r="J62" s="244"/>
      <c r="R62" s="244"/>
      <c r="S62" s="244"/>
      <c r="T62" s="244"/>
    </row>
    <row r="63" spans="1:20" x14ac:dyDescent="0.25">
      <c r="A63" s="244"/>
      <c r="B63" s="244"/>
      <c r="C63" s="244"/>
      <c r="D63" s="244"/>
      <c r="E63" s="244"/>
      <c r="F63" s="244"/>
      <c r="G63" s="244"/>
      <c r="H63" s="244"/>
      <c r="I63" s="244"/>
      <c r="J63" s="244"/>
      <c r="R63" s="244"/>
      <c r="S63" s="244"/>
      <c r="T63" s="244"/>
    </row>
    <row r="64" spans="1:20" x14ac:dyDescent="0.25">
      <c r="A64" s="244"/>
      <c r="B64" s="244"/>
      <c r="C64" s="244"/>
      <c r="D64" s="244"/>
      <c r="E64" s="244"/>
      <c r="F64" s="244"/>
      <c r="G64" s="244"/>
      <c r="H64" s="244"/>
      <c r="I64" s="244"/>
      <c r="J64" s="244"/>
      <c r="R64" s="244"/>
      <c r="S64" s="244"/>
      <c r="T64" s="244"/>
    </row>
    <row r="65" spans="1:20" x14ac:dyDescent="0.25">
      <c r="A65" s="244"/>
      <c r="B65" s="244"/>
      <c r="C65" s="244"/>
      <c r="D65" s="244"/>
      <c r="E65" s="244"/>
      <c r="F65" s="244"/>
      <c r="G65" s="244"/>
      <c r="H65" s="244"/>
      <c r="I65" s="244"/>
      <c r="J65" s="244"/>
      <c r="R65" s="244"/>
      <c r="S65" s="244"/>
      <c r="T65" s="244"/>
    </row>
    <row r="66" spans="1:20" x14ac:dyDescent="0.25">
      <c r="A66" s="244"/>
      <c r="B66" s="244"/>
      <c r="C66" s="244"/>
      <c r="D66" s="244"/>
      <c r="E66" s="244"/>
      <c r="F66" s="244"/>
      <c r="G66" s="244"/>
      <c r="H66" s="244"/>
      <c r="I66" s="244"/>
      <c r="J66" s="244"/>
      <c r="R66" s="244"/>
      <c r="S66" s="244"/>
      <c r="T66" s="244"/>
    </row>
    <row r="67" spans="1:20" x14ac:dyDescent="0.25">
      <c r="A67" s="244"/>
      <c r="B67" s="244"/>
      <c r="C67" s="244"/>
      <c r="D67" s="244"/>
      <c r="E67" s="244"/>
      <c r="F67" s="244"/>
      <c r="G67" s="244"/>
      <c r="H67" s="244"/>
      <c r="I67" s="244"/>
      <c r="J67" s="244"/>
      <c r="R67" s="244"/>
      <c r="S67" s="244"/>
      <c r="T67" s="244"/>
    </row>
    <row r="68" spans="1:20" x14ac:dyDescent="0.25">
      <c r="A68" s="244"/>
      <c r="B68" s="244"/>
      <c r="C68" s="244"/>
      <c r="D68" s="244"/>
      <c r="E68" s="244"/>
      <c r="F68" s="244"/>
      <c r="G68" s="244"/>
      <c r="H68" s="244"/>
      <c r="I68" s="244"/>
      <c r="J68" s="244"/>
      <c r="R68" s="244"/>
      <c r="S68" s="244"/>
      <c r="T68" s="244"/>
    </row>
    <row r="69" spans="1:20" x14ac:dyDescent="0.25">
      <c r="A69" s="244"/>
      <c r="B69" s="244"/>
      <c r="C69" s="244"/>
      <c r="D69" s="244"/>
      <c r="E69" s="244"/>
      <c r="F69" s="244"/>
      <c r="G69" s="244"/>
      <c r="H69" s="244"/>
      <c r="I69" s="244"/>
      <c r="J69" s="244"/>
      <c r="R69" s="244"/>
      <c r="S69" s="244"/>
      <c r="T69" s="244"/>
    </row>
    <row r="70" spans="1:20" x14ac:dyDescent="0.25">
      <c r="A70" s="244"/>
      <c r="B70" s="244"/>
      <c r="C70" s="244"/>
      <c r="D70" s="244"/>
      <c r="E70" s="244"/>
      <c r="F70" s="244"/>
      <c r="G70" s="244"/>
      <c r="H70" s="244"/>
      <c r="I70" s="244"/>
      <c r="J70" s="244"/>
      <c r="R70" s="244"/>
      <c r="S70" s="244"/>
      <c r="T70" s="244"/>
    </row>
    <row r="71" spans="1:20" x14ac:dyDescent="0.25">
      <c r="A71" s="244"/>
      <c r="B71" s="244"/>
      <c r="C71" s="244"/>
      <c r="D71" s="244"/>
      <c r="E71" s="244"/>
      <c r="F71" s="244"/>
      <c r="G71" s="244"/>
      <c r="H71" s="244"/>
      <c r="I71" s="244"/>
      <c r="J71" s="244"/>
      <c r="R71" s="244"/>
      <c r="S71" s="244"/>
      <c r="T71" s="244"/>
    </row>
    <row r="72" spans="1:20" x14ac:dyDescent="0.25">
      <c r="A72" s="244"/>
      <c r="B72" s="244"/>
      <c r="C72" s="244"/>
      <c r="D72" s="244"/>
      <c r="E72" s="244"/>
      <c r="F72" s="244"/>
      <c r="G72" s="244"/>
      <c r="H72" s="244"/>
      <c r="I72" s="244"/>
      <c r="J72" s="244"/>
      <c r="R72" s="244"/>
      <c r="S72" s="244"/>
      <c r="T72" s="244"/>
    </row>
    <row r="73" spans="1:20" x14ac:dyDescent="0.25">
      <c r="A73" s="244"/>
      <c r="B73" s="244"/>
      <c r="C73" s="244"/>
      <c r="D73" s="244"/>
      <c r="E73" s="244"/>
      <c r="F73" s="244"/>
      <c r="G73" s="244"/>
      <c r="H73" s="244"/>
      <c r="I73" s="244"/>
      <c r="J73" s="244"/>
      <c r="R73" s="244"/>
      <c r="S73" s="244"/>
      <c r="T73" s="244"/>
    </row>
    <row r="74" spans="1:20" x14ac:dyDescent="0.25">
      <c r="A74" s="244"/>
      <c r="B74" s="244"/>
      <c r="C74" s="244"/>
      <c r="D74" s="244"/>
      <c r="E74" s="244"/>
      <c r="F74" s="244"/>
      <c r="G74" s="244"/>
      <c r="H74" s="244"/>
      <c r="I74" s="244"/>
      <c r="J74" s="244"/>
      <c r="R74" s="244"/>
      <c r="S74" s="244"/>
      <c r="T74" s="244"/>
    </row>
    <row r="75" spans="1:20" x14ac:dyDescent="0.25">
      <c r="A75" s="244"/>
      <c r="B75" s="244"/>
      <c r="C75" s="244"/>
      <c r="D75" s="244"/>
      <c r="E75" s="244"/>
      <c r="F75" s="244"/>
      <c r="G75" s="244"/>
      <c r="H75" s="244"/>
      <c r="I75" s="244"/>
      <c r="J75" s="244"/>
      <c r="R75" s="244"/>
      <c r="S75" s="244"/>
      <c r="T75" s="244"/>
    </row>
    <row r="76" spans="1:20" x14ac:dyDescent="0.25">
      <c r="A76" s="244"/>
      <c r="B76" s="244"/>
      <c r="C76" s="244"/>
      <c r="D76" s="244"/>
      <c r="E76" s="244"/>
      <c r="F76" s="244"/>
      <c r="G76" s="244"/>
      <c r="H76" s="244"/>
      <c r="I76" s="244"/>
      <c r="J76" s="244"/>
      <c r="R76" s="244"/>
      <c r="S76" s="244"/>
      <c r="T76" s="244"/>
    </row>
    <row r="77" spans="1:20" x14ac:dyDescent="0.25">
      <c r="A77" s="244"/>
      <c r="B77" s="244"/>
      <c r="C77" s="244"/>
      <c r="D77" s="244"/>
      <c r="E77" s="244"/>
      <c r="F77" s="244"/>
      <c r="G77" s="244"/>
      <c r="H77" s="244"/>
      <c r="I77" s="244"/>
      <c r="J77" s="244"/>
      <c r="R77" s="244"/>
      <c r="S77" s="244"/>
      <c r="T77" s="244"/>
    </row>
    <row r="78" spans="1:20" x14ac:dyDescent="0.25">
      <c r="A78" s="244"/>
      <c r="B78" s="244"/>
      <c r="C78" s="244"/>
      <c r="D78" s="244"/>
      <c r="E78" s="244"/>
      <c r="F78" s="244"/>
      <c r="G78" s="244"/>
      <c r="H78" s="244"/>
      <c r="I78" s="244"/>
      <c r="J78" s="244"/>
      <c r="R78" s="244"/>
      <c r="S78" s="244"/>
      <c r="T78" s="244"/>
    </row>
    <row r="79" spans="1:20" x14ac:dyDescent="0.25">
      <c r="A79" s="244"/>
      <c r="B79" s="244"/>
      <c r="C79" s="244"/>
      <c r="D79" s="244"/>
      <c r="E79" s="244"/>
      <c r="F79" s="244"/>
      <c r="G79" s="244"/>
      <c r="H79" s="244"/>
      <c r="I79" s="244"/>
      <c r="J79" s="244"/>
      <c r="R79" s="244"/>
      <c r="S79" s="244"/>
      <c r="T79" s="244"/>
    </row>
    <row r="80" spans="1:20" x14ac:dyDescent="0.25">
      <c r="A80" s="249" t="s">
        <v>251</v>
      </c>
      <c r="B80" s="250" t="s">
        <v>252</v>
      </c>
      <c r="C80" s="249"/>
      <c r="D80" s="249"/>
      <c r="E80" s="249"/>
      <c r="F80" s="249"/>
      <c r="G80" s="249"/>
      <c r="H80" s="249"/>
      <c r="I80" s="249"/>
      <c r="J80" s="249"/>
    </row>
    <row r="81" spans="1:20" x14ac:dyDescent="0.25">
      <c r="A81" s="251" t="s">
        <v>253</v>
      </c>
      <c r="B81" s="249"/>
      <c r="C81" s="249"/>
      <c r="D81" s="249"/>
      <c r="E81" s="249"/>
      <c r="F81" s="249"/>
      <c r="G81" s="249"/>
      <c r="H81" s="249"/>
      <c r="I81" s="249"/>
      <c r="J81" s="249"/>
    </row>
    <row r="82" spans="1:20" x14ac:dyDescent="0.25">
      <c r="A82" s="244" t="s">
        <v>254</v>
      </c>
      <c r="B82" s="244"/>
      <c r="C82" s="244"/>
      <c r="D82" s="244"/>
      <c r="E82" s="244"/>
      <c r="F82" s="244"/>
      <c r="G82" s="244"/>
      <c r="H82" s="244"/>
      <c r="I82" s="244"/>
      <c r="J82" s="244"/>
      <c r="K82" s="249"/>
      <c r="R82" s="244"/>
      <c r="S82" s="244"/>
      <c r="T82" s="244"/>
    </row>
    <row r="83" spans="1:20" x14ac:dyDescent="0.25">
      <c r="A83" s="244" t="s">
        <v>255</v>
      </c>
      <c r="B83" s="244"/>
      <c r="C83" s="244"/>
      <c r="D83" s="244"/>
      <c r="E83" s="244"/>
      <c r="F83" s="244"/>
      <c r="G83" s="244"/>
      <c r="H83" s="244"/>
      <c r="I83" s="244"/>
      <c r="J83" s="244"/>
      <c r="K83" s="249"/>
      <c r="R83" s="244"/>
      <c r="S83" s="244"/>
      <c r="T83" s="244"/>
    </row>
    <row r="84" spans="1:20" x14ac:dyDescent="0.25">
      <c r="A84" s="244" t="s">
        <v>256</v>
      </c>
      <c r="B84" s="244"/>
      <c r="C84" s="244"/>
      <c r="D84" s="244"/>
      <c r="E84" s="244"/>
      <c r="F84" s="244"/>
      <c r="G84" s="244"/>
      <c r="H84" s="244"/>
      <c r="I84" s="244"/>
      <c r="J84" s="244"/>
      <c r="K84" s="249"/>
      <c r="R84" s="244"/>
      <c r="S84" s="244"/>
      <c r="T84" s="244"/>
    </row>
    <row r="85" spans="1:20" x14ac:dyDescent="0.25">
      <c r="A85" s="244"/>
      <c r="B85" s="244"/>
      <c r="C85" s="244"/>
      <c r="D85" s="244"/>
      <c r="E85" s="244"/>
      <c r="F85" s="244"/>
      <c r="G85" s="244"/>
      <c r="H85" s="244"/>
      <c r="I85" s="244"/>
      <c r="J85" s="244"/>
      <c r="K85" s="249"/>
      <c r="R85" s="244"/>
      <c r="S85" s="244"/>
      <c r="T85" s="244"/>
    </row>
    <row r="86" spans="1:20" x14ac:dyDescent="0.25">
      <c r="A86" s="246" t="s">
        <v>257</v>
      </c>
      <c r="B86" s="244"/>
      <c r="C86" s="244"/>
      <c r="D86" s="244"/>
      <c r="E86" s="244"/>
      <c r="F86" s="244"/>
      <c r="G86" s="244"/>
      <c r="H86" s="244"/>
      <c r="I86" s="244"/>
      <c r="J86" s="244"/>
      <c r="K86" s="249"/>
      <c r="R86" s="244"/>
      <c r="S86" s="244"/>
      <c r="T86" s="244"/>
    </row>
    <row r="87" spans="1:20" x14ac:dyDescent="0.25">
      <c r="A87" s="252" t="s">
        <v>258</v>
      </c>
      <c r="B87" s="244"/>
      <c r="C87" s="244"/>
      <c r="D87" s="244"/>
      <c r="E87" s="244"/>
      <c r="F87" s="244"/>
      <c r="G87" s="244"/>
      <c r="H87" s="244"/>
      <c r="I87" s="244"/>
      <c r="J87" s="244"/>
      <c r="K87" s="250" t="s">
        <v>252</v>
      </c>
      <c r="R87" s="244"/>
      <c r="S87" s="244"/>
      <c r="T87" s="244"/>
    </row>
    <row r="88" spans="1:20" x14ac:dyDescent="0.25">
      <c r="A88" s="244"/>
      <c r="B88" s="244"/>
      <c r="C88" s="244"/>
      <c r="D88" s="244"/>
      <c r="E88" s="244"/>
      <c r="F88" s="244"/>
      <c r="G88" s="244"/>
      <c r="H88" s="244"/>
      <c r="I88" s="244"/>
      <c r="J88" s="244"/>
      <c r="K88" s="250" t="s">
        <v>259</v>
      </c>
      <c r="R88" s="244"/>
      <c r="S88" s="244"/>
      <c r="T88" s="244"/>
    </row>
    <row r="89" spans="1:20" ht="45" x14ac:dyDescent="0.25">
      <c r="A89" s="244"/>
      <c r="B89" s="244"/>
      <c r="C89" s="244"/>
      <c r="D89" s="244"/>
      <c r="E89" s="244"/>
      <c r="F89" s="244"/>
      <c r="G89" s="244"/>
      <c r="H89" s="244"/>
      <c r="I89" s="244"/>
      <c r="J89" s="244"/>
      <c r="K89" s="3" t="s">
        <v>260</v>
      </c>
      <c r="L89" s="3" t="s">
        <v>261</v>
      </c>
      <c r="M89" s="3" t="s">
        <v>262</v>
      </c>
      <c r="N89" s="3" t="s">
        <v>263</v>
      </c>
      <c r="O89" s="3" t="s">
        <v>264</v>
      </c>
      <c r="P89" s="3" t="s">
        <v>265</v>
      </c>
      <c r="Q89" s="3" t="s">
        <v>266</v>
      </c>
      <c r="R89" s="244"/>
      <c r="S89" s="244"/>
      <c r="T89" s="244"/>
    </row>
    <row r="90" spans="1:20" x14ac:dyDescent="0.25">
      <c r="A90" s="244"/>
      <c r="B90" s="244"/>
      <c r="C90" s="244"/>
      <c r="D90" s="244"/>
      <c r="E90" s="244"/>
      <c r="F90" s="244"/>
      <c r="G90" s="244"/>
      <c r="H90" s="244"/>
      <c r="I90" s="244"/>
      <c r="J90" s="244"/>
      <c r="K90" s="253">
        <v>0.05</v>
      </c>
      <c r="L90" s="254">
        <f t="shared" ref="L90:L110" si="1">0.0304*$K90^5  -0.2619*$K90^4 +0.9161*$K90^3 -1.6837*$K90^2  +1.7072*$K90-0.0091</f>
        <v>7.2163635125000014E-2</v>
      </c>
      <c r="M90" s="254">
        <f t="shared" ref="M90:M110" si="2">0.0239*$K90^5  -0.2058*$K90^4 +0.7198*$K90^3 -1.3229*$K90^2  +1.3414*$K90-0.0072</f>
        <v>5.6651446218750012E-2</v>
      </c>
      <c r="N90" s="254">
        <f t="shared" ref="N90:N110" si="3">0.0308*$K90^5  -0.2562*$K90^4 +0.8634*$K90^3 -1.5285*$K90^2  +1.501*$K90-0.013</f>
        <v>5.8335083375000013E-2</v>
      </c>
      <c r="O90" s="254">
        <f t="shared" ref="O90:O110" si="4">0.0152*$K90^5
-0.131*$K90^4
+0.4581*$K90^3
-0.8418*$K90^2
+0.8536*$K90
-0.0046</f>
        <v>3.6031948500000001E-2</v>
      </c>
      <c r="P90" s="254">
        <f t="shared" ref="P90:P110" si="5">0.0326*$K90^5
-0.2806*$K90^4
+0.9816*$K90^3
-1.8039*$K90^2
+1.8292*$K90
-0.0098</f>
        <v>7.727120643749999E-2</v>
      </c>
      <c r="Q90" s="254">
        <f t="shared" ref="Q90:Q110" si="6">0.0304*$K90^5  -0.2619*$K90^4 +0.9161*$K90^3 -1.6837*$K90^2  +1.7072*$K90-0.0091</f>
        <v>7.2163635125000014E-2</v>
      </c>
      <c r="R90" s="244"/>
      <c r="S90" s="244"/>
      <c r="T90" s="244"/>
    </row>
    <row r="91" spans="1:20" x14ac:dyDescent="0.25">
      <c r="A91" s="244"/>
      <c r="B91" s="244"/>
      <c r="C91" s="244"/>
      <c r="D91" s="244"/>
      <c r="E91" s="244"/>
      <c r="F91" s="244"/>
      <c r="G91" s="244"/>
      <c r="H91" s="244"/>
      <c r="I91" s="244"/>
      <c r="J91" s="244"/>
      <c r="K91" s="255">
        <v>0.1</v>
      </c>
      <c r="L91" s="254">
        <f t="shared" si="1"/>
        <v>0.145673214</v>
      </c>
      <c r="M91" s="254">
        <f t="shared" si="2"/>
        <v>0.11441045900000001</v>
      </c>
      <c r="N91" s="254">
        <f t="shared" si="3"/>
        <v>0.12265308800000001</v>
      </c>
      <c r="O91" s="254">
        <f t="shared" si="4"/>
        <v>7.2787151999999994E-2</v>
      </c>
      <c r="P91" s="254">
        <f t="shared" si="5"/>
        <v>0.15603486599999999</v>
      </c>
      <c r="Q91" s="254">
        <f t="shared" si="6"/>
        <v>0.145673214</v>
      </c>
      <c r="R91" s="244"/>
      <c r="S91" s="244"/>
      <c r="T91" s="244"/>
    </row>
    <row r="92" spans="1:20" x14ac:dyDescent="0.25">
      <c r="A92" s="244"/>
      <c r="B92" s="244"/>
      <c r="C92" s="244"/>
      <c r="D92" s="244"/>
      <c r="E92" s="244"/>
      <c r="F92" s="244"/>
      <c r="G92" s="244"/>
      <c r="H92" s="244"/>
      <c r="I92" s="244"/>
      <c r="J92" s="244"/>
      <c r="K92" s="255">
        <v>0.2</v>
      </c>
      <c r="L92" s="254">
        <f t="shared" si="1"/>
        <v>0.27191148799999998</v>
      </c>
      <c r="M92" s="254">
        <f t="shared" si="2"/>
        <v>0.213600768</v>
      </c>
      <c r="N92" s="254">
        <f t="shared" si="3"/>
        <v>0.23256713600000001</v>
      </c>
      <c r="O92" s="254">
        <f t="shared" si="4"/>
        <v>0.13590806400000002</v>
      </c>
      <c r="P92" s="254">
        <f t="shared" si="5"/>
        <v>0.29129827200000002</v>
      </c>
      <c r="Q92" s="254">
        <f t="shared" si="6"/>
        <v>0.27191148799999998</v>
      </c>
      <c r="R92" s="244"/>
      <c r="S92" s="244"/>
      <c r="T92" s="244"/>
    </row>
    <row r="93" spans="1:20" x14ac:dyDescent="0.25">
      <c r="A93" s="244"/>
      <c r="B93" s="244"/>
      <c r="C93" s="244"/>
      <c r="D93" s="244"/>
      <c r="E93" s="244"/>
      <c r="F93" s="244"/>
      <c r="G93" s="244"/>
      <c r="H93" s="244"/>
      <c r="I93" s="244"/>
      <c r="J93" s="244"/>
      <c r="K93" s="255">
        <v>0.3</v>
      </c>
      <c r="L93" s="254">
        <f t="shared" si="1"/>
        <v>0.37421418199999995</v>
      </c>
      <c r="M93" s="254">
        <f t="shared" si="2"/>
        <v>0.29398469699999996</v>
      </c>
      <c r="N93" s="254">
        <f t="shared" si="3"/>
        <v>0.32104642399999994</v>
      </c>
      <c r="O93" s="254">
        <f t="shared" si="4"/>
        <v>0.187062536</v>
      </c>
      <c r="P93" s="254">
        <f t="shared" si="5"/>
        <v>0.40091855799999992</v>
      </c>
      <c r="Q93" s="254">
        <f t="shared" si="6"/>
        <v>0.37421418199999995</v>
      </c>
      <c r="R93" s="244"/>
      <c r="S93" s="244"/>
      <c r="T93" s="244"/>
    </row>
    <row r="94" spans="1:20" x14ac:dyDescent="0.25">
      <c r="A94" s="244"/>
      <c r="B94" s="244"/>
      <c r="C94" s="244"/>
      <c r="D94" s="244"/>
      <c r="E94" s="244"/>
      <c r="F94" s="244"/>
      <c r="G94" s="244"/>
      <c r="H94" s="244"/>
      <c r="I94" s="244"/>
      <c r="J94" s="244"/>
      <c r="K94" s="255">
        <v>0.4</v>
      </c>
      <c r="L94" s="254">
        <f t="shared" si="1"/>
        <v>0.45662505599999997</v>
      </c>
      <c r="M94" s="254">
        <f t="shared" si="2"/>
        <v>0.35873945600000001</v>
      </c>
      <c r="N94" s="254">
        <f t="shared" si="3"/>
        <v>0.391854272</v>
      </c>
      <c r="O94" s="254">
        <f t="shared" si="4"/>
        <v>0.22827244800000002</v>
      </c>
      <c r="P94" s="254">
        <f t="shared" si="5"/>
        <v>0.48922886399999999</v>
      </c>
      <c r="Q94" s="254">
        <f t="shared" si="6"/>
        <v>0.45662505599999997</v>
      </c>
      <c r="R94" s="244"/>
      <c r="S94" s="244"/>
      <c r="T94" s="244"/>
    </row>
    <row r="95" spans="1:20" x14ac:dyDescent="0.25">
      <c r="A95" s="244"/>
      <c r="B95" s="244"/>
      <c r="C95" s="244"/>
      <c r="D95" s="244"/>
      <c r="E95" s="244"/>
      <c r="F95" s="244"/>
      <c r="G95" s="244"/>
      <c r="H95" s="244"/>
      <c r="I95" s="244"/>
      <c r="J95" s="244"/>
      <c r="K95" s="255">
        <v>0.5</v>
      </c>
      <c r="L95" s="254">
        <f t="shared" si="1"/>
        <v>0.52266875000000002</v>
      </c>
      <c r="M95" s="254">
        <f t="shared" si="2"/>
        <v>0.410634375</v>
      </c>
      <c r="N95" s="254">
        <f t="shared" si="3"/>
        <v>0.44824999999999993</v>
      </c>
      <c r="O95" s="254">
        <f t="shared" si="4"/>
        <v>0.26130000000000003</v>
      </c>
      <c r="P95" s="254">
        <f t="shared" si="5"/>
        <v>0.56000624999999993</v>
      </c>
      <c r="Q95" s="254">
        <f t="shared" si="6"/>
        <v>0.52266875000000002</v>
      </c>
      <c r="R95" s="244"/>
      <c r="S95" s="244"/>
      <c r="T95" s="244"/>
    </row>
    <row r="96" spans="1:20" x14ac:dyDescent="0.25">
      <c r="A96" s="244"/>
      <c r="B96" s="244"/>
      <c r="C96" s="244"/>
      <c r="D96" s="244"/>
      <c r="E96" s="244"/>
      <c r="F96" s="244"/>
      <c r="G96" s="244"/>
      <c r="H96" s="244"/>
      <c r="I96" s="244"/>
      <c r="J96" s="244"/>
      <c r="K96" s="255">
        <v>0.6</v>
      </c>
      <c r="L96" s="254">
        <f t="shared" si="1"/>
        <v>0.57538726399999984</v>
      </c>
      <c r="M96" s="254">
        <f t="shared" si="2"/>
        <v>0.45205958399999996</v>
      </c>
      <c r="N96" s="254">
        <f t="shared" si="3"/>
        <v>0.49302588799999991</v>
      </c>
      <c r="O96" s="254">
        <f t="shared" si="4"/>
        <v>0.28766595199999995</v>
      </c>
      <c r="P96" s="254">
        <f t="shared" si="5"/>
        <v>0.61651081599999979</v>
      </c>
      <c r="Q96" s="254">
        <f t="shared" si="6"/>
        <v>0.57538726399999984</v>
      </c>
      <c r="R96" s="244"/>
      <c r="S96" s="244"/>
      <c r="T96" s="244"/>
    </row>
    <row r="97" spans="1:20" x14ac:dyDescent="0.25">
      <c r="A97" s="244"/>
      <c r="B97" s="244"/>
      <c r="C97" s="244"/>
      <c r="D97" s="244"/>
      <c r="E97" s="244"/>
      <c r="F97" s="244"/>
      <c r="G97" s="244"/>
      <c r="H97" s="244"/>
      <c r="I97" s="244"/>
      <c r="J97" s="244"/>
      <c r="K97" s="255">
        <v>0.7</v>
      </c>
      <c r="L97" s="254">
        <f t="shared" si="1"/>
        <v>0.61737643799999997</v>
      </c>
      <c r="M97" s="254">
        <f t="shared" si="2"/>
        <v>0.48505469299999993</v>
      </c>
      <c r="N97" s="254">
        <f t="shared" si="3"/>
        <v>0.52854413599999994</v>
      </c>
      <c r="O97" s="254">
        <f t="shared" si="4"/>
        <v>0.30866786399999996</v>
      </c>
      <c r="P97" s="254">
        <f t="shared" si="5"/>
        <v>0.66152482199999985</v>
      </c>
      <c r="Q97" s="254">
        <f t="shared" si="6"/>
        <v>0.61737643799999997</v>
      </c>
      <c r="R97" s="244"/>
      <c r="S97" s="244"/>
      <c r="T97" s="244"/>
    </row>
    <row r="98" spans="1:20" x14ac:dyDescent="0.25">
      <c r="A98" s="244"/>
      <c r="B98" s="244"/>
      <c r="C98" s="244"/>
      <c r="D98" s="244"/>
      <c r="E98" s="244"/>
      <c r="F98" s="244"/>
      <c r="G98" s="244"/>
      <c r="H98" s="244"/>
      <c r="I98" s="244"/>
      <c r="J98" s="244"/>
      <c r="K98" s="255">
        <v>0.8</v>
      </c>
      <c r="L98" s="254">
        <f t="shared" si="1"/>
        <v>0.6508224319999999</v>
      </c>
      <c r="M98" s="254">
        <f t="shared" si="2"/>
        <v>0.51133747200000002</v>
      </c>
      <c r="N98" s="254">
        <f t="shared" si="3"/>
        <v>0.55677382399999986</v>
      </c>
      <c r="O98" s="254">
        <f t="shared" si="4"/>
        <v>0.32539833599999995</v>
      </c>
      <c r="P98" s="254">
        <f t="shared" si="5"/>
        <v>0.69739180799999989</v>
      </c>
      <c r="Q98" s="254">
        <f t="shared" si="6"/>
        <v>0.6508224319999999</v>
      </c>
      <c r="R98" s="244"/>
      <c r="S98" s="244"/>
      <c r="T98" s="244"/>
    </row>
    <row r="99" spans="1:20" x14ac:dyDescent="0.25">
      <c r="A99" s="244"/>
      <c r="B99" s="244"/>
      <c r="C99" s="244"/>
      <c r="D99" s="244"/>
      <c r="E99" s="244"/>
      <c r="F99" s="244"/>
      <c r="G99" s="244"/>
      <c r="H99" s="244"/>
      <c r="I99" s="244"/>
      <c r="J99" s="244"/>
      <c r="K99" s="255">
        <v>0.9</v>
      </c>
      <c r="L99" s="254">
        <f t="shared" si="1"/>
        <v>0.67753820599999992</v>
      </c>
      <c r="M99" s="254">
        <f t="shared" si="2"/>
        <v>0.53233253099999989</v>
      </c>
      <c r="N99" s="254">
        <f t="shared" si="3"/>
        <v>0.57932787199999991</v>
      </c>
      <c r="O99" s="254">
        <f t="shared" si="4"/>
        <v>0.33876324800000002</v>
      </c>
      <c r="P99" s="254">
        <f t="shared" si="5"/>
        <v>0.72605571399999991</v>
      </c>
      <c r="Q99" s="254">
        <f t="shared" si="6"/>
        <v>0.67753820599999992</v>
      </c>
      <c r="R99" s="244"/>
      <c r="S99" s="244"/>
      <c r="T99" s="244"/>
    </row>
    <row r="100" spans="1:20" x14ac:dyDescent="0.25">
      <c r="A100" s="244"/>
      <c r="B100" s="244"/>
      <c r="C100" s="244"/>
      <c r="D100" s="244"/>
      <c r="E100" s="244"/>
      <c r="F100" s="244"/>
      <c r="G100" s="244"/>
      <c r="H100" s="244"/>
      <c r="I100" s="244"/>
      <c r="J100" s="244"/>
      <c r="K100" s="255">
        <v>1</v>
      </c>
      <c r="L100" s="254">
        <f t="shared" si="1"/>
        <v>0.69900000000000007</v>
      </c>
      <c r="M100" s="254">
        <f t="shared" si="2"/>
        <v>0.54920000000000002</v>
      </c>
      <c r="N100" s="254">
        <f t="shared" si="3"/>
        <v>0.59749999999999981</v>
      </c>
      <c r="O100" s="254">
        <f t="shared" si="4"/>
        <v>0.34950000000000003</v>
      </c>
      <c r="P100" s="254">
        <f t="shared" si="5"/>
        <v>0.74909999999999988</v>
      </c>
      <c r="Q100" s="254">
        <f t="shared" si="6"/>
        <v>0.69900000000000007</v>
      </c>
      <c r="R100" s="244"/>
      <c r="S100" s="244"/>
      <c r="T100" s="244"/>
    </row>
    <row r="101" spans="1:20" x14ac:dyDescent="0.25">
      <c r="A101" s="244"/>
      <c r="B101" s="244"/>
      <c r="C101" s="244"/>
      <c r="D101" s="244"/>
      <c r="E101" s="244"/>
      <c r="F101" s="244"/>
      <c r="G101" s="244"/>
      <c r="H101" s="244"/>
      <c r="I101" s="244"/>
      <c r="J101" s="244"/>
      <c r="K101" s="255">
        <v>1.2</v>
      </c>
      <c r="L101" s="254">
        <f t="shared" si="1"/>
        <v>0.73060188799999992</v>
      </c>
      <c r="M101" s="254">
        <f t="shared" si="2"/>
        <v>0.57404236800000008</v>
      </c>
      <c r="N101" s="254">
        <f t="shared" si="3"/>
        <v>0.62449913599999973</v>
      </c>
      <c r="O101" s="254">
        <f t="shared" si="4"/>
        <v>0.36530566400000003</v>
      </c>
      <c r="P101" s="254">
        <f t="shared" si="5"/>
        <v>0.78309587199999986</v>
      </c>
      <c r="Q101" s="254">
        <f t="shared" si="6"/>
        <v>0.73060188799999992</v>
      </c>
      <c r="R101" s="244"/>
      <c r="S101" s="244"/>
      <c r="T101" s="244"/>
    </row>
    <row r="102" spans="1:20" x14ac:dyDescent="0.25">
      <c r="A102" s="244"/>
      <c r="B102" s="244"/>
      <c r="C102" s="244"/>
      <c r="D102" s="244"/>
      <c r="E102" s="244"/>
      <c r="F102" s="244"/>
      <c r="G102" s="244"/>
      <c r="H102" s="244"/>
      <c r="I102" s="244"/>
      <c r="J102" s="244"/>
      <c r="K102" s="255">
        <v>1.4</v>
      </c>
      <c r="L102" s="254">
        <f t="shared" si="1"/>
        <v>0.75208985599999989</v>
      </c>
      <c r="M102" s="254">
        <f t="shared" si="2"/>
        <v>0.59094585599999971</v>
      </c>
      <c r="N102" s="254">
        <f t="shared" si="3"/>
        <v>0.64314147200000005</v>
      </c>
      <c r="O102" s="254">
        <f t="shared" si="4"/>
        <v>0.3760380479999999</v>
      </c>
      <c r="P102" s="254">
        <f t="shared" si="5"/>
        <v>0.80632406399999978</v>
      </c>
      <c r="Q102" s="254">
        <f t="shared" si="6"/>
        <v>0.75208985599999989</v>
      </c>
      <c r="R102" s="244"/>
      <c r="S102" s="244"/>
      <c r="T102" s="244"/>
    </row>
    <row r="103" spans="1:20" x14ac:dyDescent="0.25">
      <c r="A103" s="244"/>
      <c r="B103" s="244"/>
      <c r="C103" s="244"/>
      <c r="D103" s="244"/>
      <c r="E103" s="244"/>
      <c r="F103" s="244"/>
      <c r="G103" s="244"/>
      <c r="H103" s="244"/>
      <c r="I103" s="244"/>
      <c r="J103" s="244"/>
      <c r="K103" s="255">
        <v>1.6</v>
      </c>
      <c r="L103" s="254">
        <f t="shared" si="1"/>
        <v>0.76687286399999899</v>
      </c>
      <c r="M103" s="254">
        <f t="shared" si="2"/>
        <v>0.60259558399999957</v>
      </c>
      <c r="N103" s="254">
        <f t="shared" si="3"/>
        <v>0.65605548799999969</v>
      </c>
      <c r="O103" s="254">
        <f t="shared" si="4"/>
        <v>0.38339155199999969</v>
      </c>
      <c r="P103" s="254">
        <f t="shared" si="5"/>
        <v>0.82246521599999922</v>
      </c>
      <c r="Q103" s="254">
        <f t="shared" si="6"/>
        <v>0.76687286399999899</v>
      </c>
      <c r="R103" s="244"/>
      <c r="S103" s="244"/>
      <c r="T103" s="244"/>
    </row>
    <row r="104" spans="1:20" x14ac:dyDescent="0.25">
      <c r="A104" s="244"/>
      <c r="B104" s="244"/>
      <c r="C104" s="244"/>
      <c r="D104" s="244"/>
      <c r="E104" s="244"/>
      <c r="F104" s="244"/>
      <c r="G104" s="244"/>
      <c r="H104" s="244"/>
      <c r="I104" s="244"/>
      <c r="J104" s="244"/>
      <c r="K104" s="255">
        <v>1.8</v>
      </c>
      <c r="L104" s="254">
        <f t="shared" si="1"/>
        <v>0.77647443199999977</v>
      </c>
      <c r="M104" s="254">
        <f t="shared" si="2"/>
        <v>0.61019827199999954</v>
      </c>
      <c r="N104" s="254">
        <f t="shared" si="3"/>
        <v>0.66431062399999952</v>
      </c>
      <c r="O104" s="254">
        <f t="shared" si="4"/>
        <v>0.38811593600000011</v>
      </c>
      <c r="P104" s="254">
        <f t="shared" si="5"/>
        <v>0.83318780799999925</v>
      </c>
      <c r="Q104" s="254">
        <f t="shared" si="6"/>
        <v>0.77647443199999977</v>
      </c>
      <c r="R104" s="244"/>
      <c r="S104" s="244"/>
      <c r="T104" s="244"/>
    </row>
    <row r="105" spans="1:20" x14ac:dyDescent="0.25">
      <c r="A105" s="244"/>
      <c r="B105" s="244"/>
      <c r="C105" s="244"/>
      <c r="D105" s="244"/>
      <c r="E105" s="244"/>
      <c r="F105" s="244"/>
      <c r="G105" s="244"/>
      <c r="H105" s="244"/>
      <c r="I105" s="244"/>
      <c r="J105" s="244"/>
      <c r="K105" s="255">
        <v>2</v>
      </c>
      <c r="L105" s="254">
        <f t="shared" si="1"/>
        <v>0.78170000000000039</v>
      </c>
      <c r="M105" s="254">
        <f t="shared" si="2"/>
        <v>0.61439999999999995</v>
      </c>
      <c r="N105" s="254">
        <f t="shared" si="3"/>
        <v>0.66859999999999953</v>
      </c>
      <c r="O105" s="254">
        <f t="shared" si="4"/>
        <v>0.39060000000000022</v>
      </c>
      <c r="P105" s="254">
        <f t="shared" si="5"/>
        <v>0.83939999999999926</v>
      </c>
      <c r="Q105" s="254">
        <f t="shared" si="6"/>
        <v>0.78170000000000039</v>
      </c>
      <c r="R105" s="244"/>
      <c r="S105" s="244"/>
      <c r="T105" s="244"/>
    </row>
    <row r="106" spans="1:20" x14ac:dyDescent="0.25">
      <c r="A106" s="244"/>
      <c r="B106" s="244"/>
      <c r="C106" s="244"/>
      <c r="D106" s="244"/>
      <c r="E106" s="244"/>
      <c r="F106" s="244"/>
      <c r="G106" s="244"/>
      <c r="H106" s="244"/>
      <c r="I106" s="244"/>
      <c r="J106" s="244"/>
      <c r="K106" s="255">
        <v>2.2000000000000002</v>
      </c>
      <c r="L106" s="254">
        <f t="shared" si="1"/>
        <v>0.78380428800000035</v>
      </c>
      <c r="M106" s="254">
        <f t="shared" si="2"/>
        <v>0.61620396800000077</v>
      </c>
      <c r="N106" s="254">
        <f t="shared" si="3"/>
        <v>0.67042313600000092</v>
      </c>
      <c r="O106" s="254">
        <f t="shared" si="4"/>
        <v>0.39145526400000036</v>
      </c>
      <c r="P106" s="254">
        <f t="shared" si="5"/>
        <v>0.8425014719999997</v>
      </c>
      <c r="Q106" s="254">
        <f t="shared" si="6"/>
        <v>0.78380428800000035</v>
      </c>
      <c r="R106" s="244"/>
      <c r="S106" s="244"/>
      <c r="T106" s="244"/>
    </row>
    <row r="107" spans="1:20" x14ac:dyDescent="0.25">
      <c r="A107" s="244"/>
      <c r="B107" s="244"/>
      <c r="C107" s="244"/>
      <c r="D107" s="244"/>
      <c r="E107" s="244"/>
      <c r="F107" s="244"/>
      <c r="G107" s="244"/>
      <c r="H107" s="244"/>
      <c r="I107" s="244"/>
      <c r="J107" s="244"/>
      <c r="K107" s="255">
        <v>2.2999999999999998</v>
      </c>
      <c r="L107" s="254">
        <f t="shared" si="1"/>
        <v>0.78448818200000014</v>
      </c>
      <c r="M107" s="254">
        <f t="shared" si="2"/>
        <v>0.61684379699999881</v>
      </c>
      <c r="N107" s="254">
        <f t="shared" si="3"/>
        <v>0.67139002399999981</v>
      </c>
      <c r="O107" s="254">
        <f t="shared" si="4"/>
        <v>0.39166773599999932</v>
      </c>
      <c r="P107" s="254">
        <f t="shared" si="5"/>
        <v>0.84376555799999964</v>
      </c>
      <c r="Q107" s="254">
        <f t="shared" si="6"/>
        <v>0.78448818200000014</v>
      </c>
      <c r="R107" s="244"/>
      <c r="S107" s="244"/>
      <c r="T107" s="244"/>
    </row>
    <row r="108" spans="1:20" x14ac:dyDescent="0.25">
      <c r="A108" s="244"/>
      <c r="B108" s="244"/>
      <c r="C108" s="244"/>
      <c r="D108" s="244"/>
      <c r="E108" s="244"/>
      <c r="F108" s="244"/>
      <c r="G108" s="244"/>
      <c r="H108" s="244"/>
      <c r="I108" s="244"/>
      <c r="J108" s="244"/>
      <c r="K108" s="255">
        <v>2.5</v>
      </c>
      <c r="L108" s="254">
        <f t="shared" si="1"/>
        <v>0.78811874999999987</v>
      </c>
      <c r="M108" s="254">
        <f t="shared" si="2"/>
        <v>0.61997187499999973</v>
      </c>
      <c r="N108" s="254">
        <f t="shared" si="3"/>
        <v>0.67699999999999949</v>
      </c>
      <c r="O108" s="254">
        <f t="shared" si="4"/>
        <v>0.39315000000000072</v>
      </c>
      <c r="P108" s="254">
        <f t="shared" si="5"/>
        <v>0.84898124999999891</v>
      </c>
      <c r="Q108" s="254">
        <f t="shared" si="6"/>
        <v>0.78811874999999987</v>
      </c>
      <c r="R108" s="244"/>
      <c r="S108" s="244"/>
      <c r="T108" s="244"/>
    </row>
    <row r="109" spans="1:20" x14ac:dyDescent="0.25">
      <c r="A109" s="244"/>
      <c r="B109" s="244"/>
      <c r="C109" s="244"/>
      <c r="D109" s="244"/>
      <c r="E109" s="244"/>
      <c r="F109" s="244"/>
      <c r="G109" s="244"/>
      <c r="H109" s="244"/>
      <c r="I109" s="244"/>
      <c r="J109" s="244"/>
      <c r="K109" s="255">
        <v>2.8</v>
      </c>
      <c r="L109" s="254">
        <f t="shared" si="1"/>
        <v>0.81519043199999885</v>
      </c>
      <c r="M109" s="254">
        <f t="shared" si="2"/>
        <v>0.64189107199999917</v>
      </c>
      <c r="N109" s="254">
        <f t="shared" si="3"/>
        <v>0.71302342400000096</v>
      </c>
      <c r="O109" s="254">
        <f t="shared" si="4"/>
        <v>0.4059615359999999</v>
      </c>
      <c r="P109" s="254">
        <f t="shared" si="5"/>
        <v>0.88079980800000013</v>
      </c>
      <c r="Q109" s="254">
        <f t="shared" si="6"/>
        <v>0.81519043199999885</v>
      </c>
      <c r="R109" s="244"/>
      <c r="S109" s="244"/>
      <c r="T109" s="244"/>
    </row>
    <row r="110" spans="1:20" x14ac:dyDescent="0.25">
      <c r="A110" s="244"/>
      <c r="B110" s="244"/>
      <c r="C110" s="244"/>
      <c r="D110" s="244"/>
      <c r="E110" s="244"/>
      <c r="F110" s="244"/>
      <c r="G110" s="244"/>
      <c r="H110" s="244"/>
      <c r="I110" s="244"/>
      <c r="J110" s="244"/>
      <c r="K110" s="255">
        <v>3</v>
      </c>
      <c r="L110" s="254">
        <f t="shared" si="1"/>
        <v>0.86719999999999786</v>
      </c>
      <c r="M110" s="254">
        <f t="shared" si="2"/>
        <v>0.68339999999999723</v>
      </c>
      <c r="N110" s="254">
        <f t="shared" si="3"/>
        <v>0.77750000000000152</v>
      </c>
      <c r="O110" s="254">
        <f t="shared" si="4"/>
        <v>0.43129999999999974</v>
      </c>
      <c r="P110" s="254">
        <f t="shared" si="5"/>
        <v>0.93909999999999916</v>
      </c>
      <c r="Q110" s="254">
        <f t="shared" si="6"/>
        <v>0.86719999999999786</v>
      </c>
      <c r="R110" s="244"/>
      <c r="S110" s="244"/>
      <c r="T110" s="244"/>
    </row>
    <row r="111" spans="1:20" x14ac:dyDescent="0.25">
      <c r="A111" s="244"/>
      <c r="B111" s="244"/>
      <c r="C111" s="244"/>
      <c r="D111" s="244"/>
      <c r="E111" s="244"/>
      <c r="F111" s="244"/>
      <c r="G111" s="244"/>
      <c r="H111" s="244"/>
      <c r="I111" s="244"/>
      <c r="J111" s="244"/>
      <c r="R111" s="244"/>
      <c r="S111" s="244"/>
      <c r="T111" s="244"/>
    </row>
    <row r="112" spans="1:20" x14ac:dyDescent="0.25">
      <c r="A112" s="244"/>
      <c r="B112" s="244"/>
      <c r="C112" s="244"/>
      <c r="D112" s="244"/>
      <c r="E112" s="244"/>
      <c r="F112" s="244"/>
      <c r="G112" s="244"/>
      <c r="H112" s="244"/>
      <c r="I112" s="244"/>
      <c r="J112" s="244"/>
      <c r="R112" s="244"/>
      <c r="S112" s="244"/>
      <c r="T112" s="244"/>
    </row>
    <row r="113" spans="1:20" x14ac:dyDescent="0.25">
      <c r="A113" s="244"/>
      <c r="B113" s="244"/>
      <c r="C113" s="244"/>
      <c r="D113" s="244"/>
      <c r="E113" s="244"/>
      <c r="F113" s="244"/>
      <c r="G113" s="244"/>
      <c r="H113" s="244"/>
      <c r="I113" s="244"/>
      <c r="J113" s="244"/>
      <c r="R113" s="244"/>
      <c r="S113" s="244"/>
      <c r="T113" s="244"/>
    </row>
    <row r="114" spans="1:20" x14ac:dyDescent="0.25">
      <c r="A114" s="244"/>
      <c r="B114" s="244"/>
      <c r="C114" s="244"/>
      <c r="D114" s="244"/>
      <c r="E114" s="244"/>
      <c r="F114" s="244"/>
      <c r="G114" s="244"/>
      <c r="H114" s="244"/>
      <c r="I114" s="244"/>
      <c r="J114" s="244"/>
      <c r="R114" s="244"/>
      <c r="S114" s="244"/>
      <c r="T114" s="244"/>
    </row>
    <row r="115" spans="1:20" x14ac:dyDescent="0.25">
      <c r="A115" s="244"/>
      <c r="B115" s="244"/>
      <c r="C115" s="244"/>
      <c r="D115" s="244"/>
      <c r="E115" s="244"/>
      <c r="F115" s="244"/>
      <c r="G115" s="244"/>
      <c r="H115" s="244"/>
      <c r="I115" s="244"/>
      <c r="J115" s="244"/>
      <c r="R115" s="244"/>
      <c r="S115" s="244"/>
      <c r="T115" s="244"/>
    </row>
    <row r="116" spans="1:20" x14ac:dyDescent="0.25">
      <c r="A116" s="244"/>
      <c r="B116" s="244"/>
      <c r="C116" s="244"/>
      <c r="D116" s="244"/>
      <c r="E116" s="244"/>
      <c r="F116" s="244"/>
      <c r="G116" s="244"/>
      <c r="H116" s="244"/>
      <c r="I116" s="244"/>
      <c r="J116" s="244"/>
      <c r="R116" s="244"/>
      <c r="S116" s="244"/>
      <c r="T116" s="244"/>
    </row>
    <row r="117" spans="1:20" x14ac:dyDescent="0.25">
      <c r="A117" s="244"/>
      <c r="B117" s="244"/>
      <c r="C117" s="244"/>
      <c r="D117" s="244"/>
      <c r="E117" s="244"/>
      <c r="F117" s="244"/>
      <c r="G117" s="244"/>
      <c r="H117" s="244"/>
      <c r="I117" s="244"/>
      <c r="J117" s="244"/>
      <c r="R117" s="244"/>
      <c r="S117" s="244"/>
      <c r="T117" s="244"/>
    </row>
    <row r="118" spans="1:20" x14ac:dyDescent="0.25">
      <c r="A118" s="244"/>
      <c r="B118" s="244"/>
      <c r="C118" s="244"/>
      <c r="D118" s="244"/>
      <c r="E118" s="244"/>
      <c r="F118" s="244"/>
      <c r="G118" s="244"/>
      <c r="H118" s="244"/>
      <c r="I118" s="244"/>
      <c r="J118" s="244"/>
      <c r="R118" s="244"/>
      <c r="S118" s="244"/>
      <c r="T118" s="244"/>
    </row>
    <row r="119" spans="1:20" x14ac:dyDescent="0.25">
      <c r="A119" s="244"/>
      <c r="B119" s="244"/>
      <c r="C119" s="244"/>
      <c r="D119" s="244"/>
      <c r="E119" s="244"/>
      <c r="F119" s="244"/>
      <c r="G119" s="244"/>
      <c r="H119" s="244"/>
      <c r="I119" s="244"/>
      <c r="J119" s="244"/>
      <c r="R119" s="244"/>
      <c r="S119" s="244"/>
      <c r="T119" s="244"/>
    </row>
    <row r="120" spans="1:20" x14ac:dyDescent="0.25">
      <c r="A120" s="244"/>
      <c r="B120" s="244"/>
      <c r="C120" s="244"/>
      <c r="D120" s="244"/>
      <c r="E120" s="244"/>
      <c r="F120" s="244"/>
      <c r="G120" s="244"/>
      <c r="H120" s="244"/>
      <c r="I120" s="244"/>
      <c r="J120" s="244"/>
      <c r="R120" s="244"/>
      <c r="S120" s="244"/>
      <c r="T120" s="244"/>
    </row>
    <row r="121" spans="1:20" x14ac:dyDescent="0.25">
      <c r="A121" s="244"/>
      <c r="B121" s="244"/>
      <c r="C121" s="244"/>
      <c r="D121" s="244"/>
      <c r="E121" s="244"/>
      <c r="F121" s="244"/>
      <c r="G121" s="244"/>
      <c r="H121" s="244"/>
      <c r="I121" s="244"/>
      <c r="J121" s="244"/>
      <c r="R121" s="244"/>
      <c r="S121" s="244"/>
      <c r="T121" s="244"/>
    </row>
    <row r="122" spans="1:20" x14ac:dyDescent="0.25">
      <c r="A122" s="244"/>
      <c r="B122" s="244"/>
      <c r="C122" s="244"/>
      <c r="D122" s="244"/>
      <c r="E122" s="244"/>
      <c r="F122" s="244"/>
      <c r="G122" s="244"/>
      <c r="H122" s="244"/>
      <c r="I122" s="244"/>
      <c r="J122" s="244"/>
      <c r="R122" s="244"/>
      <c r="S122" s="244"/>
      <c r="T122" s="244"/>
    </row>
    <row r="123" spans="1:20" x14ac:dyDescent="0.25">
      <c r="A123" s="244"/>
      <c r="B123" s="244"/>
      <c r="C123" s="244"/>
      <c r="D123" s="244"/>
      <c r="E123" s="244"/>
      <c r="F123" s="244"/>
      <c r="G123" s="244"/>
      <c r="H123" s="244"/>
      <c r="I123" s="244"/>
      <c r="J123" s="244"/>
      <c r="R123" s="244"/>
      <c r="S123" s="244"/>
      <c r="T123" s="244"/>
    </row>
    <row r="124" spans="1:20" x14ac:dyDescent="0.25">
      <c r="A124" s="244"/>
      <c r="B124" s="244"/>
      <c r="C124" s="244"/>
      <c r="D124" s="244"/>
      <c r="E124" s="244"/>
      <c r="F124" s="244"/>
      <c r="G124" s="244"/>
      <c r="H124" s="244"/>
      <c r="I124" s="244"/>
      <c r="J124" s="244"/>
      <c r="R124" s="244"/>
      <c r="S124" s="244"/>
      <c r="T124" s="244"/>
    </row>
    <row r="125" spans="1:20" x14ac:dyDescent="0.25">
      <c r="A125" s="244"/>
      <c r="B125" s="244"/>
      <c r="C125" s="244"/>
      <c r="D125" s="244"/>
      <c r="E125" s="244"/>
      <c r="F125" s="244"/>
      <c r="G125" s="244"/>
      <c r="H125" s="244"/>
      <c r="I125" s="244"/>
      <c r="J125" s="244"/>
      <c r="R125" s="244"/>
      <c r="S125" s="244"/>
      <c r="T125" s="244"/>
    </row>
    <row r="126" spans="1:20" x14ac:dyDescent="0.25">
      <c r="A126" s="244"/>
      <c r="B126" s="244"/>
      <c r="C126" s="244"/>
      <c r="D126" s="244"/>
      <c r="E126" s="244"/>
      <c r="F126" s="244"/>
      <c r="G126" s="244"/>
      <c r="H126" s="244"/>
      <c r="I126" s="244"/>
      <c r="J126" s="244"/>
      <c r="R126" s="244"/>
      <c r="S126" s="244"/>
      <c r="T126" s="244"/>
    </row>
    <row r="127" spans="1:20" x14ac:dyDescent="0.25">
      <c r="A127" s="244"/>
      <c r="B127" s="244"/>
      <c r="C127" s="244"/>
      <c r="D127" s="244"/>
      <c r="E127" s="244"/>
      <c r="F127" s="244"/>
      <c r="G127" s="244"/>
      <c r="H127" s="244"/>
      <c r="I127" s="244"/>
      <c r="J127" s="244"/>
      <c r="R127" s="244"/>
      <c r="S127" s="244"/>
      <c r="T127" s="244"/>
    </row>
    <row r="128" spans="1:20" x14ac:dyDescent="0.25">
      <c r="A128" s="244"/>
      <c r="B128" s="244"/>
      <c r="C128" s="244"/>
      <c r="D128" s="244"/>
      <c r="E128" s="244"/>
      <c r="F128" s="244"/>
      <c r="G128" s="244"/>
      <c r="H128" s="244"/>
      <c r="I128" s="244"/>
      <c r="J128" s="244"/>
      <c r="R128" s="244"/>
      <c r="S128" s="244"/>
      <c r="T128" s="244"/>
    </row>
    <row r="129" spans="1:20" x14ac:dyDescent="0.25">
      <c r="A129" s="244"/>
      <c r="B129" s="244"/>
      <c r="C129" s="244"/>
      <c r="D129" s="244"/>
      <c r="E129" s="244"/>
      <c r="F129" s="244"/>
      <c r="G129" s="244"/>
      <c r="H129" s="244"/>
      <c r="I129" s="244"/>
      <c r="J129" s="244"/>
      <c r="R129" s="244"/>
      <c r="S129" s="244"/>
      <c r="T129" s="244"/>
    </row>
    <row r="130" spans="1:20" x14ac:dyDescent="0.25">
      <c r="A130" s="244"/>
      <c r="B130" s="244"/>
      <c r="C130" s="244"/>
      <c r="D130" s="244"/>
      <c r="E130" s="244"/>
      <c r="F130" s="244"/>
      <c r="G130" s="244"/>
      <c r="H130" s="244"/>
      <c r="I130" s="244"/>
      <c r="J130" s="244"/>
      <c r="R130" s="244"/>
      <c r="S130" s="244"/>
      <c r="T130" s="244"/>
    </row>
    <row r="131" spans="1:20" x14ac:dyDescent="0.25">
      <c r="A131" s="244"/>
      <c r="B131" s="244"/>
      <c r="C131" s="244"/>
      <c r="D131" s="244"/>
      <c r="E131" s="244"/>
      <c r="F131" s="244"/>
      <c r="G131" s="244"/>
      <c r="H131" s="244"/>
      <c r="I131" s="244"/>
      <c r="J131" s="244"/>
      <c r="R131" s="244"/>
      <c r="S131" s="244"/>
      <c r="T131" s="244"/>
    </row>
    <row r="132" spans="1:20" x14ac:dyDescent="0.25">
      <c r="A132" s="244"/>
      <c r="B132" s="244"/>
      <c r="C132" s="244"/>
      <c r="D132" s="244"/>
      <c r="E132" s="244"/>
      <c r="F132" s="244"/>
      <c r="G132" s="244"/>
      <c r="H132" s="244"/>
      <c r="I132" s="244"/>
      <c r="J132" s="244"/>
      <c r="R132" s="244"/>
      <c r="S132" s="244"/>
      <c r="T132" s="244"/>
    </row>
    <row r="133" spans="1:20" x14ac:dyDescent="0.25">
      <c r="A133" s="244"/>
      <c r="B133" s="244"/>
      <c r="C133" s="244"/>
      <c r="D133" s="244"/>
      <c r="E133" s="244"/>
      <c r="F133" s="244"/>
      <c r="G133" s="244"/>
      <c r="H133" s="244"/>
      <c r="I133" s="244"/>
      <c r="J133" s="244"/>
      <c r="R133" s="244"/>
      <c r="S133" s="244"/>
      <c r="T133" s="244"/>
    </row>
    <row r="134" spans="1:20" x14ac:dyDescent="0.25">
      <c r="A134" s="244"/>
      <c r="B134" s="244"/>
      <c r="C134" s="244"/>
      <c r="D134" s="244"/>
      <c r="E134" s="244"/>
      <c r="F134" s="244"/>
      <c r="G134" s="244"/>
      <c r="H134" s="244"/>
      <c r="I134" s="244"/>
      <c r="J134" s="244"/>
      <c r="R134" s="244"/>
      <c r="S134" s="244"/>
      <c r="T134" s="244"/>
    </row>
    <row r="135" spans="1:20" x14ac:dyDescent="0.25">
      <c r="A135" s="244"/>
      <c r="B135" s="244"/>
      <c r="C135" s="244"/>
      <c r="D135" s="244"/>
      <c r="E135" s="244"/>
      <c r="F135" s="244"/>
      <c r="G135" s="244"/>
      <c r="H135" s="244"/>
      <c r="I135" s="244"/>
      <c r="J135" s="244"/>
      <c r="R135" s="244"/>
      <c r="S135" s="244"/>
      <c r="T135" s="244"/>
    </row>
    <row r="136" spans="1:20" x14ac:dyDescent="0.25">
      <c r="A136" s="244"/>
      <c r="B136" s="244"/>
      <c r="C136" s="244"/>
      <c r="D136" s="244"/>
      <c r="E136" s="244"/>
      <c r="F136" s="244"/>
      <c r="G136" s="244"/>
      <c r="H136" s="244"/>
      <c r="I136" s="244"/>
      <c r="J136" s="244"/>
      <c r="R136" s="244"/>
      <c r="S136" s="244"/>
      <c r="T136" s="244"/>
    </row>
    <row r="137" spans="1:20" x14ac:dyDescent="0.25">
      <c r="A137" s="244"/>
      <c r="B137" s="244"/>
      <c r="C137" s="244"/>
      <c r="D137" s="244"/>
      <c r="E137" s="244"/>
      <c r="F137" s="244"/>
      <c r="G137" s="244"/>
      <c r="H137" s="244"/>
      <c r="I137" s="244"/>
      <c r="J137" s="244"/>
      <c r="R137" s="244"/>
      <c r="S137" s="244"/>
      <c r="T137" s="244"/>
    </row>
    <row r="138" spans="1:20" x14ac:dyDescent="0.25">
      <c r="A138" s="244"/>
      <c r="B138" s="244"/>
      <c r="C138" s="244"/>
      <c r="D138" s="244"/>
      <c r="E138" s="244"/>
      <c r="F138" s="244"/>
      <c r="G138" s="244"/>
      <c r="H138" s="244"/>
      <c r="I138" s="244"/>
      <c r="J138" s="244"/>
      <c r="R138" s="244"/>
      <c r="S138" s="244"/>
      <c r="T138" s="244"/>
    </row>
    <row r="139" spans="1:20" x14ac:dyDescent="0.25">
      <c r="A139" s="244"/>
      <c r="B139" s="244"/>
      <c r="C139" s="244"/>
      <c r="D139" s="244"/>
      <c r="E139" s="244"/>
      <c r="F139" s="244"/>
      <c r="G139" s="244"/>
      <c r="H139" s="244"/>
      <c r="I139" s="244"/>
      <c r="J139" s="244"/>
      <c r="R139" s="244"/>
      <c r="S139" s="244"/>
      <c r="T139" s="244"/>
    </row>
    <row r="140" spans="1:20" x14ac:dyDescent="0.25">
      <c r="A140" s="244"/>
      <c r="B140" s="244"/>
      <c r="C140" s="244"/>
      <c r="D140" s="244"/>
      <c r="E140" s="244"/>
      <c r="F140" s="244"/>
      <c r="G140" s="244"/>
      <c r="H140" s="244"/>
      <c r="I140" s="244"/>
      <c r="J140" s="244"/>
      <c r="R140" s="244"/>
      <c r="S140" s="244"/>
      <c r="T140" s="244"/>
    </row>
    <row r="141" spans="1:20" x14ac:dyDescent="0.25">
      <c r="A141" s="244"/>
      <c r="B141" s="244"/>
      <c r="C141" s="244"/>
      <c r="D141" s="244"/>
      <c r="E141" s="244"/>
      <c r="F141" s="244"/>
      <c r="G141" s="244"/>
      <c r="H141" s="244"/>
      <c r="I141" s="244"/>
      <c r="J141" s="244"/>
      <c r="R141" s="244"/>
      <c r="S141" s="244"/>
      <c r="T141" s="244"/>
    </row>
    <row r="142" spans="1:20" x14ac:dyDescent="0.25">
      <c r="A142" s="244"/>
      <c r="B142" s="244"/>
      <c r="C142" s="244"/>
      <c r="D142" s="244"/>
      <c r="E142" s="244"/>
      <c r="F142" s="244"/>
      <c r="G142" s="244"/>
      <c r="H142" s="244"/>
      <c r="I142" s="244"/>
      <c r="J142" s="244"/>
      <c r="R142" s="244"/>
      <c r="S142" s="244"/>
      <c r="T142" s="244"/>
    </row>
    <row r="143" spans="1:20" x14ac:dyDescent="0.25">
      <c r="A143" s="244"/>
      <c r="B143" s="244"/>
      <c r="C143" s="244"/>
      <c r="D143" s="244"/>
      <c r="E143" s="244"/>
      <c r="F143" s="244"/>
      <c r="G143" s="244"/>
      <c r="H143" s="244"/>
      <c r="I143" s="244"/>
      <c r="J143" s="244"/>
      <c r="R143" s="244"/>
      <c r="S143" s="244"/>
      <c r="T143" s="244"/>
    </row>
    <row r="144" spans="1:20" x14ac:dyDescent="0.25">
      <c r="A144" s="244"/>
      <c r="B144" s="244"/>
      <c r="C144" s="244"/>
      <c r="D144" s="244"/>
      <c r="E144" s="244"/>
      <c r="F144" s="244"/>
      <c r="G144" s="244"/>
      <c r="H144" s="244"/>
      <c r="I144" s="244"/>
      <c r="J144" s="244"/>
      <c r="R144" s="244"/>
      <c r="S144" s="244"/>
      <c r="T144" s="244"/>
    </row>
    <row r="145" spans="1:20" x14ac:dyDescent="0.25">
      <c r="A145" s="244"/>
      <c r="B145" s="244"/>
      <c r="C145" s="244"/>
      <c r="D145" s="244"/>
      <c r="E145" s="244"/>
      <c r="F145" s="244"/>
      <c r="G145" s="244"/>
      <c r="H145" s="244"/>
      <c r="I145" s="244"/>
      <c r="J145" s="244"/>
      <c r="R145" s="244"/>
      <c r="S145" s="244"/>
      <c r="T145" s="244"/>
    </row>
    <row r="146" spans="1:20" x14ac:dyDescent="0.25">
      <c r="A146" s="244"/>
      <c r="B146" s="244"/>
      <c r="C146" s="244"/>
      <c r="D146" s="244"/>
      <c r="E146" s="244"/>
      <c r="F146" s="244"/>
      <c r="G146" s="244"/>
      <c r="H146" s="244"/>
      <c r="I146" s="244"/>
      <c r="J146" s="244"/>
      <c r="R146" s="244"/>
      <c r="S146" s="244"/>
      <c r="T146" s="244"/>
    </row>
    <row r="147" spans="1:20" x14ac:dyDescent="0.25">
      <c r="A147" s="244"/>
      <c r="B147" s="244"/>
      <c r="C147" s="244"/>
      <c r="D147" s="244"/>
      <c r="E147" s="244"/>
      <c r="F147" s="244"/>
      <c r="G147" s="244"/>
      <c r="H147" s="244"/>
      <c r="I147" s="244"/>
      <c r="J147" s="244"/>
      <c r="R147" s="244"/>
      <c r="S147" s="244"/>
      <c r="T147" s="244"/>
    </row>
    <row r="148" spans="1:20" x14ac:dyDescent="0.25">
      <c r="A148" s="244"/>
      <c r="B148" s="244"/>
      <c r="C148" s="244"/>
      <c r="D148" s="244"/>
      <c r="E148" s="244"/>
      <c r="F148" s="244"/>
      <c r="G148" s="244"/>
      <c r="H148" s="244"/>
      <c r="I148" s="244"/>
      <c r="J148" s="244"/>
      <c r="R148" s="244"/>
      <c r="S148" s="244"/>
      <c r="T148" s="244"/>
    </row>
    <row r="149" spans="1:20" x14ac:dyDescent="0.25">
      <c r="A149" s="244"/>
      <c r="B149" s="244"/>
      <c r="C149" s="244"/>
      <c r="D149" s="244"/>
      <c r="E149" s="244"/>
      <c r="F149" s="244"/>
      <c r="G149" s="244"/>
      <c r="H149" s="244"/>
      <c r="I149" s="244"/>
      <c r="J149" s="244"/>
      <c r="R149" s="244"/>
      <c r="S149" s="244"/>
      <c r="T149" s="244"/>
    </row>
    <row r="150" spans="1:20" x14ac:dyDescent="0.25">
      <c r="A150" s="244" t="s">
        <v>251</v>
      </c>
      <c r="B150" s="244"/>
      <c r="C150" s="244"/>
      <c r="D150" s="244"/>
      <c r="E150" s="244"/>
      <c r="F150" s="244"/>
      <c r="G150" s="244"/>
      <c r="H150" s="244"/>
      <c r="I150" s="244"/>
      <c r="J150" s="244"/>
      <c r="R150" s="244"/>
      <c r="S150" s="244"/>
      <c r="T150" s="244"/>
    </row>
    <row r="151" spans="1:20" x14ac:dyDescent="0.25">
      <c r="A151" s="256" t="s">
        <v>253</v>
      </c>
      <c r="B151" s="244"/>
      <c r="C151" s="244"/>
      <c r="D151" s="244"/>
      <c r="E151" s="244"/>
      <c r="F151" s="244"/>
      <c r="G151" s="244"/>
      <c r="H151" s="244"/>
      <c r="I151" s="244"/>
      <c r="J151" s="244"/>
      <c r="R151" s="244"/>
      <c r="S151" s="244"/>
      <c r="T151" s="244"/>
    </row>
    <row r="152" spans="1:20" x14ac:dyDescent="0.25">
      <c r="A152" s="244" t="s">
        <v>254</v>
      </c>
      <c r="B152" s="244"/>
      <c r="C152" s="244"/>
      <c r="D152" s="244"/>
      <c r="E152" s="244"/>
      <c r="F152" s="244"/>
      <c r="G152" s="244"/>
      <c r="H152" s="244"/>
      <c r="I152" s="244"/>
      <c r="J152" s="244"/>
      <c r="R152" s="244"/>
      <c r="S152" s="244"/>
      <c r="T152" s="244"/>
    </row>
    <row r="153" spans="1:20" x14ac:dyDescent="0.25">
      <c r="A153" s="244" t="s">
        <v>255</v>
      </c>
      <c r="B153" s="244"/>
      <c r="C153" s="244"/>
      <c r="D153" s="244"/>
      <c r="E153" s="244"/>
      <c r="F153" s="244"/>
      <c r="G153" s="244"/>
      <c r="H153" s="244"/>
      <c r="I153" s="244"/>
      <c r="J153" s="244"/>
      <c r="R153" s="244"/>
      <c r="S153" s="244"/>
      <c r="T153" s="244"/>
    </row>
    <row r="154" spans="1:20" x14ac:dyDescent="0.25">
      <c r="A154" s="244" t="s">
        <v>256</v>
      </c>
      <c r="B154" s="244"/>
      <c r="C154" s="244"/>
      <c r="D154" s="244"/>
      <c r="E154" s="244"/>
      <c r="F154" s="244"/>
      <c r="G154" s="244"/>
      <c r="H154" s="244"/>
      <c r="I154" s="244"/>
      <c r="J154" s="244"/>
      <c r="R154" s="244"/>
      <c r="S154" s="244"/>
      <c r="T154" s="244"/>
    </row>
    <row r="155" spans="1:20" x14ac:dyDescent="0.25">
      <c r="A155" s="244"/>
      <c r="B155" s="244"/>
      <c r="C155" s="244"/>
      <c r="D155" s="244"/>
      <c r="E155" s="244"/>
      <c r="F155" s="244"/>
      <c r="G155" s="244"/>
      <c r="H155" s="244"/>
      <c r="I155" s="244"/>
      <c r="J155" s="244"/>
      <c r="R155" s="244"/>
      <c r="S155" s="244"/>
      <c r="T155" s="244"/>
    </row>
    <row r="156" spans="1:20" x14ac:dyDescent="0.25">
      <c r="A156" s="244"/>
      <c r="B156" s="244"/>
      <c r="C156" s="244"/>
      <c r="D156" s="244"/>
      <c r="E156" s="244"/>
      <c r="F156" s="244"/>
      <c r="G156" s="244"/>
      <c r="H156" s="244"/>
      <c r="I156" s="244"/>
      <c r="J156" s="244"/>
      <c r="R156" s="244"/>
      <c r="S156" s="244"/>
      <c r="T156" s="244"/>
    </row>
    <row r="157" spans="1:20" ht="26.25" x14ac:dyDescent="0.4">
      <c r="A157" s="516" t="s">
        <v>611</v>
      </c>
      <c r="B157" s="244"/>
      <c r="C157" s="244"/>
      <c r="D157" s="244"/>
      <c r="E157" s="244"/>
      <c r="F157" s="244"/>
      <c r="G157" s="244"/>
      <c r="H157" s="244"/>
      <c r="I157" s="244"/>
      <c r="J157" s="244"/>
      <c r="R157" s="244"/>
      <c r="S157" s="244"/>
      <c r="T157" s="244"/>
    </row>
    <row r="158" spans="1:20" x14ac:dyDescent="0.25">
      <c r="A158" s="244"/>
      <c r="B158" s="244"/>
      <c r="C158" s="244"/>
      <c r="D158" s="244"/>
      <c r="E158" s="244"/>
      <c r="F158" s="244"/>
      <c r="G158" s="244"/>
      <c r="H158" s="244"/>
      <c r="I158" s="244"/>
      <c r="J158" s="244"/>
      <c r="R158" s="244"/>
      <c r="S158" s="244"/>
      <c r="T158" s="244"/>
    </row>
    <row r="159" spans="1:20" x14ac:dyDescent="0.25">
      <c r="A159" s="595" t="s">
        <v>581</v>
      </c>
      <c r="B159" s="595" t="s">
        <v>702</v>
      </c>
      <c r="C159" s="517" t="s">
        <v>668</v>
      </c>
      <c r="D159" s="517" t="s">
        <v>669</v>
      </c>
      <c r="E159" s="517" t="s">
        <v>670</v>
      </c>
      <c r="F159" s="244"/>
      <c r="G159" s="244"/>
      <c r="H159" s="244"/>
      <c r="I159" s="244"/>
      <c r="J159" s="244"/>
      <c r="R159" s="244"/>
      <c r="S159" s="244"/>
      <c r="T159" s="244"/>
    </row>
    <row r="160" spans="1:20" x14ac:dyDescent="0.25">
      <c r="A160" s="593" t="s">
        <v>582</v>
      </c>
      <c r="B160" s="593"/>
      <c r="C160" s="244">
        <v>0.8</v>
      </c>
      <c r="D160" s="244">
        <v>0.75</v>
      </c>
      <c r="E160" s="244">
        <v>0.70000000000000007</v>
      </c>
      <c r="F160" s="244"/>
      <c r="G160" s="535"/>
      <c r="H160" s="517" t="s">
        <v>647</v>
      </c>
      <c r="I160" s="244"/>
      <c r="J160" s="244"/>
      <c r="S160" s="244"/>
      <c r="T160" s="244"/>
    </row>
    <row r="161" spans="1:20" x14ac:dyDescent="0.25">
      <c r="A161" s="593" t="s">
        <v>583</v>
      </c>
      <c r="B161" s="593"/>
      <c r="C161" s="244">
        <v>0.9</v>
      </c>
      <c r="D161" s="244">
        <v>0.85</v>
      </c>
      <c r="E161" s="244">
        <v>0.8</v>
      </c>
      <c r="F161" s="244"/>
      <c r="G161" s="244"/>
      <c r="H161" s="244"/>
      <c r="I161" s="244"/>
      <c r="J161" s="244"/>
      <c r="S161" s="244"/>
      <c r="T161" s="244"/>
    </row>
    <row r="162" spans="1:20" x14ac:dyDescent="0.25">
      <c r="A162" s="593" t="s">
        <v>584</v>
      </c>
      <c r="B162" s="593"/>
      <c r="C162" s="244">
        <v>0.55000000000000004</v>
      </c>
      <c r="D162" s="244">
        <v>0.45</v>
      </c>
      <c r="E162" s="244">
        <v>0.25</v>
      </c>
      <c r="F162" s="244"/>
      <c r="G162" s="244"/>
      <c r="H162" s="517" t="s">
        <v>638</v>
      </c>
      <c r="I162" s="244"/>
      <c r="J162" s="244"/>
      <c r="S162" s="244"/>
      <c r="T162" s="244"/>
    </row>
    <row r="163" spans="1:20" x14ac:dyDescent="0.25">
      <c r="A163" s="593" t="s">
        <v>585</v>
      </c>
      <c r="B163" s="593"/>
      <c r="C163" s="244">
        <v>0.8</v>
      </c>
      <c r="D163" s="244">
        <v>0.75</v>
      </c>
      <c r="E163" s="244">
        <v>0.70000000000000007</v>
      </c>
      <c r="F163" s="244"/>
      <c r="G163" s="533"/>
      <c r="H163" s="244" t="s">
        <v>637</v>
      </c>
      <c r="I163" s="244"/>
      <c r="J163" s="244"/>
      <c r="S163" s="244"/>
      <c r="T163" s="244"/>
    </row>
    <row r="164" spans="1:20" x14ac:dyDescent="0.25">
      <c r="A164" s="594" t="s">
        <v>586</v>
      </c>
      <c r="B164" s="594"/>
      <c r="C164" s="244">
        <v>0.1</v>
      </c>
      <c r="D164" s="244">
        <v>0.1</v>
      </c>
      <c r="E164" s="244">
        <v>0.05</v>
      </c>
      <c r="F164" s="244"/>
      <c r="G164" s="532"/>
      <c r="H164" s="244" t="s">
        <v>731</v>
      </c>
      <c r="I164" s="244"/>
      <c r="J164" s="244"/>
      <c r="S164" s="244"/>
      <c r="T164" s="244"/>
    </row>
    <row r="165" spans="1:20" x14ac:dyDescent="0.25">
      <c r="A165" s="532" t="s">
        <v>587</v>
      </c>
      <c r="B165" s="532"/>
      <c r="C165" s="244">
        <v>0.6</v>
      </c>
      <c r="D165" s="244">
        <v>0.2</v>
      </c>
      <c r="E165" s="244">
        <v>0.2</v>
      </c>
      <c r="F165" s="244"/>
      <c r="G165" s="536"/>
      <c r="H165" s="244" t="s">
        <v>639</v>
      </c>
      <c r="I165" s="244"/>
      <c r="J165" s="244"/>
      <c r="S165" s="244"/>
      <c r="T165" s="244"/>
    </row>
    <row r="166" spans="1:20" x14ac:dyDescent="0.25">
      <c r="A166" s="593" t="s">
        <v>666</v>
      </c>
      <c r="B166" s="593"/>
      <c r="C166" s="244">
        <v>0.56000000000000005</v>
      </c>
      <c r="D166" s="244">
        <v>0.54</v>
      </c>
      <c r="E166" s="244">
        <v>0.2</v>
      </c>
      <c r="F166" s="244"/>
      <c r="I166" s="244"/>
      <c r="J166" s="244"/>
      <c r="S166" s="244"/>
      <c r="T166" s="244"/>
    </row>
    <row r="167" spans="1:20" x14ac:dyDescent="0.25">
      <c r="A167" s="593" t="s">
        <v>667</v>
      </c>
      <c r="B167" s="593"/>
      <c r="C167" s="244">
        <v>0.22</v>
      </c>
      <c r="D167" s="244">
        <v>0</v>
      </c>
      <c r="E167" s="244">
        <v>0</v>
      </c>
      <c r="F167" s="244"/>
      <c r="G167" s="244"/>
      <c r="H167" s="244"/>
      <c r="I167" s="244"/>
      <c r="J167" s="244"/>
      <c r="S167" s="244"/>
      <c r="T167" s="244"/>
    </row>
    <row r="168" spans="1:20" x14ac:dyDescent="0.25">
      <c r="A168" s="593" t="s">
        <v>588</v>
      </c>
      <c r="B168" s="593"/>
      <c r="C168" s="244">
        <v>0.6</v>
      </c>
      <c r="D168" s="244">
        <v>0.6</v>
      </c>
      <c r="E168" s="244">
        <v>0.4</v>
      </c>
      <c r="F168" s="244"/>
      <c r="G168" s="244"/>
      <c r="H168" s="244"/>
      <c r="I168" s="244"/>
      <c r="J168" s="244"/>
      <c r="S168" s="244"/>
      <c r="T168" s="244"/>
    </row>
    <row r="169" spans="1:20" x14ac:dyDescent="0.25">
      <c r="A169" s="593" t="s">
        <v>589</v>
      </c>
      <c r="B169" s="593"/>
      <c r="C169" s="244">
        <v>0.95000000000000007</v>
      </c>
      <c r="D169" s="244">
        <v>0.85</v>
      </c>
      <c r="E169" s="244">
        <v>0.85</v>
      </c>
      <c r="F169" s="244"/>
      <c r="G169" s="244"/>
      <c r="H169" s="244"/>
      <c r="I169" s="244"/>
      <c r="J169" s="244"/>
      <c r="S169" s="244"/>
      <c r="T169" s="244"/>
    </row>
    <row r="170" spans="1:20" x14ac:dyDescent="0.25">
      <c r="A170" s="593" t="s">
        <v>590</v>
      </c>
      <c r="B170" s="593"/>
      <c r="C170" s="244">
        <v>0.95000000000000007</v>
      </c>
      <c r="D170" s="244">
        <v>0.85</v>
      </c>
      <c r="E170" s="244">
        <v>0.8</v>
      </c>
      <c r="F170" s="244"/>
      <c r="G170" s="244"/>
      <c r="H170" s="244"/>
      <c r="I170" s="244"/>
      <c r="J170" s="244"/>
      <c r="S170" s="244"/>
      <c r="T170" s="244"/>
    </row>
    <row r="171" spans="1:20" x14ac:dyDescent="0.25">
      <c r="A171" s="593" t="s">
        <v>591</v>
      </c>
      <c r="B171" s="593"/>
      <c r="C171" s="244">
        <v>0.70000000000000007</v>
      </c>
      <c r="D171" s="244">
        <v>0.5</v>
      </c>
      <c r="E171" s="244">
        <v>0.45</v>
      </c>
      <c r="F171" s="244"/>
      <c r="G171" s="244"/>
      <c r="H171" s="244"/>
      <c r="I171" s="244"/>
      <c r="J171" s="244"/>
      <c r="S171" s="244"/>
      <c r="T171" s="244"/>
    </row>
    <row r="172" spans="1:20" x14ac:dyDescent="0.25">
      <c r="A172" s="593" t="s">
        <v>592</v>
      </c>
      <c r="B172" s="593"/>
      <c r="C172" s="244">
        <v>0.85</v>
      </c>
      <c r="D172" s="244">
        <v>0.8</v>
      </c>
      <c r="E172" s="244">
        <v>0.75</v>
      </c>
      <c r="F172" s="244"/>
      <c r="G172" s="244"/>
      <c r="H172" s="244"/>
      <c r="I172" s="244"/>
      <c r="J172" s="244"/>
      <c r="S172" s="244"/>
      <c r="T172" s="244"/>
    </row>
    <row r="173" spans="1:20" x14ac:dyDescent="0.25">
      <c r="A173" s="593" t="s">
        <v>593</v>
      </c>
      <c r="B173" s="593"/>
      <c r="C173" s="244">
        <v>0.70000000000000007</v>
      </c>
      <c r="D173" s="244">
        <v>0.5</v>
      </c>
      <c r="E173" s="244">
        <v>0.5</v>
      </c>
      <c r="F173" s="244"/>
      <c r="G173" s="244"/>
      <c r="H173" s="244"/>
      <c r="I173" s="244"/>
      <c r="J173" s="244"/>
      <c r="S173" s="244"/>
      <c r="T173" s="244"/>
    </row>
    <row r="174" spans="1:20" x14ac:dyDescent="0.25">
      <c r="A174" s="593" t="s">
        <v>594</v>
      </c>
      <c r="B174" s="593"/>
      <c r="C174" s="244">
        <v>0.85</v>
      </c>
      <c r="D174" s="244">
        <v>0.8</v>
      </c>
      <c r="E174" s="244">
        <v>0.8</v>
      </c>
      <c r="F174" s="244"/>
      <c r="G174" s="244"/>
      <c r="H174" s="244"/>
      <c r="I174" s="244"/>
      <c r="J174" s="244"/>
      <c r="S174" s="244"/>
      <c r="T174" s="244"/>
    </row>
    <row r="175" spans="1:20" x14ac:dyDescent="0.25">
      <c r="A175" s="593" t="s">
        <v>595</v>
      </c>
      <c r="B175" s="593"/>
      <c r="C175" s="244">
        <v>0.55000000000000004</v>
      </c>
      <c r="D175" s="244">
        <v>0.2</v>
      </c>
      <c r="E175" s="244">
        <v>0.1</v>
      </c>
      <c r="F175" s="244"/>
      <c r="G175" s="244"/>
      <c r="H175" s="244"/>
      <c r="I175" s="244"/>
      <c r="J175" s="244"/>
      <c r="S175" s="244"/>
      <c r="T175" s="244"/>
    </row>
    <row r="176" spans="1:20" x14ac:dyDescent="0.25">
      <c r="A176" s="593" t="s">
        <v>596</v>
      </c>
      <c r="B176" s="593"/>
      <c r="C176" s="244">
        <v>0.55000000000000004</v>
      </c>
      <c r="D176" s="244">
        <v>0.2</v>
      </c>
      <c r="E176" s="244">
        <v>0.2</v>
      </c>
      <c r="F176" s="244"/>
      <c r="G176" s="244"/>
      <c r="H176" s="244"/>
      <c r="I176" s="244"/>
      <c r="J176" s="244"/>
      <c r="S176" s="244"/>
      <c r="T176" s="244"/>
    </row>
    <row r="177" spans="1:20" x14ac:dyDescent="0.25">
      <c r="A177" s="593" t="s">
        <v>597</v>
      </c>
      <c r="B177" s="593"/>
      <c r="C177" s="244">
        <v>0.70000000000000007</v>
      </c>
      <c r="D177" s="244">
        <v>0.45</v>
      </c>
      <c r="E177" s="244">
        <v>0.45</v>
      </c>
      <c r="F177" s="244"/>
      <c r="G177" s="244"/>
      <c r="H177" s="244"/>
      <c r="I177" s="244"/>
      <c r="J177" s="244"/>
      <c r="S177" s="244"/>
      <c r="T177" s="244"/>
    </row>
    <row r="178" spans="1:20" x14ac:dyDescent="0.25">
      <c r="A178" s="593" t="s">
        <v>598</v>
      </c>
      <c r="B178" s="593"/>
      <c r="C178" s="244">
        <v>0.5</v>
      </c>
      <c r="D178" s="244">
        <v>0.1</v>
      </c>
      <c r="E178" s="244">
        <v>0.1</v>
      </c>
      <c r="F178" s="244"/>
      <c r="G178" s="244"/>
      <c r="H178" s="244"/>
      <c r="I178" s="244"/>
      <c r="J178" s="244"/>
      <c r="S178" s="244"/>
      <c r="T178" s="244"/>
    </row>
    <row r="179" spans="1:20" x14ac:dyDescent="0.25">
      <c r="A179" s="594" t="s">
        <v>599</v>
      </c>
      <c r="B179" s="594"/>
      <c r="C179" s="244">
        <v>0.6</v>
      </c>
      <c r="D179" s="244">
        <v>0.45</v>
      </c>
      <c r="E179" s="244">
        <v>0.2</v>
      </c>
      <c r="F179" s="244"/>
      <c r="G179" s="244"/>
      <c r="H179" s="244"/>
      <c r="I179" s="244"/>
      <c r="J179" s="244"/>
      <c r="S179" s="244"/>
      <c r="T179" s="244"/>
    </row>
    <row r="180" spans="1:20" x14ac:dyDescent="0.25">
      <c r="A180" s="599" t="s">
        <v>644</v>
      </c>
      <c r="B180" s="599"/>
      <c r="C180" s="541">
        <v>0.5</v>
      </c>
      <c r="D180" s="541">
        <v>0.5</v>
      </c>
      <c r="E180" s="541">
        <v>0.25</v>
      </c>
      <c r="F180" s="244"/>
      <c r="G180" s="244"/>
      <c r="H180" s="244"/>
      <c r="I180" s="244"/>
      <c r="J180" s="244"/>
      <c r="S180" s="244"/>
      <c r="T180" s="244"/>
    </row>
    <row r="181" spans="1:20" x14ac:dyDescent="0.25">
      <c r="A181" s="599" t="s">
        <v>676</v>
      </c>
      <c r="B181" s="599"/>
      <c r="C181" s="244">
        <v>0.21</v>
      </c>
      <c r="D181" s="244">
        <v>0.1</v>
      </c>
      <c r="E181" s="244">
        <v>0.04</v>
      </c>
      <c r="F181" s="244"/>
      <c r="G181" s="244"/>
      <c r="H181" s="244"/>
      <c r="I181" s="244"/>
      <c r="J181" s="244"/>
      <c r="S181" s="244"/>
      <c r="T181" s="244"/>
    </row>
    <row r="182" spans="1:20" x14ac:dyDescent="0.25">
      <c r="A182" s="599" t="s">
        <v>677</v>
      </c>
      <c r="B182" s="599"/>
      <c r="C182" s="244">
        <v>0.16</v>
      </c>
      <c r="D182" s="244">
        <v>0.08</v>
      </c>
      <c r="E182" s="244">
        <v>0.03</v>
      </c>
      <c r="F182" s="244"/>
      <c r="G182" s="244"/>
      <c r="H182" s="244"/>
      <c r="I182" s="244"/>
      <c r="J182" s="244"/>
      <c r="S182" s="244"/>
      <c r="T182" s="244"/>
    </row>
    <row r="183" spans="1:20" x14ac:dyDescent="0.25">
      <c r="A183" s="599" t="s">
        <v>678</v>
      </c>
      <c r="B183" s="599"/>
      <c r="C183" s="244">
        <v>0.11</v>
      </c>
      <c r="D183" s="244">
        <v>0.05</v>
      </c>
      <c r="E183" s="244">
        <v>0.02</v>
      </c>
      <c r="F183" s="244"/>
      <c r="G183" s="244"/>
      <c r="H183" s="244"/>
      <c r="I183" s="244"/>
      <c r="J183" s="244"/>
      <c r="S183" s="244"/>
      <c r="T183" s="244"/>
    </row>
    <row r="184" spans="1:20" x14ac:dyDescent="0.25">
      <c r="A184" s="599" t="s">
        <v>679</v>
      </c>
      <c r="B184" s="599"/>
      <c r="C184" s="244">
        <v>0.06</v>
      </c>
      <c r="D184" s="244">
        <v>0.03</v>
      </c>
      <c r="E184" s="244">
        <v>0.01</v>
      </c>
      <c r="F184" s="244"/>
      <c r="G184" s="244"/>
      <c r="H184" s="244"/>
      <c r="I184" s="244"/>
      <c r="J184" s="244"/>
      <c r="S184" s="244"/>
      <c r="T184" s="244"/>
    </row>
    <row r="185" spans="1:20" x14ac:dyDescent="0.25">
      <c r="A185" s="599" t="s">
        <v>680</v>
      </c>
      <c r="B185" s="599"/>
      <c r="C185" s="244">
        <v>0.04</v>
      </c>
      <c r="D185" s="244">
        <v>0.02</v>
      </c>
      <c r="E185" s="244">
        <v>6.9999999999999993E-3</v>
      </c>
      <c r="F185" s="244"/>
      <c r="G185" s="244"/>
      <c r="H185" s="244"/>
      <c r="I185" s="244"/>
      <c r="J185" s="244"/>
      <c r="S185" s="244"/>
      <c r="T185" s="244"/>
    </row>
    <row r="186" spans="1:20" x14ac:dyDescent="0.25">
      <c r="A186" s="599" t="s">
        <v>681</v>
      </c>
      <c r="B186" s="599"/>
      <c r="C186" s="244">
        <v>0.02</v>
      </c>
      <c r="D186" s="244">
        <v>0.01</v>
      </c>
      <c r="E186" s="244">
        <v>0</v>
      </c>
      <c r="F186" s="244"/>
      <c r="G186" s="244"/>
      <c r="H186" s="244"/>
      <c r="I186" s="244"/>
      <c r="J186" s="244"/>
      <c r="S186" s="244"/>
      <c r="T186" s="244"/>
    </row>
    <row r="187" spans="1:20" x14ac:dyDescent="0.25">
      <c r="A187" s="599" t="s">
        <v>682</v>
      </c>
      <c r="B187" s="599"/>
      <c r="C187" s="244">
        <v>7.0000000000000007E-2</v>
      </c>
      <c r="D187" s="244">
        <v>0.04</v>
      </c>
      <c r="E187" s="244">
        <v>0.01</v>
      </c>
      <c r="F187" s="244"/>
      <c r="G187" s="244"/>
      <c r="H187" s="244"/>
      <c r="I187" s="244"/>
      <c r="J187" s="244"/>
      <c r="S187" s="244"/>
      <c r="T187" s="244"/>
    </row>
    <row r="188" spans="1:20" x14ac:dyDescent="0.25">
      <c r="A188" s="599" t="s">
        <v>683</v>
      </c>
      <c r="B188" s="536"/>
      <c r="C188" s="244">
        <v>0.1</v>
      </c>
      <c r="D188" s="244">
        <v>0.05</v>
      </c>
      <c r="E188" s="244">
        <v>0.02</v>
      </c>
      <c r="F188" s="244"/>
      <c r="G188" s="244"/>
      <c r="H188" s="244"/>
      <c r="I188" s="244"/>
      <c r="J188" s="244"/>
      <c r="S188" s="244"/>
      <c r="T188" s="244"/>
    </row>
    <row r="189" spans="1:20" x14ac:dyDescent="0.25">
      <c r="A189" s="599" t="s">
        <v>684</v>
      </c>
      <c r="B189" s="599"/>
      <c r="C189" s="244">
        <v>0.01</v>
      </c>
      <c r="D189" s="244">
        <v>0</v>
      </c>
      <c r="E189" s="244">
        <v>0</v>
      </c>
      <c r="F189" s="244"/>
      <c r="G189" s="244"/>
      <c r="H189" s="244"/>
      <c r="I189" s="244"/>
      <c r="J189" s="244"/>
      <c r="S189" s="244"/>
      <c r="T189" s="244"/>
    </row>
    <row r="190" spans="1:20" x14ac:dyDescent="0.25">
      <c r="A190" s="599" t="s">
        <v>685</v>
      </c>
      <c r="B190" s="599"/>
      <c r="C190" s="244">
        <v>5.0000000000000001E-3</v>
      </c>
      <c r="D190" s="244">
        <v>0</v>
      </c>
      <c r="E190" s="244">
        <v>0</v>
      </c>
      <c r="F190" s="244"/>
      <c r="G190" s="244"/>
      <c r="H190" s="244"/>
      <c r="I190" s="244"/>
      <c r="J190" s="244"/>
      <c r="S190" s="244"/>
      <c r="T190" s="244"/>
    </row>
    <row r="191" spans="1:20" x14ac:dyDescent="0.25">
      <c r="A191" s="599" t="s">
        <v>686</v>
      </c>
      <c r="B191" s="599"/>
      <c r="C191" s="244">
        <v>1E-3</v>
      </c>
      <c r="D191" s="244">
        <v>0</v>
      </c>
      <c r="E191" s="244">
        <v>0</v>
      </c>
      <c r="F191" s="244"/>
      <c r="G191" s="244"/>
      <c r="H191" s="244"/>
      <c r="I191" s="244"/>
      <c r="J191" s="244"/>
      <c r="S191" s="244"/>
      <c r="T191" s="244"/>
    </row>
    <row r="192" spans="1:20" x14ac:dyDescent="0.25">
      <c r="A192" s="659" t="s">
        <v>609</v>
      </c>
      <c r="B192" s="659"/>
      <c r="C192" s="541" t="s">
        <v>645</v>
      </c>
      <c r="D192" s="541" t="s">
        <v>645</v>
      </c>
      <c r="E192" s="541" t="s">
        <v>645</v>
      </c>
      <c r="F192" s="244"/>
      <c r="G192" s="244"/>
      <c r="H192" s="244"/>
      <c r="I192" s="244"/>
      <c r="J192" s="244"/>
      <c r="R192" s="244"/>
      <c r="S192" s="244"/>
      <c r="T192" s="244"/>
    </row>
    <row r="193" spans="1:20" x14ac:dyDescent="0.25">
      <c r="A193" s="660" t="s">
        <v>607</v>
      </c>
      <c r="B193" s="660"/>
      <c r="C193" s="586" t="s">
        <v>520</v>
      </c>
      <c r="D193" s="586" t="s">
        <v>520</v>
      </c>
      <c r="E193" s="586" t="s">
        <v>520</v>
      </c>
      <c r="F193" s="244"/>
      <c r="G193" s="244"/>
      <c r="H193" s="244"/>
      <c r="I193" s="244"/>
      <c r="J193" s="244"/>
      <c r="R193" s="244"/>
      <c r="S193" s="244"/>
      <c r="T193" s="244"/>
    </row>
    <row r="194" spans="1:20" x14ac:dyDescent="0.25">
      <c r="A194" s="660" t="s">
        <v>608</v>
      </c>
      <c r="B194" s="660"/>
      <c r="C194" s="586" t="s">
        <v>520</v>
      </c>
      <c r="D194" s="586" t="s">
        <v>520</v>
      </c>
      <c r="E194" s="586" t="s">
        <v>520</v>
      </c>
      <c r="F194" s="244"/>
      <c r="G194" s="244"/>
      <c r="H194" s="244"/>
      <c r="I194" s="244"/>
      <c r="J194" s="244"/>
      <c r="R194" s="244"/>
      <c r="S194" s="244"/>
      <c r="T194" s="244"/>
    </row>
    <row r="195" spans="1:20" x14ac:dyDescent="0.25">
      <c r="A195" s="244"/>
      <c r="B195" s="244"/>
      <c r="C195" s="244"/>
      <c r="D195" s="244"/>
      <c r="E195" s="244"/>
      <c r="F195" s="244"/>
      <c r="G195" s="244"/>
      <c r="H195" s="244"/>
      <c r="I195" s="244"/>
      <c r="J195" s="244"/>
      <c r="R195" s="244"/>
      <c r="S195" s="244"/>
      <c r="T195" s="244"/>
    </row>
    <row r="196" spans="1:20" ht="31.5" x14ac:dyDescent="0.5">
      <c r="A196" s="497" t="s">
        <v>522</v>
      </c>
      <c r="B196" s="489"/>
      <c r="C196" s="489"/>
      <c r="D196" s="489"/>
      <c r="E196" s="489"/>
      <c r="F196" s="244"/>
      <c r="G196" s="244"/>
      <c r="H196" s="244"/>
      <c r="I196" s="244"/>
      <c r="J196" s="244"/>
      <c r="R196" s="244"/>
      <c r="S196" s="244"/>
      <c r="T196" s="244"/>
    </row>
    <row r="197" spans="1:20" ht="15.75" x14ac:dyDescent="0.25">
      <c r="A197" s="493" t="s">
        <v>523</v>
      </c>
      <c r="B197" s="489"/>
      <c r="C197" s="489"/>
      <c r="D197" s="489"/>
      <c r="E197" s="489"/>
      <c r="F197" s="244"/>
      <c r="G197" s="244"/>
      <c r="H197" s="244"/>
      <c r="I197" s="244"/>
      <c r="J197" s="244"/>
      <c r="R197" s="244"/>
      <c r="S197" s="244"/>
      <c r="T197" s="244"/>
    </row>
    <row r="198" spans="1:20" ht="15.75" x14ac:dyDescent="0.25">
      <c r="A198" s="493" t="s">
        <v>524</v>
      </c>
      <c r="B198" s="489"/>
      <c r="C198" s="489"/>
      <c r="D198" s="489"/>
      <c r="E198" s="489"/>
      <c r="F198" s="489"/>
      <c r="G198" s="489"/>
      <c r="H198" s="489"/>
      <c r="I198" s="489"/>
      <c r="J198" s="489"/>
      <c r="K198" s="489"/>
      <c r="L198" s="489"/>
      <c r="M198" s="489"/>
      <c r="N198" s="489"/>
      <c r="O198" s="489"/>
      <c r="P198" s="489"/>
      <c r="Q198" s="489"/>
      <c r="R198" s="489"/>
      <c r="S198" s="489"/>
      <c r="T198" s="489"/>
    </row>
    <row r="199" spans="1:20" ht="15.75" x14ac:dyDescent="0.25">
      <c r="A199" s="493" t="s">
        <v>525</v>
      </c>
      <c r="B199" s="489"/>
      <c r="C199" s="489"/>
      <c r="D199" s="489"/>
      <c r="E199" s="489"/>
      <c r="F199" s="489"/>
      <c r="G199" s="489"/>
      <c r="H199" s="489"/>
      <c r="I199" s="489"/>
      <c r="J199" s="489"/>
      <c r="K199" s="489"/>
      <c r="L199" s="489"/>
      <c r="M199" s="489"/>
      <c r="N199" s="489"/>
      <c r="O199" s="489"/>
      <c r="P199" s="489"/>
      <c r="Q199" s="489"/>
      <c r="R199" s="489"/>
      <c r="S199" s="489"/>
      <c r="T199" s="489"/>
    </row>
    <row r="200" spans="1:20" ht="15.75" x14ac:dyDescent="0.25">
      <c r="A200" s="493" t="s">
        <v>526</v>
      </c>
      <c r="B200" s="496" t="s">
        <v>527</v>
      </c>
      <c r="C200" s="489"/>
      <c r="D200" s="489"/>
      <c r="E200" s="489"/>
      <c r="F200" s="489"/>
      <c r="G200" s="489"/>
      <c r="H200" s="489"/>
      <c r="I200" s="489"/>
      <c r="J200" s="489"/>
      <c r="K200" s="489"/>
      <c r="L200" s="489"/>
      <c r="M200" s="489"/>
      <c r="N200" s="489"/>
      <c r="O200" s="489"/>
      <c r="P200" s="489"/>
      <c r="Q200" s="489"/>
      <c r="R200" s="489"/>
      <c r="S200" s="489"/>
      <c r="T200" s="489"/>
    </row>
    <row r="201" spans="1:20" ht="26.25" x14ac:dyDescent="0.25">
      <c r="A201" s="501" t="s">
        <v>528</v>
      </c>
      <c r="B201" s="502" t="s">
        <v>529</v>
      </c>
      <c r="C201" s="501" t="s">
        <v>530</v>
      </c>
      <c r="D201" s="501" t="s">
        <v>531</v>
      </c>
      <c r="E201" s="501" t="s">
        <v>532</v>
      </c>
      <c r="F201" s="489"/>
      <c r="G201" s="489"/>
      <c r="H201" s="489"/>
      <c r="I201" s="489"/>
      <c r="J201" s="489"/>
      <c r="K201" s="489"/>
      <c r="L201" s="489"/>
      <c r="M201" s="489"/>
      <c r="N201" s="489"/>
      <c r="O201" s="489"/>
      <c r="P201" s="489"/>
      <c r="Q201" s="489"/>
      <c r="R201" s="489"/>
      <c r="S201" s="489"/>
      <c r="T201" s="489"/>
    </row>
    <row r="202" spans="1:20" ht="15.75" x14ac:dyDescent="0.25">
      <c r="A202" s="498">
        <v>11</v>
      </c>
      <c r="B202" s="491" t="s">
        <v>97</v>
      </c>
      <c r="C202" s="498">
        <v>1</v>
      </c>
      <c r="D202" s="491" t="e">
        <v>#N/A</v>
      </c>
      <c r="E202" s="491"/>
      <c r="F202" s="489"/>
      <c r="G202" s="489"/>
      <c r="H202" s="489"/>
      <c r="I202" s="489"/>
      <c r="J202" s="489"/>
      <c r="K202" s="489"/>
    </row>
    <row r="203" spans="1:20" ht="51.75" x14ac:dyDescent="0.25">
      <c r="A203" s="498">
        <v>12</v>
      </c>
      <c r="B203" s="491" t="s">
        <v>99</v>
      </c>
      <c r="C203" s="498">
        <v>22</v>
      </c>
      <c r="D203" s="491" t="s">
        <v>42</v>
      </c>
      <c r="E203" s="491">
        <v>8</v>
      </c>
      <c r="F203" s="501" t="s">
        <v>533</v>
      </c>
      <c r="G203" s="501" t="s">
        <v>534</v>
      </c>
      <c r="H203" s="505" t="s">
        <v>535</v>
      </c>
      <c r="I203" s="490"/>
      <c r="J203" s="490"/>
      <c r="K203" s="490"/>
    </row>
    <row r="204" spans="1:20" ht="15.75" x14ac:dyDescent="0.25">
      <c r="A204" s="498">
        <v>21</v>
      </c>
      <c r="B204" s="491" t="s">
        <v>100</v>
      </c>
      <c r="C204" s="500" t="s">
        <v>536</v>
      </c>
      <c r="D204" s="491" t="s">
        <v>537</v>
      </c>
      <c r="E204" s="499">
        <v>11</v>
      </c>
      <c r="F204" s="491"/>
      <c r="G204" s="491"/>
      <c r="H204" s="491"/>
      <c r="I204" s="489"/>
      <c r="J204" s="489"/>
      <c r="K204" s="489"/>
    </row>
    <row r="205" spans="1:20" ht="15.75" x14ac:dyDescent="0.25">
      <c r="A205" s="498">
        <v>22</v>
      </c>
      <c r="B205" s="491" t="s">
        <v>102</v>
      </c>
      <c r="C205" s="498">
        <v>2</v>
      </c>
      <c r="D205" s="491" t="s">
        <v>45</v>
      </c>
      <c r="E205" s="491">
        <v>11</v>
      </c>
      <c r="F205" s="491" t="s">
        <v>42</v>
      </c>
      <c r="G205" s="491">
        <v>6</v>
      </c>
      <c r="H205" s="491" t="s">
        <v>107</v>
      </c>
      <c r="I205" s="489"/>
      <c r="J205" s="489"/>
      <c r="K205" s="489"/>
    </row>
    <row r="206" spans="1:20" ht="15.75" x14ac:dyDescent="0.25">
      <c r="A206" s="498">
        <v>23</v>
      </c>
      <c r="B206" s="491" t="s">
        <v>104</v>
      </c>
      <c r="C206" s="498">
        <v>20</v>
      </c>
      <c r="D206" s="491" t="s">
        <v>46</v>
      </c>
      <c r="E206" s="491">
        <v>12</v>
      </c>
      <c r="F206" s="499" t="s">
        <v>45</v>
      </c>
      <c r="G206" s="499">
        <v>7</v>
      </c>
      <c r="H206" s="499" t="s">
        <v>109</v>
      </c>
      <c r="I206" s="489"/>
      <c r="J206" s="489"/>
      <c r="K206" s="495" t="s">
        <v>538</v>
      </c>
    </row>
    <row r="207" spans="1:20" ht="15.75" x14ac:dyDescent="0.25">
      <c r="A207" s="498">
        <v>24</v>
      </c>
      <c r="B207" s="491" t="s">
        <v>106</v>
      </c>
      <c r="C207" s="498">
        <v>3</v>
      </c>
      <c r="D207" s="491" t="s">
        <v>47</v>
      </c>
      <c r="E207" s="491">
        <v>13</v>
      </c>
      <c r="F207" s="491" t="s">
        <v>45</v>
      </c>
      <c r="G207" s="491">
        <v>7</v>
      </c>
      <c r="H207" s="491" t="s">
        <v>109</v>
      </c>
      <c r="I207" s="489"/>
      <c r="J207" s="489"/>
      <c r="K207" s="489"/>
    </row>
    <row r="208" spans="1:20" ht="15.75" x14ac:dyDescent="0.25">
      <c r="A208" s="498">
        <v>31</v>
      </c>
      <c r="B208" s="491" t="s">
        <v>108</v>
      </c>
      <c r="C208" s="498">
        <v>22</v>
      </c>
      <c r="D208" s="491" t="s">
        <v>42</v>
      </c>
      <c r="E208" s="491">
        <v>8</v>
      </c>
      <c r="F208" s="491" t="s">
        <v>46</v>
      </c>
      <c r="G208" s="491">
        <v>8</v>
      </c>
      <c r="H208" s="491" t="s">
        <v>111</v>
      </c>
      <c r="I208" s="489"/>
      <c r="J208" s="489"/>
      <c r="K208" s="489"/>
    </row>
    <row r="209" spans="1:11" ht="15.75" x14ac:dyDescent="0.25">
      <c r="A209" s="498">
        <v>41</v>
      </c>
      <c r="B209" s="491" t="s">
        <v>110</v>
      </c>
      <c r="C209" s="498">
        <v>7</v>
      </c>
      <c r="D209" s="491" t="s">
        <v>36</v>
      </c>
      <c r="E209" s="491">
        <v>3</v>
      </c>
      <c r="F209" s="491" t="s">
        <v>47</v>
      </c>
      <c r="G209" s="491">
        <v>9</v>
      </c>
      <c r="H209" s="491" t="s">
        <v>113</v>
      </c>
      <c r="I209" s="489"/>
      <c r="J209" s="489"/>
      <c r="K209" s="489"/>
    </row>
    <row r="210" spans="1:11" ht="15.75" x14ac:dyDescent="0.25">
      <c r="A210" s="498">
        <v>42</v>
      </c>
      <c r="B210" s="491" t="s">
        <v>112</v>
      </c>
      <c r="C210" s="498">
        <v>8</v>
      </c>
      <c r="D210" s="491" t="s">
        <v>36</v>
      </c>
      <c r="E210" s="491">
        <v>3</v>
      </c>
      <c r="F210" s="491" t="s">
        <v>42</v>
      </c>
      <c r="G210" s="491">
        <v>6</v>
      </c>
      <c r="H210" s="491" t="s">
        <v>107</v>
      </c>
      <c r="I210" s="489"/>
      <c r="J210" s="489"/>
      <c r="K210" s="489"/>
    </row>
    <row r="211" spans="1:11" ht="15.75" x14ac:dyDescent="0.25">
      <c r="A211" s="498">
        <v>43</v>
      </c>
      <c r="B211" s="491" t="s">
        <v>114</v>
      </c>
      <c r="C211" s="498">
        <v>9</v>
      </c>
      <c r="D211" s="491" t="s">
        <v>36</v>
      </c>
      <c r="E211" s="491">
        <v>3</v>
      </c>
      <c r="F211" s="491" t="s">
        <v>36</v>
      </c>
      <c r="G211" s="491">
        <v>3</v>
      </c>
      <c r="H211" s="491" t="s">
        <v>101</v>
      </c>
      <c r="I211" s="489"/>
      <c r="J211" s="489"/>
      <c r="K211" s="489"/>
    </row>
    <row r="212" spans="1:11" ht="15.75" x14ac:dyDescent="0.25">
      <c r="A212" s="498">
        <v>51</v>
      </c>
      <c r="B212" s="491" t="s">
        <v>539</v>
      </c>
      <c r="C212" s="498" t="s">
        <v>540</v>
      </c>
      <c r="D212" s="491" t="e">
        <v>#N/A</v>
      </c>
      <c r="E212" s="491"/>
      <c r="F212" s="491" t="s">
        <v>36</v>
      </c>
      <c r="G212" s="491">
        <v>3</v>
      </c>
      <c r="H212" s="491" t="s">
        <v>101</v>
      </c>
      <c r="I212" s="489"/>
      <c r="J212" s="489"/>
      <c r="K212" s="489"/>
    </row>
    <row r="213" spans="1:11" ht="15.75" x14ac:dyDescent="0.25">
      <c r="A213" s="498">
        <v>52</v>
      </c>
      <c r="B213" s="491" t="s">
        <v>116</v>
      </c>
      <c r="C213" s="498">
        <v>9</v>
      </c>
      <c r="D213" s="491" t="s">
        <v>36</v>
      </c>
      <c r="E213" s="491">
        <v>3</v>
      </c>
      <c r="F213" s="491" t="s">
        <v>36</v>
      </c>
      <c r="G213" s="491">
        <v>3</v>
      </c>
      <c r="H213" s="491" t="s">
        <v>101</v>
      </c>
      <c r="I213" s="489"/>
      <c r="J213" s="489"/>
      <c r="K213" s="489"/>
    </row>
    <row r="214" spans="1:11" ht="15.75" x14ac:dyDescent="0.25">
      <c r="A214" s="498">
        <v>71</v>
      </c>
      <c r="B214" s="491" t="s">
        <v>117</v>
      </c>
      <c r="C214" s="498">
        <v>21</v>
      </c>
      <c r="D214" s="491" t="s">
        <v>41</v>
      </c>
      <c r="E214" s="491">
        <v>7</v>
      </c>
      <c r="F214" s="491"/>
      <c r="G214" s="491"/>
      <c r="H214" s="491"/>
      <c r="I214" s="489"/>
      <c r="J214" s="489"/>
      <c r="K214" s="489"/>
    </row>
    <row r="215" spans="1:11" ht="15.75" x14ac:dyDescent="0.25">
      <c r="A215" s="498">
        <v>72</v>
      </c>
      <c r="B215" s="491" t="s">
        <v>541</v>
      </c>
      <c r="C215" s="498" t="s">
        <v>540</v>
      </c>
      <c r="D215" s="491" t="e">
        <v>#N/A</v>
      </c>
      <c r="E215" s="491"/>
      <c r="F215" s="491" t="s">
        <v>36</v>
      </c>
      <c r="G215" s="491">
        <v>3</v>
      </c>
      <c r="H215" s="491" t="s">
        <v>101</v>
      </c>
      <c r="I215" s="489"/>
      <c r="J215" s="489"/>
      <c r="K215" s="489"/>
    </row>
    <row r="216" spans="1:11" ht="15.75" x14ac:dyDescent="0.25">
      <c r="A216" s="498">
        <v>73</v>
      </c>
      <c r="B216" s="491" t="s">
        <v>542</v>
      </c>
      <c r="C216" s="498" t="s">
        <v>540</v>
      </c>
      <c r="D216" s="491" t="e">
        <v>#N/A</v>
      </c>
      <c r="E216" s="491"/>
      <c r="F216" s="491" t="s">
        <v>41</v>
      </c>
      <c r="G216" s="491">
        <v>5</v>
      </c>
      <c r="H216" s="491" t="s">
        <v>105</v>
      </c>
      <c r="I216" s="489"/>
      <c r="J216" s="489"/>
      <c r="K216" s="489"/>
    </row>
    <row r="217" spans="1:11" ht="15.75" x14ac:dyDescent="0.25">
      <c r="A217" s="498">
        <v>74</v>
      </c>
      <c r="B217" s="491" t="s">
        <v>543</v>
      </c>
      <c r="C217" s="498" t="s">
        <v>540</v>
      </c>
      <c r="D217" s="491" t="e">
        <v>#N/A</v>
      </c>
      <c r="E217" s="491"/>
      <c r="F217" s="491"/>
      <c r="G217" s="491"/>
      <c r="H217" s="491"/>
      <c r="I217" s="489"/>
      <c r="J217" s="489"/>
      <c r="K217" s="489"/>
    </row>
    <row r="218" spans="1:11" ht="15.75" x14ac:dyDescent="0.25">
      <c r="A218" s="498">
        <v>81</v>
      </c>
      <c r="B218" s="491" t="s">
        <v>119</v>
      </c>
      <c r="C218" s="498">
        <v>4</v>
      </c>
      <c r="D218" s="491" t="s">
        <v>34</v>
      </c>
      <c r="E218" s="491">
        <v>1</v>
      </c>
      <c r="F218" s="491"/>
      <c r="G218" s="491"/>
      <c r="H218" s="491"/>
      <c r="I218" s="489"/>
      <c r="J218" s="489"/>
      <c r="K218" s="489"/>
    </row>
    <row r="219" spans="1:11" ht="15.75" x14ac:dyDescent="0.25">
      <c r="A219" s="498">
        <v>82</v>
      </c>
      <c r="B219" s="491" t="s">
        <v>121</v>
      </c>
      <c r="C219" s="498">
        <v>5</v>
      </c>
      <c r="D219" s="491" t="s">
        <v>35</v>
      </c>
      <c r="E219" s="491">
        <v>2</v>
      </c>
      <c r="F219" s="491"/>
      <c r="G219" s="491"/>
      <c r="H219" s="491"/>
      <c r="I219" s="489"/>
      <c r="J219" s="489"/>
      <c r="K219" s="489"/>
    </row>
    <row r="220" spans="1:11" ht="15.75" x14ac:dyDescent="0.25">
      <c r="A220" s="498">
        <v>90</v>
      </c>
      <c r="B220" s="491" t="s">
        <v>123</v>
      </c>
      <c r="C220" s="498">
        <v>10</v>
      </c>
      <c r="D220" s="491" t="s">
        <v>38</v>
      </c>
      <c r="E220" s="491">
        <v>4</v>
      </c>
      <c r="F220" s="491" t="s">
        <v>34</v>
      </c>
      <c r="G220" s="491">
        <v>1</v>
      </c>
      <c r="H220" s="491" t="s">
        <v>98</v>
      </c>
      <c r="I220" s="489"/>
      <c r="J220" s="489"/>
      <c r="K220" s="489"/>
    </row>
    <row r="221" spans="1:11" ht="15.75" x14ac:dyDescent="0.25">
      <c r="A221" s="498">
        <v>95</v>
      </c>
      <c r="B221" s="491" t="s">
        <v>124</v>
      </c>
      <c r="C221" s="498">
        <v>11</v>
      </c>
      <c r="D221" s="491" t="s">
        <v>38</v>
      </c>
      <c r="E221" s="491">
        <v>4</v>
      </c>
      <c r="F221" s="491" t="s">
        <v>35</v>
      </c>
      <c r="G221" s="491">
        <v>2</v>
      </c>
      <c r="H221" s="491" t="s">
        <v>35</v>
      </c>
      <c r="I221" s="489"/>
      <c r="J221" s="489"/>
      <c r="K221" s="489"/>
    </row>
    <row r="222" spans="1:11" ht="15.75" x14ac:dyDescent="0.25">
      <c r="A222" s="491"/>
      <c r="B222" s="491"/>
      <c r="C222" s="491"/>
      <c r="D222" s="491"/>
      <c r="E222" s="491"/>
      <c r="F222" s="491" t="s">
        <v>38</v>
      </c>
      <c r="G222" s="491">
        <v>4</v>
      </c>
      <c r="H222" s="491" t="s">
        <v>103</v>
      </c>
      <c r="I222" s="489"/>
      <c r="J222" s="489"/>
      <c r="K222" s="489"/>
    </row>
    <row r="223" spans="1:11" ht="15.75" x14ac:dyDescent="0.25">
      <c r="A223" s="491"/>
      <c r="B223" s="491"/>
      <c r="C223" s="491"/>
      <c r="D223" s="491"/>
      <c r="E223" s="491">
        <v>9</v>
      </c>
      <c r="F223" s="491" t="s">
        <v>38</v>
      </c>
      <c r="G223" s="491">
        <v>4</v>
      </c>
      <c r="H223" s="491" t="s">
        <v>103</v>
      </c>
      <c r="I223" s="489"/>
      <c r="J223" s="489"/>
      <c r="K223" s="489"/>
    </row>
    <row r="224" spans="1:11" ht="15.75" x14ac:dyDescent="0.25">
      <c r="A224" s="491"/>
      <c r="B224" s="491"/>
      <c r="C224" s="491"/>
      <c r="D224" s="491"/>
      <c r="E224" s="499">
        <v>5</v>
      </c>
      <c r="F224" s="491"/>
      <c r="G224" s="491"/>
      <c r="H224" s="491"/>
      <c r="I224" s="489"/>
      <c r="J224" s="489"/>
      <c r="K224" s="489"/>
    </row>
    <row r="225" spans="1:11" ht="15.75" x14ac:dyDescent="0.25">
      <c r="A225" s="491"/>
      <c r="B225" s="491"/>
      <c r="C225" s="491"/>
      <c r="D225" s="491"/>
      <c r="E225" s="499">
        <v>6</v>
      </c>
      <c r="F225" s="491" t="s">
        <v>43</v>
      </c>
      <c r="G225" s="491">
        <v>6</v>
      </c>
      <c r="H225" s="491" t="s">
        <v>107</v>
      </c>
      <c r="I225" s="489"/>
      <c r="J225" s="489"/>
      <c r="K225" s="489"/>
    </row>
    <row r="226" spans="1:11" ht="15.75" x14ac:dyDescent="0.25">
      <c r="A226" s="491"/>
      <c r="B226" s="491"/>
      <c r="C226" s="491"/>
      <c r="D226" s="491"/>
      <c r="E226" s="499">
        <v>10</v>
      </c>
      <c r="F226" s="499" t="s">
        <v>39</v>
      </c>
      <c r="G226" s="499"/>
      <c r="H226" s="499" t="s">
        <v>115</v>
      </c>
      <c r="I226" s="489"/>
      <c r="J226" s="489"/>
      <c r="K226" s="495" t="s">
        <v>538</v>
      </c>
    </row>
    <row r="227" spans="1:11" ht="15.75" x14ac:dyDescent="0.25">
      <c r="A227" s="491"/>
      <c r="B227" s="491"/>
      <c r="C227" s="491"/>
      <c r="D227" s="491"/>
      <c r="E227" s="491">
        <v>15</v>
      </c>
      <c r="F227" s="499" t="s">
        <v>40</v>
      </c>
      <c r="G227" s="499"/>
      <c r="H227" s="499" t="s">
        <v>115</v>
      </c>
      <c r="I227" s="489"/>
      <c r="J227" s="489"/>
      <c r="K227" s="495" t="s">
        <v>538</v>
      </c>
    </row>
    <row r="228" spans="1:11" ht="15.75" x14ac:dyDescent="0.25">
      <c r="A228" s="491"/>
      <c r="B228" s="491"/>
      <c r="C228" s="491"/>
      <c r="D228" s="491"/>
      <c r="E228" s="491">
        <v>16</v>
      </c>
      <c r="F228" s="499" t="s">
        <v>44</v>
      </c>
      <c r="G228" s="499"/>
      <c r="H228" s="499" t="s">
        <v>115</v>
      </c>
      <c r="I228" s="489"/>
      <c r="J228" s="489"/>
      <c r="K228" s="495" t="s">
        <v>538</v>
      </c>
    </row>
    <row r="229" spans="1:11" ht="15.75" x14ac:dyDescent="0.25">
      <c r="A229" s="491"/>
      <c r="B229" s="491"/>
      <c r="C229" s="491"/>
      <c r="D229" s="491"/>
      <c r="E229" s="491">
        <v>17</v>
      </c>
      <c r="F229" s="491" t="s">
        <v>49</v>
      </c>
      <c r="G229" s="491"/>
      <c r="H229" s="491"/>
      <c r="I229" s="489"/>
      <c r="J229" s="489"/>
      <c r="K229" s="489"/>
    </row>
    <row r="230" spans="1:11" ht="15.75" x14ac:dyDescent="0.25">
      <c r="A230" s="491"/>
      <c r="B230" s="491"/>
      <c r="C230" s="491"/>
      <c r="D230" s="491"/>
      <c r="E230" s="491">
        <v>18</v>
      </c>
      <c r="F230" s="491" t="s">
        <v>50</v>
      </c>
      <c r="G230" s="491"/>
      <c r="H230" s="491"/>
      <c r="I230" s="489"/>
      <c r="J230" s="489"/>
      <c r="K230" s="489"/>
    </row>
    <row r="231" spans="1:11" ht="15.75" x14ac:dyDescent="0.25">
      <c r="A231" s="491"/>
      <c r="B231" s="491"/>
      <c r="C231" s="491"/>
      <c r="D231" s="491"/>
      <c r="E231" s="491">
        <v>19</v>
      </c>
      <c r="F231" s="491" t="s">
        <v>52</v>
      </c>
      <c r="G231" s="491">
        <v>11</v>
      </c>
      <c r="H231" s="491" t="s">
        <v>52</v>
      </c>
      <c r="I231" s="489"/>
      <c r="J231" s="489"/>
      <c r="K231" s="489"/>
    </row>
    <row r="232" spans="1:11" ht="15.75" x14ac:dyDescent="0.25">
      <c r="A232" s="491"/>
      <c r="B232" s="491"/>
      <c r="C232" s="491"/>
      <c r="D232" s="491"/>
      <c r="E232" s="491">
        <v>20</v>
      </c>
      <c r="F232" s="491" t="s">
        <v>53</v>
      </c>
      <c r="G232" s="491"/>
      <c r="H232" s="491"/>
      <c r="I232" s="489"/>
      <c r="J232" s="489"/>
      <c r="K232" s="489"/>
    </row>
    <row r="233" spans="1:11" ht="15.75" x14ac:dyDescent="0.25">
      <c r="A233" s="491"/>
      <c r="B233" s="491"/>
      <c r="C233" s="491"/>
      <c r="D233" s="491"/>
      <c r="E233" s="491">
        <v>21</v>
      </c>
      <c r="F233" s="491" t="s">
        <v>83</v>
      </c>
      <c r="G233" s="491">
        <v>12</v>
      </c>
      <c r="H233" s="491" t="s">
        <v>118</v>
      </c>
      <c r="I233" s="489"/>
      <c r="J233" s="489"/>
      <c r="K233" s="489"/>
    </row>
    <row r="234" spans="1:11" ht="15.75" x14ac:dyDescent="0.25">
      <c r="A234" s="491"/>
      <c r="B234" s="491"/>
      <c r="C234" s="491"/>
      <c r="D234" s="491"/>
      <c r="E234" s="491">
        <v>22</v>
      </c>
      <c r="F234" s="491" t="s">
        <v>54</v>
      </c>
      <c r="G234" s="491">
        <v>13</v>
      </c>
      <c r="H234" s="491" t="s">
        <v>120</v>
      </c>
      <c r="I234" s="489"/>
      <c r="J234" s="489"/>
      <c r="K234" s="489"/>
    </row>
    <row r="235" spans="1:11" ht="15.75" x14ac:dyDescent="0.25">
      <c r="F235" s="491" t="s">
        <v>55</v>
      </c>
      <c r="G235" s="491">
        <v>14</v>
      </c>
      <c r="H235" s="491" t="s">
        <v>122</v>
      </c>
      <c r="I235" s="489"/>
      <c r="J235" s="489"/>
      <c r="K235" s="489"/>
    </row>
    <row r="236" spans="1:11" ht="15.75" x14ac:dyDescent="0.25">
      <c r="A236" s="489"/>
      <c r="B236" s="489"/>
      <c r="C236" s="489"/>
      <c r="D236" s="489"/>
      <c r="E236" s="503">
        <v>14</v>
      </c>
      <c r="F236" s="491" t="s">
        <v>56</v>
      </c>
      <c r="G236" s="491">
        <v>15</v>
      </c>
      <c r="H236" s="491" t="s">
        <v>56</v>
      </c>
      <c r="I236" s="489"/>
      <c r="J236" s="489"/>
      <c r="K236" s="489"/>
    </row>
    <row r="238" spans="1:11" ht="15.75" x14ac:dyDescent="0.25">
      <c r="F238" s="503" t="s">
        <v>48</v>
      </c>
      <c r="G238" s="503">
        <v>10</v>
      </c>
      <c r="H238" s="503" t="s">
        <v>544</v>
      </c>
      <c r="I238" s="494"/>
      <c r="J238" s="489"/>
      <c r="K238" s="504" t="s">
        <v>545</v>
      </c>
    </row>
  </sheetData>
  <mergeCells count="3">
    <mergeCell ref="A192:B192"/>
    <mergeCell ref="A193:B193"/>
    <mergeCell ref="A194:B194"/>
  </mergeCells>
  <phoneticPr fontId="111" type="noConversion"/>
  <hyperlinks>
    <hyperlink ref="K88" r:id="rId1" xr:uid="{00000000-0004-0000-0100-000000000000}"/>
    <hyperlink ref="K87" r:id="rId2" xr:uid="{00000000-0004-0000-0100-000001000000}"/>
    <hyperlink ref="B80" r:id="rId3" xr:uid="{00000000-0004-0000-0100-000002000000}"/>
    <hyperlink ref="B201" r:id="rId4" display="https://www.mrlc.gov/nlcd11_leg.php" xr:uid="{00000000-0004-0000-0100-000003000000}"/>
    <hyperlink ref="B200" r:id="rId5" xr:uid="{00000000-0004-0000-0100-000004000000}"/>
  </hyperlinks>
  <pageMargins left="0.7" right="0.7" top="0.75" bottom="0.75" header="0.3" footer="0.3"/>
  <pageSetup orientation="portrait" r:id="rId6"/>
  <headerFooter>
    <oddHeader>&amp;L&amp;"-,Bold"&amp;14Look-Up Table: Christina Basin MapShed Land Use Loading Rates</oddHeader>
    <oddFooter>&amp;L&amp;"Arial,Regular"&amp;9Section 1: Instructions and O&amp;Overview&amp;C&amp;"Arial,Regular"&amp;9Page &amp;P of &amp;N&amp;R&amp;"Arial,Regular"&amp;9Christina Basin Loading Rates Tool (May 5, 2017)</oddFooter>
  </headerFooter>
  <drawing r:id="rId7"/>
  <tableParts count="4">
    <tablePart r:id="rId8"/>
    <tablePart r:id="rId9"/>
    <tablePart r:id="rId10"/>
    <tablePart r:id="rId1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pageSetUpPr fitToPage="1"/>
  </sheetPr>
  <dimension ref="A1:S114"/>
  <sheetViews>
    <sheetView zoomScale="80" zoomScaleNormal="80" zoomScaleSheetLayoutView="100" workbookViewId="0"/>
  </sheetViews>
  <sheetFormatPr defaultColWidth="8.875" defaultRowHeight="12.75" x14ac:dyDescent="0.2"/>
  <cols>
    <col min="1" max="1" width="15.125" style="91" customWidth="1"/>
    <col min="2" max="2" width="1.5" style="91" customWidth="1"/>
    <col min="3" max="3" width="13.5" style="91" customWidth="1"/>
    <col min="4" max="4" width="13.375" style="91" customWidth="1"/>
    <col min="5" max="5" width="14" style="91" customWidth="1"/>
    <col min="6" max="6" width="13.875" style="91" customWidth="1"/>
    <col min="7" max="8" width="8.875" style="91"/>
    <col min="9" max="9" width="10.125" style="91" customWidth="1"/>
    <col min="10" max="10" width="8.875" style="91"/>
    <col min="11" max="11" width="16.5" style="91" customWidth="1"/>
    <col min="12" max="12" width="14.5" style="91" customWidth="1"/>
    <col min="13" max="13" width="14.625" style="91" customWidth="1"/>
    <col min="14" max="14" width="13.375" style="91" customWidth="1"/>
    <col min="15" max="15" width="13.125" style="91" customWidth="1"/>
    <col min="16" max="16" width="14" style="91" customWidth="1"/>
    <col min="17" max="17" width="11.75" style="91" customWidth="1"/>
    <col min="18" max="19" width="12.375" style="91" customWidth="1"/>
    <col min="20" max="16384" width="8.875" style="91"/>
  </cols>
  <sheetData>
    <row r="1" spans="1:13" s="92" customFormat="1" ht="15.75" x14ac:dyDescent="0.25">
      <c r="A1" s="92" t="s">
        <v>68</v>
      </c>
    </row>
    <row r="2" spans="1:13" x14ac:dyDescent="0.2">
      <c r="A2" s="91" t="s">
        <v>75</v>
      </c>
      <c r="B2" s="661" t="str">
        <f>+C13</f>
        <v>User Specified</v>
      </c>
      <c r="C2" s="661"/>
    </row>
    <row r="3" spans="1:13" x14ac:dyDescent="0.2">
      <c r="A3" s="91" t="s">
        <v>471</v>
      </c>
      <c r="B3" s="661" t="str">
        <f>+C14</f>
        <v>User Specified</v>
      </c>
      <c r="C3" s="661"/>
    </row>
    <row r="5" spans="1:13" s="464" customFormat="1" ht="15" x14ac:dyDescent="0.2">
      <c r="A5" s="463" t="s">
        <v>69</v>
      </c>
      <c r="B5" s="463" t="s">
        <v>70</v>
      </c>
    </row>
    <row r="7" spans="1:13" ht="159.75" customHeight="1" x14ac:dyDescent="0.2">
      <c r="A7" s="662" t="s">
        <v>698</v>
      </c>
      <c r="B7" s="662"/>
      <c r="C7" s="662"/>
      <c r="D7" s="662"/>
      <c r="E7" s="662"/>
      <c r="F7" s="662"/>
    </row>
    <row r="8" spans="1:13" ht="15" x14ac:dyDescent="0.25">
      <c r="A8" s="93"/>
    </row>
    <row r="10" spans="1:13" x14ac:dyDescent="0.2">
      <c r="A10" s="94"/>
      <c r="B10" s="95" t="s">
        <v>71</v>
      </c>
      <c r="C10" s="600" t="s">
        <v>72</v>
      </c>
    </row>
    <row r="11" spans="1:13" x14ac:dyDescent="0.2">
      <c r="B11" s="95" t="s">
        <v>73</v>
      </c>
      <c r="C11" s="601" t="s">
        <v>72</v>
      </c>
      <c r="F11" s="96"/>
    </row>
    <row r="12" spans="1:13" x14ac:dyDescent="0.2">
      <c r="A12" s="97"/>
      <c r="B12" s="97" t="s">
        <v>74</v>
      </c>
      <c r="C12" s="600" t="s">
        <v>72</v>
      </c>
      <c r="D12" s="98"/>
    </row>
    <row r="13" spans="1:13" x14ac:dyDescent="0.2">
      <c r="B13" s="97" t="s">
        <v>75</v>
      </c>
      <c r="C13" s="600" t="s">
        <v>72</v>
      </c>
    </row>
    <row r="14" spans="1:13" x14ac:dyDescent="0.2">
      <c r="A14" s="95"/>
      <c r="B14" s="95" t="s">
        <v>76</v>
      </c>
      <c r="C14" s="600" t="s">
        <v>72</v>
      </c>
    </row>
    <row r="15" spans="1:13" x14ac:dyDescent="0.2">
      <c r="A15" s="95"/>
      <c r="B15" s="95"/>
      <c r="C15" s="98"/>
    </row>
    <row r="16" spans="1:13" ht="13.5" thickBot="1" x14ac:dyDescent="0.25">
      <c r="C16" s="663" t="s">
        <v>77</v>
      </c>
      <c r="D16" s="663"/>
      <c r="E16" s="663"/>
      <c r="F16" s="663"/>
      <c r="K16" s="94" t="s">
        <v>495</v>
      </c>
      <c r="L16" s="440" t="s">
        <v>455</v>
      </c>
      <c r="M16" s="440" t="s">
        <v>454</v>
      </c>
    </row>
    <row r="17" spans="1:19" ht="13.5" thickBot="1" x14ac:dyDescent="0.25">
      <c r="N17" s="569" t="s">
        <v>513</v>
      </c>
      <c r="O17" s="569" t="s">
        <v>514</v>
      </c>
      <c r="P17" s="569" t="s">
        <v>515</v>
      </c>
    </row>
    <row r="18" spans="1:19" x14ac:dyDescent="0.2">
      <c r="A18" s="99" t="s">
        <v>12</v>
      </c>
      <c r="B18" s="100"/>
      <c r="C18" s="101" t="s">
        <v>13</v>
      </c>
      <c r="D18" s="101" t="s">
        <v>16</v>
      </c>
      <c r="E18" s="101" t="s">
        <v>78</v>
      </c>
      <c r="F18" s="102" t="s">
        <v>79</v>
      </c>
      <c r="K18" s="91" t="s">
        <v>456</v>
      </c>
      <c r="L18" s="633">
        <v>105.59</v>
      </c>
      <c r="M18" s="584">
        <f>L18*3280.84</f>
        <v>346423.89560000005</v>
      </c>
      <c r="N18" s="487">
        <f>(D38*2000)/M18</f>
        <v>154.14681733346339</v>
      </c>
      <c r="O18" s="486">
        <f>E38/M18</f>
        <v>9.5971988140185302E-2</v>
      </c>
      <c r="P18" s="486">
        <f>F38/M18</f>
        <v>3.8368427146109371E-2</v>
      </c>
    </row>
    <row r="19" spans="1:19" ht="13.5" thickBot="1" x14ac:dyDescent="0.25">
      <c r="A19" s="103" t="s">
        <v>24</v>
      </c>
      <c r="B19" s="104"/>
      <c r="C19" s="105" t="s">
        <v>80</v>
      </c>
      <c r="D19" s="105" t="s">
        <v>81</v>
      </c>
      <c r="E19" s="105" t="s">
        <v>82</v>
      </c>
      <c r="F19" s="106" t="s">
        <v>82</v>
      </c>
      <c r="K19" s="91" t="s">
        <v>457</v>
      </c>
      <c r="L19" s="633">
        <v>1.67</v>
      </c>
      <c r="M19" s="584">
        <f>L19*3280.84</f>
        <v>5479.0028000000002</v>
      </c>
    </row>
    <row r="20" spans="1:19" x14ac:dyDescent="0.2">
      <c r="A20" s="107" t="s">
        <v>34</v>
      </c>
      <c r="B20" s="108"/>
      <c r="C20" s="577">
        <f>F60</f>
        <v>1666.6666666666665</v>
      </c>
      <c r="D20" s="577">
        <f t="shared" ref="D20:F23" si="0">N48</f>
        <v>136.61540549999998</v>
      </c>
      <c r="E20" s="577">
        <f t="shared" si="0"/>
        <v>1861.4610000000002</v>
      </c>
      <c r="F20" s="578">
        <f t="shared" si="0"/>
        <v>687.51900000000001</v>
      </c>
      <c r="K20" s="91" t="s">
        <v>458</v>
      </c>
      <c r="L20" s="633">
        <v>103.91</v>
      </c>
      <c r="M20" s="584">
        <f>L20*3280.84</f>
        <v>340912.08439999999</v>
      </c>
    </row>
    <row r="21" spans="1:19" x14ac:dyDescent="0.2">
      <c r="A21" s="107" t="s">
        <v>35</v>
      </c>
      <c r="B21" s="108"/>
      <c r="C21" s="577">
        <f>F61</f>
        <v>491.35802469135797</v>
      </c>
      <c r="D21" s="577">
        <f t="shared" si="0"/>
        <v>316.40658524999998</v>
      </c>
      <c r="E21" s="577">
        <f t="shared" si="0"/>
        <v>3203.424</v>
      </c>
      <c r="F21" s="578">
        <f t="shared" si="0"/>
        <v>838.12050000000011</v>
      </c>
    </row>
    <row r="22" spans="1:19" x14ac:dyDescent="0.2">
      <c r="A22" s="107" t="s">
        <v>36</v>
      </c>
      <c r="B22" s="108"/>
      <c r="C22" s="577">
        <f>SUM(F55:F57)+F58</f>
        <v>9730.8641975308637</v>
      </c>
      <c r="D22" s="577">
        <f t="shared" si="0"/>
        <v>7.9434022500000001</v>
      </c>
      <c r="E22" s="577">
        <f t="shared" si="0"/>
        <v>1136.8980000000001</v>
      </c>
      <c r="F22" s="578">
        <f t="shared" si="0"/>
        <v>73.647000000000006</v>
      </c>
      <c r="K22" s="111" t="s">
        <v>459</v>
      </c>
    </row>
    <row r="23" spans="1:19" x14ac:dyDescent="0.2">
      <c r="A23" s="107" t="s">
        <v>38</v>
      </c>
      <c r="B23" s="108"/>
      <c r="C23" s="577">
        <f>F62+F63</f>
        <v>656.79012345679007</v>
      </c>
      <c r="D23" s="577">
        <f t="shared" si="0"/>
        <v>0.72522449999999994</v>
      </c>
      <c r="E23" s="577">
        <f t="shared" si="0"/>
        <v>254.45700000000002</v>
      </c>
      <c r="F23" s="578">
        <f t="shared" si="0"/>
        <v>14.552999999999999</v>
      </c>
    </row>
    <row r="24" spans="1:19" x14ac:dyDescent="0.2">
      <c r="A24" s="107" t="s">
        <v>39</v>
      </c>
      <c r="B24" s="108"/>
      <c r="C24" s="577">
        <v>0</v>
      </c>
      <c r="D24" s="577">
        <v>0</v>
      </c>
      <c r="E24" s="577">
        <v>0</v>
      </c>
      <c r="F24" s="578">
        <v>0</v>
      </c>
      <c r="H24" s="110"/>
      <c r="K24" s="94" t="s">
        <v>479</v>
      </c>
    </row>
    <row r="25" spans="1:19" x14ac:dyDescent="0.2">
      <c r="A25" s="107" t="s">
        <v>40</v>
      </c>
      <c r="B25" s="108"/>
      <c r="C25" s="577">
        <v>0</v>
      </c>
      <c r="D25" s="577">
        <v>0</v>
      </c>
      <c r="E25" s="577">
        <v>0</v>
      </c>
      <c r="F25" s="578">
        <v>0</v>
      </c>
    </row>
    <row r="26" spans="1:19" x14ac:dyDescent="0.2">
      <c r="A26" s="107" t="s">
        <v>41</v>
      </c>
      <c r="B26" s="108"/>
      <c r="C26" s="577">
        <f>F59</f>
        <v>66.666666666666657</v>
      </c>
      <c r="D26" s="577">
        <f t="shared" ref="D26:F27" si="1">N52</f>
        <v>1.7845065</v>
      </c>
      <c r="E26" s="577">
        <f t="shared" si="1"/>
        <v>67.6935</v>
      </c>
      <c r="F26" s="578">
        <f t="shared" si="1"/>
        <v>4.6305000000000005</v>
      </c>
      <c r="K26" s="477" t="s">
        <v>500</v>
      </c>
      <c r="L26" s="477" t="s">
        <v>501</v>
      </c>
      <c r="M26" s="477" t="s">
        <v>488</v>
      </c>
      <c r="N26" s="477" t="s">
        <v>489</v>
      </c>
      <c r="O26" s="477" t="s">
        <v>490</v>
      </c>
      <c r="P26" s="477" t="s">
        <v>491</v>
      </c>
      <c r="Q26" s="477" t="s">
        <v>492</v>
      </c>
      <c r="R26" s="477" t="s">
        <v>493</v>
      </c>
      <c r="S26" s="477" t="s">
        <v>494</v>
      </c>
    </row>
    <row r="27" spans="1:19" x14ac:dyDescent="0.2">
      <c r="A27" s="107" t="s">
        <v>42</v>
      </c>
      <c r="B27" s="108"/>
      <c r="C27" s="577">
        <f>F54</f>
        <v>222.2222222222222</v>
      </c>
      <c r="D27" s="577">
        <f t="shared" si="1"/>
        <v>5.4794250000000003E-2</v>
      </c>
      <c r="E27" s="577">
        <f t="shared" si="1"/>
        <v>117.08550000000001</v>
      </c>
      <c r="F27" s="578">
        <f t="shared" si="1"/>
        <v>3.9690000000000003</v>
      </c>
      <c r="K27" s="98" t="s">
        <v>480</v>
      </c>
      <c r="L27" s="633">
        <v>95</v>
      </c>
      <c r="M27" s="91">
        <v>0.9</v>
      </c>
      <c r="N27" s="91">
        <f>L27*M27</f>
        <v>85.5</v>
      </c>
      <c r="O27" s="91">
        <f>N27/1000</f>
        <v>8.5500000000000007E-2</v>
      </c>
      <c r="P27" s="91">
        <v>1.07</v>
      </c>
      <c r="Q27" s="91">
        <v>0.3</v>
      </c>
      <c r="R27" s="91">
        <f>O27*P27</f>
        <v>9.1485000000000011E-2</v>
      </c>
      <c r="S27" s="91">
        <f>O27*Q27</f>
        <v>2.5650000000000003E-2</v>
      </c>
    </row>
    <row r="28" spans="1:19" x14ac:dyDescent="0.2">
      <c r="A28" s="107" t="s">
        <v>43</v>
      </c>
      <c r="B28" s="108"/>
      <c r="C28" s="577">
        <v>0</v>
      </c>
      <c r="D28" s="577">
        <v>0</v>
      </c>
      <c r="E28" s="577">
        <v>0</v>
      </c>
      <c r="F28" s="578">
        <v>0</v>
      </c>
      <c r="K28" s="98" t="s">
        <v>481</v>
      </c>
      <c r="L28" s="633">
        <v>0</v>
      </c>
      <c r="M28" s="91">
        <v>1.8</v>
      </c>
      <c r="N28" s="91">
        <f t="shared" ref="N28:N34" si="2">L28*M28</f>
        <v>0</v>
      </c>
      <c r="O28" s="91">
        <f t="shared" ref="O28:O34" si="3">N28/1000</f>
        <v>0</v>
      </c>
      <c r="P28" s="91">
        <v>0.85</v>
      </c>
      <c r="Q28" s="91">
        <v>0.28999999999999998</v>
      </c>
      <c r="R28" s="91">
        <f t="shared" ref="R28:R34" si="4">O28*P28</f>
        <v>0</v>
      </c>
      <c r="S28" s="91">
        <f t="shared" ref="S28:S34" si="5">O28*Q28</f>
        <v>0</v>
      </c>
    </row>
    <row r="29" spans="1:19" x14ac:dyDescent="0.2">
      <c r="A29" s="107" t="s">
        <v>44</v>
      </c>
      <c r="B29" s="108"/>
      <c r="C29" s="577">
        <v>0</v>
      </c>
      <c r="D29" s="577">
        <v>0</v>
      </c>
      <c r="E29" s="577">
        <v>0</v>
      </c>
      <c r="F29" s="578">
        <v>0</v>
      </c>
      <c r="K29" s="506" t="s">
        <v>482</v>
      </c>
      <c r="L29" s="633">
        <v>91</v>
      </c>
      <c r="M29" s="91">
        <v>360</v>
      </c>
      <c r="N29" s="91">
        <f t="shared" si="2"/>
        <v>32760</v>
      </c>
      <c r="O29" s="91">
        <f t="shared" si="3"/>
        <v>32.76</v>
      </c>
      <c r="P29" s="91">
        <v>0.31</v>
      </c>
      <c r="Q29" s="91">
        <v>0.09</v>
      </c>
      <c r="R29" s="91">
        <f t="shared" si="4"/>
        <v>10.1556</v>
      </c>
      <c r="S29" s="91">
        <f t="shared" si="5"/>
        <v>2.9483999999999999</v>
      </c>
    </row>
    <row r="30" spans="1:19" x14ac:dyDescent="0.2">
      <c r="A30" s="107" t="s">
        <v>45</v>
      </c>
      <c r="B30" s="108"/>
      <c r="C30" s="577">
        <f>F50+F51</f>
        <v>23372.839506172837</v>
      </c>
      <c r="D30" s="577">
        <f>N54+N57</f>
        <v>146.01917925000001</v>
      </c>
      <c r="E30" s="577">
        <f>O54+O57</f>
        <v>7171.9830000000002</v>
      </c>
      <c r="F30" s="578">
        <f>P54+P57</f>
        <v>771.75</v>
      </c>
      <c r="K30" s="506" t="s">
        <v>483</v>
      </c>
      <c r="L30" s="633">
        <v>69</v>
      </c>
      <c r="M30" s="91">
        <v>640</v>
      </c>
      <c r="N30" s="91">
        <f t="shared" si="2"/>
        <v>44160</v>
      </c>
      <c r="O30" s="91">
        <f t="shared" si="3"/>
        <v>44.16</v>
      </c>
      <c r="P30" s="91">
        <v>0.44</v>
      </c>
      <c r="Q30" s="91">
        <v>7.0000000000000007E-2</v>
      </c>
      <c r="R30" s="91">
        <f t="shared" si="4"/>
        <v>19.430399999999999</v>
      </c>
      <c r="S30" s="91">
        <f t="shared" si="5"/>
        <v>3.0912000000000002</v>
      </c>
    </row>
    <row r="31" spans="1:19" x14ac:dyDescent="0.2">
      <c r="A31" s="107" t="s">
        <v>46</v>
      </c>
      <c r="B31" s="108"/>
      <c r="C31" s="577">
        <f>F52</f>
        <v>3395.0617283950614</v>
      </c>
      <c r="D31" s="577">
        <f t="shared" ref="D31:F32" si="6">N55</f>
        <v>111.58049700000001</v>
      </c>
      <c r="E31" s="577">
        <f t="shared" si="6"/>
        <v>4522.6755000000003</v>
      </c>
      <c r="F31" s="578">
        <f t="shared" si="6"/>
        <v>462.82950000000005</v>
      </c>
      <c r="K31" s="506" t="s">
        <v>484</v>
      </c>
      <c r="L31" s="633">
        <v>242</v>
      </c>
      <c r="M31" s="91">
        <v>500</v>
      </c>
      <c r="N31" s="91">
        <f t="shared" si="2"/>
        <v>121000</v>
      </c>
      <c r="O31" s="91">
        <f t="shared" si="3"/>
        <v>121</v>
      </c>
      <c r="P31" s="91">
        <v>0.28000000000000003</v>
      </c>
      <c r="Q31" s="91">
        <v>0.06</v>
      </c>
      <c r="R31" s="91">
        <f t="shared" si="4"/>
        <v>33.880000000000003</v>
      </c>
      <c r="S31" s="91">
        <f t="shared" si="5"/>
        <v>7.26</v>
      </c>
    </row>
    <row r="32" spans="1:19" x14ac:dyDescent="0.2">
      <c r="A32" s="107" t="s">
        <v>47</v>
      </c>
      <c r="B32" s="108"/>
      <c r="C32" s="577">
        <f>F53</f>
        <v>965.43209876543199</v>
      </c>
      <c r="D32" s="577">
        <f t="shared" si="6"/>
        <v>31.739211000000005</v>
      </c>
      <c r="E32" s="577">
        <f t="shared" si="6"/>
        <v>1286.3969999999999</v>
      </c>
      <c r="F32" s="578">
        <f t="shared" si="6"/>
        <v>131.63850000000002</v>
      </c>
      <c r="K32" s="98" t="s">
        <v>485</v>
      </c>
      <c r="L32" s="633">
        <v>323</v>
      </c>
      <c r="M32" s="91">
        <v>61</v>
      </c>
      <c r="N32" s="91">
        <f t="shared" si="2"/>
        <v>19703</v>
      </c>
      <c r="O32" s="91">
        <f t="shared" si="3"/>
        <v>19.702999999999999</v>
      </c>
      <c r="P32" s="91">
        <v>0.48</v>
      </c>
      <c r="Q32" s="91">
        <v>0.15</v>
      </c>
      <c r="R32" s="91">
        <f t="shared" si="4"/>
        <v>9.4574400000000001</v>
      </c>
      <c r="S32" s="91">
        <f t="shared" si="5"/>
        <v>2.9554499999999999</v>
      </c>
    </row>
    <row r="33" spans="1:19" x14ac:dyDescent="0.2">
      <c r="A33" s="107" t="s">
        <v>48</v>
      </c>
      <c r="B33" s="108"/>
      <c r="C33" s="577">
        <v>0</v>
      </c>
      <c r="D33" s="577">
        <v>0</v>
      </c>
      <c r="E33" s="577">
        <v>0</v>
      </c>
      <c r="F33" s="578">
        <v>0</v>
      </c>
      <c r="K33" s="98" t="s">
        <v>486</v>
      </c>
      <c r="L33" s="633">
        <v>165</v>
      </c>
      <c r="M33" s="91">
        <v>50</v>
      </c>
      <c r="N33" s="91">
        <f t="shared" si="2"/>
        <v>8250</v>
      </c>
      <c r="O33" s="91">
        <f t="shared" si="3"/>
        <v>8.25</v>
      </c>
      <c r="P33" s="91">
        <v>0.37</v>
      </c>
      <c r="Q33" s="91">
        <v>0.1</v>
      </c>
      <c r="R33" s="91">
        <f t="shared" si="4"/>
        <v>3.0524999999999998</v>
      </c>
      <c r="S33" s="91">
        <f t="shared" si="5"/>
        <v>0.82500000000000007</v>
      </c>
    </row>
    <row r="34" spans="1:19" x14ac:dyDescent="0.2">
      <c r="A34" s="107" t="s">
        <v>49</v>
      </c>
      <c r="B34" s="108"/>
      <c r="C34" s="577">
        <v>0</v>
      </c>
      <c r="D34" s="577">
        <v>0</v>
      </c>
      <c r="E34" s="577">
        <v>0</v>
      </c>
      <c r="F34" s="578">
        <v>0</v>
      </c>
      <c r="K34" s="98" t="s">
        <v>487</v>
      </c>
      <c r="L34" s="633">
        <v>8</v>
      </c>
      <c r="M34" s="91">
        <v>6.8</v>
      </c>
      <c r="N34" s="91">
        <f t="shared" si="2"/>
        <v>54.4</v>
      </c>
      <c r="O34" s="91">
        <f t="shared" si="3"/>
        <v>5.4399999999999997E-2</v>
      </c>
      <c r="P34" s="91">
        <v>0.59</v>
      </c>
      <c r="Q34" s="91">
        <v>0.2</v>
      </c>
      <c r="R34" s="91">
        <f t="shared" si="4"/>
        <v>3.2096E-2</v>
      </c>
      <c r="S34" s="91">
        <f t="shared" si="5"/>
        <v>1.0880000000000001E-2</v>
      </c>
    </row>
    <row r="35" spans="1:19" x14ac:dyDescent="0.2">
      <c r="A35" s="107" t="s">
        <v>50</v>
      </c>
      <c r="B35" s="108"/>
      <c r="C35" s="577">
        <v>0</v>
      </c>
      <c r="D35" s="577">
        <v>0</v>
      </c>
      <c r="E35" s="577">
        <v>0</v>
      </c>
      <c r="F35" s="578">
        <v>0</v>
      </c>
    </row>
    <row r="36" spans="1:19" x14ac:dyDescent="0.2">
      <c r="A36" s="107" t="s">
        <v>52</v>
      </c>
      <c r="B36" s="108"/>
      <c r="C36" s="577" t="s">
        <v>64</v>
      </c>
      <c r="D36" s="577">
        <f>N58</f>
        <v>0</v>
      </c>
      <c r="E36" s="577">
        <f>O58</f>
        <v>4895.7615000000005</v>
      </c>
      <c r="F36" s="578">
        <f>P58</f>
        <v>1294.1144999999999</v>
      </c>
      <c r="P36" s="91" t="s">
        <v>496</v>
      </c>
      <c r="R36" s="96">
        <f>SUM(R27:R34)</f>
        <v>76.099520999999996</v>
      </c>
      <c r="S36" s="96">
        <f>SUM(S27:S34)</f>
        <v>17.116579999999999</v>
      </c>
    </row>
    <row r="37" spans="1:19" x14ac:dyDescent="0.2">
      <c r="A37" s="107" t="s">
        <v>53</v>
      </c>
      <c r="B37" s="108"/>
      <c r="C37" s="577" t="s">
        <v>64</v>
      </c>
      <c r="D37" s="577">
        <v>0</v>
      </c>
      <c r="E37" s="577">
        <v>0</v>
      </c>
      <c r="F37" s="578">
        <v>0</v>
      </c>
      <c r="P37" s="91" t="s">
        <v>497</v>
      </c>
      <c r="R37" s="96">
        <f>R27+R28+R34</f>
        <v>0.12358100000000001</v>
      </c>
      <c r="S37" s="96">
        <f>S27+S28+S34</f>
        <v>3.6530000000000007E-2</v>
      </c>
    </row>
    <row r="38" spans="1:19" x14ac:dyDescent="0.2">
      <c r="A38" s="107" t="s">
        <v>83</v>
      </c>
      <c r="B38" s="108"/>
      <c r="C38" s="577" t="s">
        <v>64</v>
      </c>
      <c r="D38" s="577">
        <f t="shared" ref="D38:F41" si="7">N59</f>
        <v>26700.070477499998</v>
      </c>
      <c r="E38" s="577">
        <f t="shared" si="7"/>
        <v>33246.99</v>
      </c>
      <c r="F38" s="578">
        <f t="shared" si="7"/>
        <v>13291.74</v>
      </c>
      <c r="K38" s="111"/>
      <c r="P38" s="91" t="s">
        <v>498</v>
      </c>
      <c r="R38" s="96">
        <f>SUM(R29:R33)</f>
        <v>75.975939999999994</v>
      </c>
      <c r="S38" s="96">
        <f>SUM(S29:S33)</f>
        <v>17.08005</v>
      </c>
    </row>
    <row r="39" spans="1:19" x14ac:dyDescent="0.2">
      <c r="A39" s="107" t="s">
        <v>54</v>
      </c>
      <c r="B39" s="108"/>
      <c r="C39" s="577" t="s">
        <v>64</v>
      </c>
      <c r="D39" s="577">
        <f t="shared" si="7"/>
        <v>0</v>
      </c>
      <c r="E39" s="577">
        <f t="shared" si="7"/>
        <v>132221.06099999999</v>
      </c>
      <c r="F39" s="578">
        <f t="shared" si="7"/>
        <v>2404.5525000000002</v>
      </c>
      <c r="P39" s="91" t="s">
        <v>478</v>
      </c>
      <c r="R39" s="588">
        <f>R37/R38</f>
        <v>1.6265807306892158E-3</v>
      </c>
      <c r="S39" s="588">
        <f>S37/S38</f>
        <v>2.1387525212162731E-3</v>
      </c>
    </row>
    <row r="40" spans="1:19" x14ac:dyDescent="0.2">
      <c r="A40" s="107" t="s">
        <v>55</v>
      </c>
      <c r="B40" s="108"/>
      <c r="C40" s="577" t="s">
        <v>64</v>
      </c>
      <c r="D40" s="577">
        <f t="shared" si="7"/>
        <v>0</v>
      </c>
      <c r="E40" s="577">
        <f t="shared" si="7"/>
        <v>121109.625</v>
      </c>
      <c r="F40" s="578">
        <f t="shared" si="7"/>
        <v>67820.949000000008</v>
      </c>
      <c r="P40" s="91" t="s">
        <v>477</v>
      </c>
      <c r="R40" s="588">
        <f>R38/R36</f>
        <v>0.99837606073762275</v>
      </c>
      <c r="S40" s="588">
        <f>S38/S36</f>
        <v>0.99786581197879487</v>
      </c>
    </row>
    <row r="41" spans="1:19" ht="13.5" thickBot="1" x14ac:dyDescent="0.25">
      <c r="A41" s="112" t="s">
        <v>56</v>
      </c>
      <c r="B41" s="113"/>
      <c r="C41" s="579" t="s">
        <v>64</v>
      </c>
      <c r="D41" s="579">
        <f t="shared" si="7"/>
        <v>0</v>
      </c>
      <c r="E41" s="579">
        <f t="shared" si="7"/>
        <v>10658.308499999999</v>
      </c>
      <c r="F41" s="580">
        <f t="shared" si="7"/>
        <v>0</v>
      </c>
    </row>
    <row r="42" spans="1:19" x14ac:dyDescent="0.2">
      <c r="A42" s="98"/>
      <c r="B42" s="98"/>
      <c r="C42" s="98"/>
      <c r="D42" s="98"/>
      <c r="E42" s="98"/>
      <c r="F42" s="98"/>
      <c r="K42" s="91" t="s">
        <v>499</v>
      </c>
    </row>
    <row r="43" spans="1:19" s="117" customFormat="1" x14ac:dyDescent="0.2">
      <c r="A43" s="115" t="s">
        <v>84</v>
      </c>
      <c r="B43" s="115"/>
      <c r="C43" s="581">
        <f>SUM(C20:C41)</f>
        <v>40567.9012345679</v>
      </c>
      <c r="D43" s="581">
        <f t="shared" ref="D43:F43" si="8">SUM(D20:D41)</f>
        <v>27452.939282999996</v>
      </c>
      <c r="E43" s="581">
        <f t="shared" si="8"/>
        <v>321753.82049999997</v>
      </c>
      <c r="F43" s="581">
        <f t="shared" si="8"/>
        <v>87800.013000000006</v>
      </c>
    </row>
    <row r="45" spans="1:19" x14ac:dyDescent="0.2">
      <c r="A45" s="94" t="s">
        <v>85</v>
      </c>
      <c r="H45" s="94" t="s">
        <v>86</v>
      </c>
    </row>
    <row r="46" spans="1:19" x14ac:dyDescent="0.2">
      <c r="A46" s="94"/>
    </row>
    <row r="47" spans="1:19" x14ac:dyDescent="0.2">
      <c r="A47" s="91" t="s">
        <v>87</v>
      </c>
      <c r="C47" s="111"/>
      <c r="D47" s="477" t="s">
        <v>88</v>
      </c>
      <c r="F47" s="111" t="s">
        <v>89</v>
      </c>
      <c r="H47" s="91" t="s">
        <v>90</v>
      </c>
      <c r="K47" s="477" t="s">
        <v>91</v>
      </c>
      <c r="L47" s="477" t="s">
        <v>92</v>
      </c>
      <c r="M47" s="477" t="s">
        <v>93</v>
      </c>
      <c r="N47" s="477" t="s">
        <v>94</v>
      </c>
      <c r="O47" s="477" t="s">
        <v>95</v>
      </c>
      <c r="P47" s="477" t="s">
        <v>96</v>
      </c>
    </row>
    <row r="48" spans="1:19" x14ac:dyDescent="0.2">
      <c r="A48" s="91" t="s">
        <v>97</v>
      </c>
      <c r="D48" s="633">
        <v>0.13</v>
      </c>
      <c r="F48" s="575">
        <f t="shared" ref="F48:F63" si="9">(D48*100)/0.405</f>
        <v>32.098765432098766</v>
      </c>
      <c r="H48" s="91" t="s">
        <v>98</v>
      </c>
      <c r="K48" s="634">
        <v>123914.2</v>
      </c>
      <c r="L48" s="634">
        <v>844.2</v>
      </c>
      <c r="M48" s="634">
        <v>311.8</v>
      </c>
      <c r="N48" s="584">
        <f>(2.205*K48)/2000</f>
        <v>136.61540549999998</v>
      </c>
      <c r="O48" s="584">
        <f>L48*2.205</f>
        <v>1861.4610000000002</v>
      </c>
      <c r="P48" s="584">
        <f>M48*2.205</f>
        <v>687.51900000000001</v>
      </c>
    </row>
    <row r="49" spans="1:16" x14ac:dyDescent="0.2">
      <c r="A49" s="91" t="s">
        <v>99</v>
      </c>
      <c r="D49" s="633">
        <v>0</v>
      </c>
      <c r="F49" s="575">
        <f t="shared" si="9"/>
        <v>0</v>
      </c>
      <c r="H49" s="91" t="s">
        <v>35</v>
      </c>
      <c r="K49" s="634">
        <v>286990.09999999998</v>
      </c>
      <c r="L49" s="634">
        <v>1452.8</v>
      </c>
      <c r="M49" s="634">
        <v>380.1</v>
      </c>
      <c r="N49" s="584">
        <f t="shared" ref="N49:N62" si="10">(2.205*K49)/2000</f>
        <v>316.40658524999998</v>
      </c>
      <c r="O49" s="584">
        <f t="shared" ref="O49:P62" si="11">L49*2.205</f>
        <v>3203.424</v>
      </c>
      <c r="P49" s="584">
        <f t="shared" si="11"/>
        <v>838.12050000000011</v>
      </c>
    </row>
    <row r="50" spans="1:16" x14ac:dyDescent="0.2">
      <c r="A50" s="91" t="s">
        <v>100</v>
      </c>
      <c r="D50" s="633">
        <v>62.33</v>
      </c>
      <c r="F50" s="575">
        <f t="shared" si="9"/>
        <v>15390.123456790123</v>
      </c>
      <c r="H50" s="91" t="s">
        <v>101</v>
      </c>
      <c r="K50" s="634">
        <v>7204.9</v>
      </c>
      <c r="L50" s="634">
        <v>515.6</v>
      </c>
      <c r="M50" s="634">
        <v>33.4</v>
      </c>
      <c r="N50" s="584">
        <f t="shared" si="10"/>
        <v>7.9434022500000001</v>
      </c>
      <c r="O50" s="584">
        <f t="shared" si="11"/>
        <v>1136.8980000000001</v>
      </c>
      <c r="P50" s="584">
        <f t="shared" si="11"/>
        <v>73.647000000000006</v>
      </c>
    </row>
    <row r="51" spans="1:16" x14ac:dyDescent="0.2">
      <c r="A51" s="91" t="s">
        <v>102</v>
      </c>
      <c r="D51" s="633">
        <v>32.33</v>
      </c>
      <c r="F51" s="575">
        <f t="shared" si="9"/>
        <v>7982.7160493827159</v>
      </c>
      <c r="H51" s="91" t="s">
        <v>103</v>
      </c>
      <c r="K51" s="634">
        <v>657.8</v>
      </c>
      <c r="L51" s="634">
        <v>115.4</v>
      </c>
      <c r="M51" s="634">
        <v>6.6</v>
      </c>
      <c r="N51" s="584">
        <f t="shared" si="10"/>
        <v>0.72522449999999994</v>
      </c>
      <c r="O51" s="584">
        <f t="shared" si="11"/>
        <v>254.45700000000002</v>
      </c>
      <c r="P51" s="584">
        <f t="shared" si="11"/>
        <v>14.552999999999999</v>
      </c>
    </row>
    <row r="52" spans="1:16" x14ac:dyDescent="0.2">
      <c r="A52" s="91" t="s">
        <v>104</v>
      </c>
      <c r="D52" s="633">
        <v>13.75</v>
      </c>
      <c r="F52" s="575">
        <f t="shared" si="9"/>
        <v>3395.0617283950614</v>
      </c>
      <c r="H52" s="91" t="s">
        <v>105</v>
      </c>
      <c r="K52" s="634">
        <v>1618.6</v>
      </c>
      <c r="L52" s="634">
        <v>30.7</v>
      </c>
      <c r="M52" s="634">
        <v>2.1</v>
      </c>
      <c r="N52" s="584">
        <f t="shared" si="10"/>
        <v>1.7845065</v>
      </c>
      <c r="O52" s="584">
        <f t="shared" si="11"/>
        <v>67.6935</v>
      </c>
      <c r="P52" s="584">
        <f t="shared" si="11"/>
        <v>4.6305000000000005</v>
      </c>
    </row>
    <row r="53" spans="1:16" x14ac:dyDescent="0.2">
      <c r="A53" s="91" t="s">
        <v>106</v>
      </c>
      <c r="D53" s="633">
        <v>3.91</v>
      </c>
      <c r="F53" s="575">
        <f t="shared" si="9"/>
        <v>965.43209876543199</v>
      </c>
      <c r="H53" s="91" t="s">
        <v>107</v>
      </c>
      <c r="K53" s="634">
        <v>49.7</v>
      </c>
      <c r="L53" s="634">
        <v>53.1</v>
      </c>
      <c r="M53" s="634">
        <v>1.8</v>
      </c>
      <c r="N53" s="584">
        <f t="shared" si="10"/>
        <v>5.4794250000000003E-2</v>
      </c>
      <c r="O53" s="584">
        <f t="shared" si="11"/>
        <v>117.08550000000001</v>
      </c>
      <c r="P53" s="584">
        <f t="shared" si="11"/>
        <v>3.9690000000000003</v>
      </c>
    </row>
    <row r="54" spans="1:16" x14ac:dyDescent="0.2">
      <c r="A54" s="91" t="s">
        <v>108</v>
      </c>
      <c r="D54" s="633">
        <v>0.9</v>
      </c>
      <c r="F54" s="575">
        <f t="shared" si="9"/>
        <v>222.2222222222222</v>
      </c>
      <c r="H54" s="91" t="s">
        <v>109</v>
      </c>
      <c r="K54" s="634">
        <v>45235.5</v>
      </c>
      <c r="L54" s="634">
        <v>1110.9000000000001</v>
      </c>
      <c r="M54" s="634">
        <v>119.5</v>
      </c>
      <c r="N54" s="584">
        <f t="shared" si="10"/>
        <v>49.872138749999998</v>
      </c>
      <c r="O54" s="584">
        <f t="shared" si="11"/>
        <v>2449.5345000000002</v>
      </c>
      <c r="P54" s="584">
        <f t="shared" si="11"/>
        <v>263.4975</v>
      </c>
    </row>
    <row r="55" spans="1:16" x14ac:dyDescent="0.2">
      <c r="A55" s="91" t="s">
        <v>110</v>
      </c>
      <c r="D55" s="633">
        <v>34.08</v>
      </c>
      <c r="F55" s="575">
        <f t="shared" si="9"/>
        <v>8414.8148148148139</v>
      </c>
      <c r="H55" s="91" t="s">
        <v>111</v>
      </c>
      <c r="K55" s="634">
        <v>101206.8</v>
      </c>
      <c r="L55" s="634">
        <v>2051.1</v>
      </c>
      <c r="M55" s="634">
        <v>209.9</v>
      </c>
      <c r="N55" s="584">
        <f t="shared" si="10"/>
        <v>111.58049700000001</v>
      </c>
      <c r="O55" s="584">
        <f t="shared" si="11"/>
        <v>4522.6755000000003</v>
      </c>
      <c r="P55" s="584">
        <f t="shared" si="11"/>
        <v>462.82950000000005</v>
      </c>
    </row>
    <row r="56" spans="1:16" x14ac:dyDescent="0.2">
      <c r="A56" s="91" t="s">
        <v>112</v>
      </c>
      <c r="D56" s="633">
        <v>0.54</v>
      </c>
      <c r="F56" s="575">
        <f t="shared" si="9"/>
        <v>133.33333333333331</v>
      </c>
      <c r="H56" s="91" t="s">
        <v>113</v>
      </c>
      <c r="K56" s="634">
        <v>28788.400000000001</v>
      </c>
      <c r="L56" s="634">
        <v>583.4</v>
      </c>
      <c r="M56" s="634">
        <v>59.7</v>
      </c>
      <c r="N56" s="584">
        <f t="shared" si="10"/>
        <v>31.739211000000005</v>
      </c>
      <c r="O56" s="584">
        <f t="shared" si="11"/>
        <v>1286.3969999999999</v>
      </c>
      <c r="P56" s="584">
        <f t="shared" si="11"/>
        <v>131.63850000000002</v>
      </c>
    </row>
    <row r="57" spans="1:16" x14ac:dyDescent="0.2">
      <c r="A57" s="91" t="s">
        <v>114</v>
      </c>
      <c r="D57" s="633">
        <v>1.73</v>
      </c>
      <c r="F57" s="575">
        <f t="shared" si="9"/>
        <v>427.16049382716045</v>
      </c>
      <c r="H57" s="91" t="s">
        <v>544</v>
      </c>
      <c r="K57" s="634">
        <v>87208.2</v>
      </c>
      <c r="L57" s="634">
        <v>2141.6999999999998</v>
      </c>
      <c r="M57" s="634">
        <v>230.5</v>
      </c>
      <c r="N57" s="584">
        <f t="shared" si="10"/>
        <v>96.147040500000003</v>
      </c>
      <c r="O57" s="584">
        <f t="shared" si="11"/>
        <v>4722.4484999999995</v>
      </c>
      <c r="P57" s="584">
        <f t="shared" si="11"/>
        <v>508.2525</v>
      </c>
    </row>
    <row r="58" spans="1:16" x14ac:dyDescent="0.2">
      <c r="A58" s="91" t="s">
        <v>116</v>
      </c>
      <c r="D58" s="633">
        <v>3.06</v>
      </c>
      <c r="F58" s="575">
        <f t="shared" si="9"/>
        <v>755.55555555555554</v>
      </c>
      <c r="H58" s="91" t="s">
        <v>52</v>
      </c>
      <c r="K58" s="634">
        <v>0</v>
      </c>
      <c r="L58" s="634">
        <v>2220.3000000000002</v>
      </c>
      <c r="M58" s="634">
        <v>586.9</v>
      </c>
      <c r="N58" s="584">
        <f t="shared" si="10"/>
        <v>0</v>
      </c>
      <c r="O58" s="584">
        <f t="shared" si="11"/>
        <v>4895.7615000000005</v>
      </c>
      <c r="P58" s="584">
        <f t="shared" si="11"/>
        <v>1294.1144999999999</v>
      </c>
    </row>
    <row r="59" spans="1:16" x14ac:dyDescent="0.2">
      <c r="A59" s="91" t="s">
        <v>117</v>
      </c>
      <c r="D59" s="633">
        <v>0.27</v>
      </c>
      <c r="F59" s="575">
        <f t="shared" si="9"/>
        <v>66.666666666666657</v>
      </c>
      <c r="H59" s="91" t="s">
        <v>118</v>
      </c>
      <c r="K59" s="634">
        <v>24217751</v>
      </c>
      <c r="L59" s="634">
        <v>15078</v>
      </c>
      <c r="M59" s="634">
        <v>6028</v>
      </c>
      <c r="N59" s="584">
        <f t="shared" si="10"/>
        <v>26700.070477499998</v>
      </c>
      <c r="O59" s="584">
        <f t="shared" si="11"/>
        <v>33246.99</v>
      </c>
      <c r="P59" s="584">
        <f t="shared" si="11"/>
        <v>13291.74</v>
      </c>
    </row>
    <row r="60" spans="1:16" x14ac:dyDescent="0.2">
      <c r="A60" s="91" t="s">
        <v>119</v>
      </c>
      <c r="D60" s="633">
        <v>6.75</v>
      </c>
      <c r="F60" s="575">
        <f t="shared" si="9"/>
        <v>1666.6666666666665</v>
      </c>
      <c r="H60" s="91" t="s">
        <v>120</v>
      </c>
      <c r="K60" s="634">
        <v>0</v>
      </c>
      <c r="L60" s="634">
        <v>59964.2</v>
      </c>
      <c r="M60" s="634">
        <v>1090.5</v>
      </c>
      <c r="N60" s="584">
        <f t="shared" si="10"/>
        <v>0</v>
      </c>
      <c r="O60" s="584">
        <f t="shared" si="11"/>
        <v>132221.06099999999</v>
      </c>
      <c r="P60" s="584">
        <f t="shared" si="11"/>
        <v>2404.5525000000002</v>
      </c>
    </row>
    <row r="61" spans="1:16" x14ac:dyDescent="0.2">
      <c r="A61" s="91" t="s">
        <v>121</v>
      </c>
      <c r="D61" s="633">
        <v>1.99</v>
      </c>
      <c r="F61" s="575">
        <f t="shared" si="9"/>
        <v>491.35802469135797</v>
      </c>
      <c r="H61" s="91" t="s">
        <v>122</v>
      </c>
      <c r="K61" s="634">
        <v>0</v>
      </c>
      <c r="L61" s="634">
        <v>54925</v>
      </c>
      <c r="M61" s="634">
        <v>30757.8</v>
      </c>
      <c r="N61" s="584">
        <f t="shared" si="10"/>
        <v>0</v>
      </c>
      <c r="O61" s="584">
        <f t="shared" si="11"/>
        <v>121109.625</v>
      </c>
      <c r="P61" s="584">
        <f t="shared" si="11"/>
        <v>67820.949000000008</v>
      </c>
    </row>
    <row r="62" spans="1:16" x14ac:dyDescent="0.2">
      <c r="A62" s="91" t="s">
        <v>123</v>
      </c>
      <c r="D62" s="633">
        <v>2.66</v>
      </c>
      <c r="F62" s="575">
        <f t="shared" si="9"/>
        <v>656.79012345679007</v>
      </c>
      <c r="H62" s="91" t="s">
        <v>56</v>
      </c>
      <c r="K62" s="634">
        <v>0</v>
      </c>
      <c r="L62" s="634">
        <v>4833.7</v>
      </c>
      <c r="M62" s="634">
        <v>0</v>
      </c>
      <c r="N62" s="584">
        <f t="shared" si="10"/>
        <v>0</v>
      </c>
      <c r="O62" s="584">
        <f t="shared" si="11"/>
        <v>10658.308499999999</v>
      </c>
      <c r="P62" s="584">
        <f t="shared" si="11"/>
        <v>0</v>
      </c>
    </row>
    <row r="63" spans="1:16" x14ac:dyDescent="0.2">
      <c r="A63" s="91" t="s">
        <v>124</v>
      </c>
      <c r="D63" s="633">
        <v>0</v>
      </c>
      <c r="F63" s="575">
        <f t="shared" si="9"/>
        <v>0</v>
      </c>
    </row>
    <row r="65" spans="1:16" s="117" customFormat="1" x14ac:dyDescent="0.2">
      <c r="A65" s="117" t="s">
        <v>84</v>
      </c>
      <c r="D65" s="118">
        <f>SUM(D49:D63)</f>
        <v>164.3</v>
      </c>
      <c r="F65" s="118">
        <f>SUM(F49:F63)</f>
        <v>40567.901234567893</v>
      </c>
      <c r="H65" s="117" t="s">
        <v>84</v>
      </c>
      <c r="K65" s="587">
        <f>SUM(K48:K63)</f>
        <v>24900625.199999999</v>
      </c>
      <c r="L65" s="587">
        <f t="shared" ref="L65:P65" si="12">SUM(L48:L63)</f>
        <v>145920.1</v>
      </c>
      <c r="M65" s="587">
        <f t="shared" si="12"/>
        <v>39818.6</v>
      </c>
      <c r="N65" s="587">
        <f t="shared" si="12"/>
        <v>27452.939282999996</v>
      </c>
      <c r="O65" s="587">
        <f t="shared" si="12"/>
        <v>321753.82049999997</v>
      </c>
      <c r="P65" s="587">
        <f t="shared" si="12"/>
        <v>87800.013000000006</v>
      </c>
    </row>
    <row r="68" spans="1:16" x14ac:dyDescent="0.2">
      <c r="A68" s="119" t="s">
        <v>125</v>
      </c>
    </row>
    <row r="70" spans="1:16" x14ac:dyDescent="0.2">
      <c r="A70" s="94" t="s">
        <v>126</v>
      </c>
    </row>
    <row r="72" spans="1:16" x14ac:dyDescent="0.2">
      <c r="A72" s="91" t="s">
        <v>87</v>
      </c>
      <c r="C72" s="111"/>
      <c r="D72" s="91" t="s">
        <v>88</v>
      </c>
      <c r="F72" s="111" t="s">
        <v>89</v>
      </c>
      <c r="I72" s="91" t="s">
        <v>424</v>
      </c>
      <c r="J72" s="91" t="s">
        <v>425</v>
      </c>
      <c r="K72" s="91" t="s">
        <v>426</v>
      </c>
    </row>
    <row r="73" spans="1:16" x14ac:dyDescent="0.2">
      <c r="A73" s="91" t="s">
        <v>97</v>
      </c>
      <c r="D73" s="633">
        <v>0</v>
      </c>
      <c r="F73" s="575">
        <f t="shared" ref="F73:F88" si="13">(D73*100)/0.405</f>
        <v>0</v>
      </c>
      <c r="I73" s="576"/>
      <c r="J73" s="576"/>
      <c r="K73" s="576"/>
    </row>
    <row r="74" spans="1:16" x14ac:dyDescent="0.2">
      <c r="A74" s="91" t="s">
        <v>99</v>
      </c>
      <c r="D74" s="633">
        <v>0</v>
      </c>
      <c r="F74" s="575">
        <f t="shared" si="13"/>
        <v>0</v>
      </c>
      <c r="I74" s="576"/>
      <c r="J74" s="576"/>
      <c r="K74" s="576"/>
    </row>
    <row r="75" spans="1:16" x14ac:dyDescent="0.2">
      <c r="A75" s="91" t="s">
        <v>100</v>
      </c>
      <c r="D75" s="633">
        <v>5.27</v>
      </c>
      <c r="F75" s="575">
        <f t="shared" si="13"/>
        <v>1301.2345679012344</v>
      </c>
      <c r="I75" s="582">
        <f>(+'Landcover Loading Rates'!V25)*F75</f>
        <v>1340.2716049382716</v>
      </c>
      <c r="J75" s="582">
        <f>(+'Landcover Loading Rates'!AA25)*F75</f>
        <v>468.44444444444434</v>
      </c>
      <c r="K75" s="582">
        <f>(+'Landcover Loading Rates'!Q25)*F75</f>
        <v>1727264.6096389184</v>
      </c>
      <c r="M75" s="408" t="s">
        <v>462</v>
      </c>
    </row>
    <row r="76" spans="1:16" x14ac:dyDescent="0.2">
      <c r="A76" s="91" t="s">
        <v>102</v>
      </c>
      <c r="D76" s="633">
        <v>2.79</v>
      </c>
      <c r="F76" s="575">
        <f t="shared" si="13"/>
        <v>688.8888888888888</v>
      </c>
      <c r="I76" s="582">
        <f>(+'Landcover Loading Rates'!V25)*F76</f>
        <v>709.55555555555543</v>
      </c>
      <c r="J76" s="582">
        <f>(+'Landcover Loading Rates'!AA25)*F76</f>
        <v>247.99999999999997</v>
      </c>
      <c r="K76" s="582">
        <f>(+'Landcover Loading Rates'!Q25)*F76</f>
        <v>914434.20510295685</v>
      </c>
    </row>
    <row r="77" spans="1:16" x14ac:dyDescent="0.2">
      <c r="A77" s="91" t="s">
        <v>104</v>
      </c>
      <c r="D77" s="633">
        <v>0.84</v>
      </c>
      <c r="F77" s="575">
        <f t="shared" si="13"/>
        <v>207.40740740740739</v>
      </c>
      <c r="I77" s="582">
        <f>(+'Landcover Loading Rates'!V26)*F77</f>
        <v>638.81481481481478</v>
      </c>
      <c r="J77" s="582">
        <f>(+'Landcover Loading Rates'!AA26)*F77</f>
        <v>138.96296296296296</v>
      </c>
      <c r="K77" s="582">
        <f>(+'Landcover Loading Rates'!Q26)*F77</f>
        <v>453994.45789811894</v>
      </c>
      <c r="M77" s="94" t="s">
        <v>453</v>
      </c>
      <c r="N77" s="440" t="s">
        <v>455</v>
      </c>
      <c r="O77" s="440" t="s">
        <v>454</v>
      </c>
    </row>
    <row r="78" spans="1:16" x14ac:dyDescent="0.2">
      <c r="A78" s="91" t="s">
        <v>106</v>
      </c>
      <c r="D78" s="633">
        <v>0.2</v>
      </c>
      <c r="F78" s="575">
        <f t="shared" si="13"/>
        <v>49.382716049382715</v>
      </c>
      <c r="I78" s="582">
        <f>(+'Landcover Loading Rates'!V27)*F78</f>
        <v>200.49382716049385</v>
      </c>
      <c r="J78" s="582">
        <f>(+'Landcover Loading Rates'!AA27)*F78</f>
        <v>42.469135802469133</v>
      </c>
      <c r="K78" s="582">
        <f>(+'Landcover Loading Rates'!Q27)*F78</f>
        <v>145851.5254438883</v>
      </c>
    </row>
    <row r="79" spans="1:16" x14ac:dyDescent="0.2">
      <c r="A79" s="91" t="s">
        <v>108</v>
      </c>
      <c r="D79" s="633">
        <v>0</v>
      </c>
      <c r="F79" s="575">
        <f t="shared" si="13"/>
        <v>0</v>
      </c>
      <c r="I79" s="582">
        <f>(+'Landcover Loading Rates'!V22)*F79</f>
        <v>0</v>
      </c>
      <c r="J79" s="582">
        <f>(+'Landcover Loading Rates'!AA22)*F79</f>
        <v>0</v>
      </c>
      <c r="K79" s="582">
        <f>(+'Landcover Loading Rates'!Q22)*F79</f>
        <v>0</v>
      </c>
      <c r="M79" s="91" t="s">
        <v>456</v>
      </c>
      <c r="N79" s="633">
        <v>21.6</v>
      </c>
      <c r="O79" s="584">
        <f>N79*3280.84</f>
        <v>70866.144000000015</v>
      </c>
    </row>
    <row r="80" spans="1:16" x14ac:dyDescent="0.2">
      <c r="A80" s="91" t="s">
        <v>110</v>
      </c>
      <c r="D80" s="633">
        <v>1.49</v>
      </c>
      <c r="F80" s="575">
        <f t="shared" si="13"/>
        <v>367.90123456790121</v>
      </c>
      <c r="I80" s="582">
        <f>(+'Landcover Loading Rates'!V17)*F80</f>
        <v>268.5679012345679</v>
      </c>
      <c r="J80" s="582">
        <f>(+'Landcover Loading Rates'!AA17)*F80</f>
        <v>95.654320987654316</v>
      </c>
      <c r="K80" s="582">
        <f>(+'Landcover Loading Rates'!Q17)*F80</f>
        <v>363806.09912887821</v>
      </c>
      <c r="M80" s="91" t="s">
        <v>457</v>
      </c>
      <c r="N80" s="633">
        <v>4.2699999999999996</v>
      </c>
      <c r="O80" s="584">
        <f t="shared" ref="O80:O81" si="14">N80*3280.84</f>
        <v>14009.186799999999</v>
      </c>
    </row>
    <row r="81" spans="1:15" x14ac:dyDescent="0.2">
      <c r="A81" s="91" t="s">
        <v>112</v>
      </c>
      <c r="D81" s="633">
        <v>0.02</v>
      </c>
      <c r="F81" s="575">
        <f t="shared" si="13"/>
        <v>4.9382716049382713</v>
      </c>
      <c r="I81" s="582">
        <f>(+'Landcover Loading Rates'!V17)*F81</f>
        <v>3.6049382716049378</v>
      </c>
      <c r="J81" s="582">
        <f>(+'Landcover Loading Rates'!AA17)*F81</f>
        <v>1.2839506172839505</v>
      </c>
      <c r="K81" s="582">
        <f>(+'Landcover Loading Rates'!Q17)*F81</f>
        <v>4883.3033440117888</v>
      </c>
      <c r="M81" s="91" t="s">
        <v>458</v>
      </c>
      <c r="N81" s="633">
        <v>17.329999999999998</v>
      </c>
      <c r="O81" s="584">
        <f t="shared" si="14"/>
        <v>56856.957199999997</v>
      </c>
    </row>
    <row r="82" spans="1:15" x14ac:dyDescent="0.2">
      <c r="A82" s="91" t="s">
        <v>114</v>
      </c>
      <c r="D82" s="633">
        <v>0.06</v>
      </c>
      <c r="F82" s="575">
        <f t="shared" si="13"/>
        <v>14.814814814814813</v>
      </c>
      <c r="I82" s="582">
        <f>(+'Landcover Loading Rates'!V17)*F82</f>
        <v>10.814814814814813</v>
      </c>
      <c r="J82" s="582">
        <f>(+'Landcover Loading Rates'!AA17)*F82</f>
        <v>3.8518518518518516</v>
      </c>
      <c r="K82" s="582">
        <f>(+'Landcover Loading Rates'!Q17)*F82</f>
        <v>14649.910032035365</v>
      </c>
    </row>
    <row r="83" spans="1:15" x14ac:dyDescent="0.2">
      <c r="A83" s="91" t="s">
        <v>116</v>
      </c>
      <c r="D83" s="633">
        <v>0.7</v>
      </c>
      <c r="F83" s="575">
        <f t="shared" si="13"/>
        <v>172.83950617283949</v>
      </c>
      <c r="I83" s="582">
        <f>(+'Landcover Loading Rates'!V17)*F83</f>
        <v>126.17283950617282</v>
      </c>
      <c r="J83" s="582">
        <f>(+'Landcover Loading Rates'!AA17)*F83</f>
        <v>44.938271604938272</v>
      </c>
      <c r="K83" s="582">
        <f>(+'Landcover Loading Rates'!Q17)*F83</f>
        <v>170915.61704041259</v>
      </c>
      <c r="M83" s="111" t="s">
        <v>459</v>
      </c>
    </row>
    <row r="84" spans="1:15" x14ac:dyDescent="0.2">
      <c r="A84" s="91" t="s">
        <v>117</v>
      </c>
      <c r="D84" s="633">
        <v>0.15</v>
      </c>
      <c r="F84" s="575">
        <f t="shared" si="13"/>
        <v>37.037037037037038</v>
      </c>
      <c r="I84" s="582">
        <f>(+'Landcover Loading Rates'!V21)*F84</f>
        <v>60.370370370370367</v>
      </c>
      <c r="J84" s="582">
        <f>(+'Landcover Loading Rates'!AA21)*F84</f>
        <v>11.851851851851853</v>
      </c>
      <c r="K84" s="582">
        <f>(+'Landcover Loading Rates'!Q21)*F84</f>
        <v>38547.09266889836</v>
      </c>
    </row>
    <row r="85" spans="1:15" x14ac:dyDescent="0.2">
      <c r="A85" s="91" t="s">
        <v>119</v>
      </c>
      <c r="D85" s="633">
        <v>4.66</v>
      </c>
      <c r="F85" s="575">
        <f t="shared" si="13"/>
        <v>1150.6172839506173</v>
      </c>
      <c r="I85" s="582">
        <f>(+'Landcover Loading Rates'!V15)*F85</f>
        <v>4602.4691358024693</v>
      </c>
      <c r="J85" s="582">
        <f>(+'Landcover Loading Rates'!AA15)*F85</f>
        <v>1449.7777777777776</v>
      </c>
      <c r="K85" s="582">
        <f>(+'Landcover Loading Rates'!Q15)*F85</f>
        <v>1324561.6144337759</v>
      </c>
    </row>
    <row r="86" spans="1:15" x14ac:dyDescent="0.2">
      <c r="A86" s="91" t="s">
        <v>121</v>
      </c>
      <c r="D86" s="633">
        <v>1.2</v>
      </c>
      <c r="F86" s="575">
        <f t="shared" si="13"/>
        <v>296.2962962962963</v>
      </c>
      <c r="I86" s="582">
        <f>(+'Landcover Loading Rates'!V16)*F86</f>
        <v>2785.1851851851852</v>
      </c>
      <c r="J86" s="582">
        <f>(+'Landcover Loading Rates'!AA16)*F86</f>
        <v>758.51851851851859</v>
      </c>
      <c r="K86" s="582">
        <f>(+'Landcover Loading Rates'!Q16)*F86</f>
        <v>674110.34305972967</v>
      </c>
    </row>
    <row r="87" spans="1:15" x14ac:dyDescent="0.2">
      <c r="A87" s="91" t="s">
        <v>123</v>
      </c>
      <c r="D87" s="633">
        <v>0.06</v>
      </c>
      <c r="F87" s="575">
        <f t="shared" si="13"/>
        <v>14.814814814814813</v>
      </c>
      <c r="I87" s="582">
        <f>(+'Landcover Loading Rates'!V18)*F87</f>
        <v>14.814814814814813</v>
      </c>
      <c r="J87" s="582">
        <f>(+'Landcover Loading Rates'!AA18)*F87</f>
        <v>4</v>
      </c>
      <c r="K87" s="582">
        <f>(+'Landcover Loading Rates'!Q18)*F87</f>
        <v>14658.439962296185</v>
      </c>
    </row>
    <row r="88" spans="1:15" x14ac:dyDescent="0.2">
      <c r="A88" s="91" t="s">
        <v>124</v>
      </c>
      <c r="D88" s="633">
        <v>0.01</v>
      </c>
      <c r="F88" s="575">
        <f t="shared" si="13"/>
        <v>2.4691358024691357</v>
      </c>
      <c r="I88" s="582">
        <f>(+'Landcover Loading Rates'!V18)*F88</f>
        <v>2.4691358024691357</v>
      </c>
      <c r="J88" s="582">
        <f>(+'Landcover Loading Rates'!AA18)*F88</f>
        <v>0.66666666666666663</v>
      </c>
      <c r="K88" s="582">
        <f>(+'Landcover Loading Rates'!Q18)*F88</f>
        <v>2443.0733270493643</v>
      </c>
    </row>
    <row r="90" spans="1:15" x14ac:dyDescent="0.2">
      <c r="A90" s="117" t="s">
        <v>84</v>
      </c>
      <c r="B90" s="117"/>
      <c r="C90" s="117"/>
      <c r="D90" s="118">
        <f>SUM(D74:D88)</f>
        <v>17.45</v>
      </c>
      <c r="E90" s="117"/>
      <c r="F90" s="118">
        <f>SUM(F74:F88)</f>
        <v>4308.641975308642</v>
      </c>
      <c r="I90" s="118">
        <f>SUM(I74:I88)</f>
        <v>10763.604938271606</v>
      </c>
      <c r="J90" s="118">
        <f>SUM(J74:J88)</f>
        <v>3268.4197530864194</v>
      </c>
      <c r="K90" s="118">
        <f>SUM(K74:K88)</f>
        <v>5850120.2910809694</v>
      </c>
    </row>
    <row r="93" spans="1:15" x14ac:dyDescent="0.2">
      <c r="A93" s="91" t="s">
        <v>87</v>
      </c>
      <c r="D93" s="408" t="s">
        <v>438</v>
      </c>
      <c r="F93" s="91" t="s">
        <v>423</v>
      </c>
    </row>
    <row r="94" spans="1:15" x14ac:dyDescent="0.2">
      <c r="A94" s="91" t="s">
        <v>97</v>
      </c>
      <c r="D94" s="635">
        <v>0</v>
      </c>
      <c r="F94" s="583">
        <f>((D94/1000000)*100)/0.405</f>
        <v>0</v>
      </c>
      <c r="I94" s="576"/>
      <c r="J94" s="576"/>
      <c r="K94" s="576"/>
    </row>
    <row r="95" spans="1:15" x14ac:dyDescent="0.2">
      <c r="A95" s="91" t="s">
        <v>99</v>
      </c>
      <c r="D95" s="635">
        <v>0</v>
      </c>
      <c r="F95" s="583">
        <f t="shared" ref="F95:F109" si="15">((D95/1000000)*100)/0.405</f>
        <v>0</v>
      </c>
      <c r="I95" s="576"/>
      <c r="J95" s="576"/>
      <c r="K95" s="576"/>
    </row>
    <row r="96" spans="1:15" x14ac:dyDescent="0.2">
      <c r="A96" s="91" t="s">
        <v>100</v>
      </c>
      <c r="D96" s="635">
        <v>0</v>
      </c>
      <c r="F96" s="583">
        <f t="shared" si="15"/>
        <v>0</v>
      </c>
      <c r="I96" s="582">
        <f>(+'Landcover Loading Rates'!V25)*F96</f>
        <v>0</v>
      </c>
      <c r="J96" s="582">
        <f>(+'Landcover Loading Rates'!AA25)*F96</f>
        <v>0</v>
      </c>
      <c r="K96" s="582">
        <f>(+'Landcover Loading Rates'!Q25)*F96</f>
        <v>0</v>
      </c>
    </row>
    <row r="97" spans="1:13" x14ac:dyDescent="0.2">
      <c r="A97" s="91" t="s">
        <v>102</v>
      </c>
      <c r="D97" s="635">
        <v>0</v>
      </c>
      <c r="F97" s="583">
        <f t="shared" si="15"/>
        <v>0</v>
      </c>
      <c r="I97" s="582">
        <f>(+'Landcover Loading Rates'!V25)*F97</f>
        <v>0</v>
      </c>
      <c r="J97" s="582">
        <f>(+'Landcover Loading Rates'!AA25)*F97</f>
        <v>0</v>
      </c>
      <c r="K97" s="582">
        <f>(+'Landcover Loading Rates'!Q25)*F97</f>
        <v>0</v>
      </c>
    </row>
    <row r="98" spans="1:13" x14ac:dyDescent="0.2">
      <c r="A98" s="91" t="s">
        <v>104</v>
      </c>
      <c r="D98" s="635">
        <v>0</v>
      </c>
      <c r="F98" s="583">
        <f t="shared" si="15"/>
        <v>0</v>
      </c>
      <c r="I98" s="582">
        <f>(+'Landcover Loading Rates'!V26)*F98</f>
        <v>0</v>
      </c>
      <c r="J98" s="582">
        <f>(+'Landcover Loading Rates'!AA26)*F98</f>
        <v>0</v>
      </c>
      <c r="K98" s="582">
        <f>(+'Landcover Loading Rates'!Q26)*F98</f>
        <v>0</v>
      </c>
    </row>
    <row r="99" spans="1:13" x14ac:dyDescent="0.2">
      <c r="A99" s="91" t="s">
        <v>106</v>
      </c>
      <c r="D99" s="635">
        <v>0</v>
      </c>
      <c r="F99" s="583">
        <f t="shared" si="15"/>
        <v>0</v>
      </c>
      <c r="I99" s="582">
        <f>(+'Landcover Loading Rates'!V27)*F99</f>
        <v>0</v>
      </c>
      <c r="J99" s="582">
        <f>(+'Landcover Loading Rates'!AA27)*F99</f>
        <v>0</v>
      </c>
      <c r="K99" s="582">
        <f>(+'Landcover Loading Rates'!Q27)*F99</f>
        <v>0</v>
      </c>
      <c r="M99" s="408" t="s">
        <v>439</v>
      </c>
    </row>
    <row r="100" spans="1:13" x14ac:dyDescent="0.2">
      <c r="A100" s="91" t="s">
        <v>108</v>
      </c>
      <c r="D100" s="635">
        <v>0</v>
      </c>
      <c r="F100" s="583">
        <f t="shared" si="15"/>
        <v>0</v>
      </c>
      <c r="I100" s="582">
        <f>(+'Landcover Loading Rates'!V22)*F100</f>
        <v>0</v>
      </c>
      <c r="J100" s="582">
        <f>(+'Landcover Loading Rates'!AA22)*F100</f>
        <v>0</v>
      </c>
      <c r="K100" s="582">
        <f>(+'Landcover Loading Rates'!Q22)*F100</f>
        <v>0</v>
      </c>
      <c r="M100" s="408" t="s">
        <v>675</v>
      </c>
    </row>
    <row r="101" spans="1:13" x14ac:dyDescent="0.2">
      <c r="A101" s="91" t="s">
        <v>110</v>
      </c>
      <c r="D101" s="635">
        <v>0</v>
      </c>
      <c r="F101" s="583">
        <f t="shared" si="15"/>
        <v>0</v>
      </c>
      <c r="I101" s="582">
        <f>(+'Landcover Loading Rates'!V17)*F101</f>
        <v>0</v>
      </c>
      <c r="J101" s="582">
        <f>(+'Landcover Loading Rates'!AA17)*F101</f>
        <v>0</v>
      </c>
      <c r="K101" s="582">
        <f>(+'Landcover Loading Rates'!Q17)*F101</f>
        <v>0</v>
      </c>
    </row>
    <row r="102" spans="1:13" x14ac:dyDescent="0.2">
      <c r="A102" s="91" t="s">
        <v>112</v>
      </c>
      <c r="D102" s="635">
        <v>0</v>
      </c>
      <c r="F102" s="583">
        <f t="shared" si="15"/>
        <v>0</v>
      </c>
      <c r="I102" s="582">
        <f>(+'Landcover Loading Rates'!V17)*F102</f>
        <v>0</v>
      </c>
      <c r="J102" s="582">
        <f>(+'Landcover Loading Rates'!AA17)*F102</f>
        <v>0</v>
      </c>
      <c r="K102" s="582">
        <f>(+'Landcover Loading Rates'!Q17)*F102</f>
        <v>0</v>
      </c>
    </row>
    <row r="103" spans="1:13" x14ac:dyDescent="0.2">
      <c r="A103" s="91" t="s">
        <v>114</v>
      </c>
      <c r="D103" s="635">
        <v>0</v>
      </c>
      <c r="F103" s="583">
        <f t="shared" si="15"/>
        <v>0</v>
      </c>
      <c r="I103" s="582">
        <f>(+'Landcover Loading Rates'!V17)*F103</f>
        <v>0</v>
      </c>
      <c r="J103" s="582">
        <f>(+'Landcover Loading Rates'!AA17)*F103</f>
        <v>0</v>
      </c>
      <c r="K103" s="582">
        <f>(+'Landcover Loading Rates'!Q17)*F103</f>
        <v>0</v>
      </c>
    </row>
    <row r="104" spans="1:13" x14ac:dyDescent="0.2">
      <c r="A104" s="91" t="s">
        <v>116</v>
      </c>
      <c r="D104" s="635">
        <v>0</v>
      </c>
      <c r="F104" s="583">
        <f t="shared" si="15"/>
        <v>0</v>
      </c>
      <c r="I104" s="582">
        <f>(+'Landcover Loading Rates'!V17)*F104</f>
        <v>0</v>
      </c>
      <c r="J104" s="582">
        <f>(+'Landcover Loading Rates'!AA17)*F104</f>
        <v>0</v>
      </c>
      <c r="K104" s="582">
        <f>(+'Landcover Loading Rates'!Q17)*F104</f>
        <v>0</v>
      </c>
    </row>
    <row r="105" spans="1:13" x14ac:dyDescent="0.2">
      <c r="A105" s="91" t="s">
        <v>117</v>
      </c>
      <c r="D105" s="635">
        <v>0</v>
      </c>
      <c r="F105" s="583">
        <f t="shared" si="15"/>
        <v>0</v>
      </c>
      <c r="I105" s="582">
        <f>(+'Landcover Loading Rates'!V21)*F105</f>
        <v>0</v>
      </c>
      <c r="J105" s="582">
        <f>(+'Landcover Loading Rates'!AA21)*F105</f>
        <v>0</v>
      </c>
      <c r="K105" s="582">
        <f>(+'Landcover Loading Rates'!Q21)*F105</f>
        <v>0</v>
      </c>
    </row>
    <row r="106" spans="1:13" x14ac:dyDescent="0.2">
      <c r="A106" s="91" t="s">
        <v>119</v>
      </c>
      <c r="D106" s="635">
        <v>0</v>
      </c>
      <c r="F106" s="583">
        <f t="shared" si="15"/>
        <v>0</v>
      </c>
      <c r="I106" s="582">
        <f>(+'Landcover Loading Rates'!V15)*F106</f>
        <v>0</v>
      </c>
      <c r="J106" s="582">
        <f>(+'Landcover Loading Rates'!AA15)*F106</f>
        <v>0</v>
      </c>
      <c r="K106" s="582">
        <f>(+'Landcover Loading Rates'!Q15)*F106</f>
        <v>0</v>
      </c>
    </row>
    <row r="107" spans="1:13" x14ac:dyDescent="0.2">
      <c r="A107" s="91" t="s">
        <v>121</v>
      </c>
      <c r="D107" s="635">
        <v>0</v>
      </c>
      <c r="F107" s="583">
        <f t="shared" si="15"/>
        <v>0</v>
      </c>
      <c r="I107" s="582">
        <f>(+'Landcover Loading Rates'!V16)*F107</f>
        <v>0</v>
      </c>
      <c r="J107" s="582">
        <f>(+'Landcover Loading Rates'!AA16)*F107</f>
        <v>0</v>
      </c>
      <c r="K107" s="582">
        <f>(+'Landcover Loading Rates'!Q16)*F107</f>
        <v>0</v>
      </c>
    </row>
    <row r="108" spans="1:13" x14ac:dyDescent="0.2">
      <c r="A108" s="91" t="s">
        <v>123</v>
      </c>
      <c r="D108" s="635">
        <v>0</v>
      </c>
      <c r="F108" s="583">
        <f t="shared" si="15"/>
        <v>0</v>
      </c>
      <c r="I108" s="582">
        <f>(+'Landcover Loading Rates'!V18)*F108</f>
        <v>0</v>
      </c>
      <c r="J108" s="582">
        <f>(+'Landcover Loading Rates'!AA18)*F108</f>
        <v>0</v>
      </c>
      <c r="K108" s="582">
        <f>(+'Landcover Loading Rates'!Q18)*F108</f>
        <v>0</v>
      </c>
    </row>
    <row r="109" spans="1:13" x14ac:dyDescent="0.2">
      <c r="A109" s="91" t="s">
        <v>124</v>
      </c>
      <c r="D109" s="635">
        <v>0</v>
      </c>
      <c r="F109" s="583">
        <f t="shared" si="15"/>
        <v>0</v>
      </c>
      <c r="I109" s="582">
        <f>(+'Landcover Loading Rates'!V18)*F109</f>
        <v>0</v>
      </c>
      <c r="J109" s="582">
        <f>(+'Landcover Loading Rates'!AA18)*F109</f>
        <v>0</v>
      </c>
      <c r="K109" s="582">
        <f>(+'Landcover Loading Rates'!Q18)*F109</f>
        <v>0</v>
      </c>
    </row>
    <row r="111" spans="1:13" s="117" customFormat="1" x14ac:dyDescent="0.2">
      <c r="A111" s="117" t="s">
        <v>84</v>
      </c>
      <c r="D111" s="117">
        <f>SUM(D94:D109)</f>
        <v>0</v>
      </c>
      <c r="F111" s="393">
        <f>SUM(F94:F109)</f>
        <v>0</v>
      </c>
      <c r="I111" s="118">
        <f>SUM(I96:I109)</f>
        <v>0</v>
      </c>
      <c r="J111" s="118">
        <f>SUM(J96:J109)</f>
        <v>0</v>
      </c>
      <c r="K111" s="118">
        <f>SUM(K96:K109)</f>
        <v>0</v>
      </c>
    </row>
    <row r="114" spans="1:11" s="94" customFormat="1" x14ac:dyDescent="0.2">
      <c r="A114" s="94" t="s">
        <v>440</v>
      </c>
      <c r="I114" s="409">
        <f>I90+I111</f>
        <v>10763.604938271606</v>
      </c>
      <c r="J114" s="409">
        <f t="shared" ref="J114:K114" si="16">J90+J111</f>
        <v>3268.4197530864194</v>
      </c>
      <c r="K114" s="409">
        <f t="shared" si="16"/>
        <v>5850120.2910809694</v>
      </c>
    </row>
  </sheetData>
  <sheetProtection algorithmName="SHA-512" hashValue="JmC0IEJ3Sk4i2gScnrWV/MygY85f8sV/u+MUqrGQqzmTUKMHkMGXZpvBXyxyuIKSpL3RZTp1FSO70C9QJZy7DA==" saltValue="rUEOKZSgF6JMaE/VyzhakQ==" spinCount="100000" sheet="1" objects="1" scenarios="1"/>
  <mergeCells count="4">
    <mergeCell ref="B3:C3"/>
    <mergeCell ref="A7:F7"/>
    <mergeCell ref="C16:F16"/>
    <mergeCell ref="B2:C2"/>
  </mergeCells>
  <pageMargins left="0.75" right="0.35" top="0.5" bottom="0.75" header="0.3" footer="0.3"/>
  <pageSetup scale="89" orientation="portrait" r:id="rId1"/>
  <headerFooter>
    <oddFooter>&amp;L&amp;"Arial,Regular"&amp;9Section 3: Christina Basin MapShed Output&amp;C&amp;"Arial,Regular"&amp;9Page &amp;P of &amp;N&amp;R&amp;"Arial,Regular"&amp;9Christina Basin Loading Rates Tool (May 5, 2017)</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34998626667073579"/>
  </sheetPr>
  <dimension ref="A1:AB51"/>
  <sheetViews>
    <sheetView zoomScale="80" zoomScaleNormal="80" workbookViewId="0"/>
  </sheetViews>
  <sheetFormatPr defaultColWidth="11" defaultRowHeight="15.75" x14ac:dyDescent="0.25"/>
  <cols>
    <col min="1" max="1" width="3.375" style="7" customWidth="1"/>
    <col min="2" max="2" width="16.5" style="7" customWidth="1"/>
    <col min="3" max="3" width="11.375" style="7" customWidth="1"/>
    <col min="4" max="4" width="10.875" style="7" hidden="1" customWidth="1"/>
    <col min="5" max="5" width="14.375" style="7" hidden="1" customWidth="1"/>
    <col min="6" max="6" width="10.875" style="7" hidden="1" customWidth="1"/>
    <col min="7" max="7" width="12.625" style="7" customWidth="1"/>
    <col min="8" max="8" width="9.5" style="7" hidden="1" customWidth="1"/>
    <col min="9" max="9" width="10.875" style="7" hidden="1" customWidth="1"/>
    <col min="10" max="10" width="12.5" style="7" customWidth="1"/>
    <col min="11" max="11" width="9.5" style="7" hidden="1" customWidth="1"/>
    <col min="12" max="12" width="10.875" style="7" hidden="1" customWidth="1"/>
    <col min="13" max="13" width="13" style="7" customWidth="1"/>
    <col min="14" max="14" width="5.375" style="9" customWidth="1"/>
    <col min="15" max="15" width="13.875" style="7" customWidth="1"/>
    <col min="16" max="16" width="14.5" style="8" customWidth="1"/>
    <col min="17" max="17" width="19.125" style="7" customWidth="1"/>
    <col min="18" max="18" width="5.375" style="7" customWidth="1"/>
    <col min="19" max="19" width="12.375" style="7" customWidth="1"/>
    <col min="20" max="20" width="12.875" style="7" customWidth="1"/>
    <col min="21" max="21" width="12.5" style="7" customWidth="1"/>
    <col min="22" max="22" width="19.125" style="7" customWidth="1"/>
    <col min="23" max="23" width="8.5" style="7" customWidth="1"/>
    <col min="24" max="24" width="15.625" style="7" customWidth="1"/>
    <col min="25" max="25" width="16.125" style="7" customWidth="1"/>
    <col min="26" max="26" width="16.5" style="7" customWidth="1"/>
    <col min="27" max="27" width="18.375" style="7" customWidth="1"/>
    <col min="28" max="28" width="14.625" style="7" customWidth="1"/>
  </cols>
  <sheetData>
    <row r="1" spans="1:28" x14ac:dyDescent="0.25">
      <c r="A1" s="6" t="s">
        <v>6</v>
      </c>
      <c r="B1" s="6"/>
      <c r="C1" s="6"/>
      <c r="D1" s="6"/>
      <c r="E1" s="6"/>
      <c r="F1" s="6"/>
      <c r="G1" s="6"/>
      <c r="H1" s="6"/>
      <c r="I1" s="6"/>
      <c r="J1" s="6"/>
    </row>
    <row r="2" spans="1:28" s="338" customFormat="1" ht="12.75" x14ac:dyDescent="0.2">
      <c r="A2" s="492" t="str">
        <f>CONCATENATE("Watershed: ",'MMW Output'!B2)</f>
        <v>Watershed: User Specified</v>
      </c>
      <c r="B2" s="492"/>
      <c r="C2" s="7"/>
      <c r="D2" s="7"/>
      <c r="E2" s="7"/>
      <c r="F2" s="7"/>
      <c r="G2" s="7"/>
      <c r="H2" s="7"/>
      <c r="I2" s="7"/>
      <c r="J2" s="7"/>
      <c r="K2" s="7"/>
      <c r="L2" s="7"/>
      <c r="M2" s="7"/>
      <c r="N2" s="9"/>
      <c r="O2" s="7"/>
      <c r="P2" s="8"/>
      <c r="Q2" s="7"/>
      <c r="R2" s="7"/>
      <c r="S2" s="7"/>
      <c r="T2" s="7"/>
      <c r="U2" s="7"/>
      <c r="V2" s="7"/>
      <c r="W2" s="7"/>
      <c r="X2" s="7"/>
      <c r="Y2" s="7"/>
      <c r="Z2" s="7"/>
      <c r="AA2" s="7"/>
      <c r="AB2" s="7"/>
    </row>
    <row r="3" spans="1:28" s="338" customFormat="1" ht="12.75" x14ac:dyDescent="0.2">
      <c r="A3" s="492" t="str">
        <f>CONCATENATE("Year: ",'MMW Output'!C14)</f>
        <v>Year: User Specified</v>
      </c>
      <c r="B3" s="492"/>
      <c r="C3" s="7"/>
      <c r="D3" s="9"/>
      <c r="E3" s="9"/>
      <c r="F3" s="9"/>
      <c r="G3" s="90"/>
      <c r="H3" s="7"/>
      <c r="I3" s="7"/>
      <c r="J3" s="7"/>
      <c r="K3" s="7"/>
      <c r="L3" s="7"/>
      <c r="M3" s="7"/>
      <c r="N3" s="9"/>
      <c r="O3" s="7"/>
      <c r="P3" s="8"/>
      <c r="Q3" s="7"/>
      <c r="R3" s="7"/>
      <c r="S3" s="7"/>
      <c r="T3" s="7"/>
      <c r="U3" s="7"/>
      <c r="V3" s="7"/>
      <c r="W3" s="7"/>
      <c r="X3" s="7"/>
      <c r="Y3" s="7"/>
      <c r="Z3" s="7"/>
      <c r="AA3" s="7"/>
      <c r="AB3" s="7"/>
    </row>
    <row r="4" spans="1:28" x14ac:dyDescent="0.25">
      <c r="A4" s="492" t="str">
        <f>CONCATENATE("Source File: ",'MMW Output'!$C$12)</f>
        <v>Source File: User Specified</v>
      </c>
      <c r="B4" s="492"/>
      <c r="D4" s="9"/>
      <c r="E4" s="9"/>
      <c r="F4" s="9"/>
      <c r="G4" s="10"/>
      <c r="I4" s="7">
        <f>COLUMN(LoadRates[TSS_LoadRate_lbPerAcPerY])</f>
        <v>17</v>
      </c>
    </row>
    <row r="5" spans="1:28" x14ac:dyDescent="0.25">
      <c r="A5" s="11"/>
      <c r="D5" s="9"/>
      <c r="E5" s="9"/>
      <c r="F5" s="9"/>
      <c r="G5" s="9"/>
    </row>
    <row r="6" spans="1:28" ht="18" x14ac:dyDescent="0.25">
      <c r="A6" s="12" t="s">
        <v>472</v>
      </c>
      <c r="C6" s="13"/>
      <c r="D6" s="14"/>
      <c r="E6" s="14"/>
      <c r="F6" s="14"/>
      <c r="G6" s="13"/>
    </row>
    <row r="8" spans="1:28" x14ac:dyDescent="0.25">
      <c r="B8" s="15"/>
      <c r="C8" s="16"/>
      <c r="D8" s="16"/>
      <c r="E8" s="16"/>
      <c r="F8" s="16"/>
      <c r="G8" s="16"/>
      <c r="H8" s="16"/>
      <c r="I8" s="16"/>
      <c r="J8" s="16"/>
      <c r="K8" s="16"/>
      <c r="L8" s="16"/>
      <c r="M8" s="16"/>
    </row>
    <row r="9" spans="1:28" x14ac:dyDescent="0.25">
      <c r="B9" s="670" t="s">
        <v>7</v>
      </c>
      <c r="C9" s="670"/>
      <c r="D9" s="670"/>
      <c r="E9" s="670"/>
      <c r="F9" s="670"/>
      <c r="G9" s="670"/>
      <c r="H9" s="670"/>
      <c r="I9" s="670"/>
      <c r="J9" s="670"/>
      <c r="K9" s="670"/>
      <c r="L9" s="670"/>
      <c r="M9" s="670"/>
      <c r="O9" s="671" t="s">
        <v>8</v>
      </c>
      <c r="P9" s="672"/>
      <c r="Q9" s="672"/>
      <c r="R9" s="672"/>
      <c r="S9" s="672"/>
      <c r="T9" s="672"/>
      <c r="U9" s="672"/>
      <c r="V9" s="672"/>
      <c r="W9" s="672"/>
      <c r="X9" s="672"/>
      <c r="Y9" s="672"/>
      <c r="Z9" s="672"/>
      <c r="AA9" s="672"/>
      <c r="AB9" s="672"/>
    </row>
    <row r="11" spans="1:28" ht="16.5" thickBot="1" x14ac:dyDescent="0.3">
      <c r="B11" s="17"/>
      <c r="C11" s="18"/>
      <c r="D11" s="18"/>
      <c r="E11" s="18"/>
      <c r="F11" s="18"/>
      <c r="G11" s="18"/>
      <c r="H11" s="18"/>
      <c r="I11" s="18"/>
      <c r="J11" s="18"/>
      <c r="K11" s="18"/>
      <c r="L11" s="18"/>
      <c r="M11" s="19"/>
      <c r="O11" s="673" t="s">
        <v>9</v>
      </c>
      <c r="P11" s="674"/>
      <c r="Q11" s="675"/>
      <c r="R11" s="20"/>
      <c r="S11" s="673" t="s">
        <v>10</v>
      </c>
      <c r="T11" s="674"/>
      <c r="U11" s="674"/>
      <c r="V11" s="675"/>
      <c r="W11" s="20"/>
      <c r="X11" s="673" t="s">
        <v>11</v>
      </c>
      <c r="Y11" s="674"/>
      <c r="Z11" s="674"/>
      <c r="AA11" s="675"/>
    </row>
    <row r="12" spans="1:28" ht="39" x14ac:dyDescent="0.25">
      <c r="B12" s="21" t="s">
        <v>12</v>
      </c>
      <c r="C12" s="22" t="s">
        <v>13</v>
      </c>
      <c r="D12" s="23" t="s">
        <v>14</v>
      </c>
      <c r="E12" s="23" t="s">
        <v>15</v>
      </c>
      <c r="F12" s="23"/>
      <c r="G12" s="23" t="s">
        <v>16</v>
      </c>
      <c r="H12" s="23" t="s">
        <v>17</v>
      </c>
      <c r="I12" s="23"/>
      <c r="J12" s="23" t="s">
        <v>18</v>
      </c>
      <c r="K12" s="23" t="s">
        <v>19</v>
      </c>
      <c r="L12" s="23"/>
      <c r="M12" s="24" t="s">
        <v>20</v>
      </c>
      <c r="O12" s="25" t="s">
        <v>58</v>
      </c>
      <c r="P12" s="26" t="s">
        <v>59</v>
      </c>
      <c r="Q12" s="27" t="s">
        <v>21</v>
      </c>
      <c r="R12" s="28"/>
      <c r="S12" s="25" t="s">
        <v>60</v>
      </c>
      <c r="T12" s="26" t="s">
        <v>61</v>
      </c>
      <c r="U12" s="26" t="s">
        <v>62</v>
      </c>
      <c r="V12" s="27" t="s">
        <v>22</v>
      </c>
      <c r="W12" s="28"/>
      <c r="X12" s="25" t="s">
        <v>60</v>
      </c>
      <c r="Y12" s="26" t="s">
        <v>61</v>
      </c>
      <c r="Z12" s="26" t="s">
        <v>63</v>
      </c>
      <c r="AA12" s="27" t="s">
        <v>23</v>
      </c>
    </row>
    <row r="13" spans="1:28" x14ac:dyDescent="0.25">
      <c r="B13" s="29" t="s">
        <v>24</v>
      </c>
      <c r="C13" s="30" t="s">
        <v>25</v>
      </c>
      <c r="D13" s="31" t="s">
        <v>26</v>
      </c>
      <c r="E13" s="31" t="s">
        <v>27</v>
      </c>
      <c r="F13" s="31"/>
      <c r="G13" s="31" t="s">
        <v>27</v>
      </c>
      <c r="H13" s="31" t="s">
        <v>28</v>
      </c>
      <c r="I13" s="31"/>
      <c r="J13" s="31" t="s">
        <v>28</v>
      </c>
      <c r="K13" s="31" t="s">
        <v>28</v>
      </c>
      <c r="L13" s="31"/>
      <c r="M13" s="32" t="s">
        <v>28</v>
      </c>
      <c r="O13" s="33" t="s">
        <v>29</v>
      </c>
      <c r="P13" s="34" t="s">
        <v>29</v>
      </c>
      <c r="Q13" s="35" t="s">
        <v>29</v>
      </c>
      <c r="R13" s="36"/>
      <c r="S13" s="33" t="s">
        <v>29</v>
      </c>
      <c r="T13" s="34" t="s">
        <v>29</v>
      </c>
      <c r="U13" s="34" t="s">
        <v>29</v>
      </c>
      <c r="V13" s="35" t="s">
        <v>29</v>
      </c>
      <c r="W13" s="36"/>
      <c r="X13" s="33" t="s">
        <v>29</v>
      </c>
      <c r="Y13" s="34" t="s">
        <v>29</v>
      </c>
      <c r="Z13" s="34" t="s">
        <v>29</v>
      </c>
      <c r="AA13" s="35" t="s">
        <v>29</v>
      </c>
    </row>
    <row r="14" spans="1:28" s="352" customFormat="1" ht="12.75" x14ac:dyDescent="0.2">
      <c r="A14" s="351"/>
      <c r="B14" s="388" t="s">
        <v>12</v>
      </c>
      <c r="C14" s="389" t="s">
        <v>396</v>
      </c>
      <c r="D14" s="389" t="s">
        <v>397</v>
      </c>
      <c r="E14" s="389" t="s">
        <v>398</v>
      </c>
      <c r="F14" s="389" t="s">
        <v>371</v>
      </c>
      <c r="G14" s="389" t="s">
        <v>399</v>
      </c>
      <c r="H14" s="389" t="s">
        <v>400</v>
      </c>
      <c r="I14" s="389" t="s">
        <v>415</v>
      </c>
      <c r="J14" s="389" t="s">
        <v>401</v>
      </c>
      <c r="K14" s="389" t="s">
        <v>402</v>
      </c>
      <c r="L14" s="389" t="s">
        <v>416</v>
      </c>
      <c r="M14" s="389" t="s">
        <v>403</v>
      </c>
      <c r="N14" s="388" t="s">
        <v>417</v>
      </c>
      <c r="O14" s="388" t="s">
        <v>405</v>
      </c>
      <c r="P14" s="388" t="s">
        <v>406</v>
      </c>
      <c r="Q14" s="388" t="s">
        <v>404</v>
      </c>
      <c r="R14" s="388" t="s">
        <v>418</v>
      </c>
      <c r="S14" s="388" t="s">
        <v>407</v>
      </c>
      <c r="T14" s="388" t="s">
        <v>408</v>
      </c>
      <c r="U14" s="388" t="s">
        <v>409</v>
      </c>
      <c r="V14" s="388" t="s">
        <v>410</v>
      </c>
      <c r="W14" s="388" t="s">
        <v>419</v>
      </c>
      <c r="X14" s="388" t="s">
        <v>411</v>
      </c>
      <c r="Y14" s="388" t="s">
        <v>412</v>
      </c>
      <c r="Z14" s="388" t="s">
        <v>413</v>
      </c>
      <c r="AA14" s="390" t="s">
        <v>414</v>
      </c>
      <c r="AB14" s="351"/>
    </row>
    <row r="15" spans="1:28" x14ac:dyDescent="0.25">
      <c r="A15" s="664" t="s">
        <v>33</v>
      </c>
      <c r="B15" s="353" t="s">
        <v>34</v>
      </c>
      <c r="C15" s="354">
        <f>+'MMW Output'!C20</f>
        <v>1666.6666666666665</v>
      </c>
      <c r="D15" s="355" t="e">
        <f>+'MMW Output'!#REF!</f>
        <v>#REF!</v>
      </c>
      <c r="E15" s="355" t="e">
        <f>+'MMW Output'!#REF!</f>
        <v>#REF!</v>
      </c>
      <c r="F15" s="355"/>
      <c r="G15" s="355">
        <f>+'MMW Output'!D20</f>
        <v>136.61540549999998</v>
      </c>
      <c r="H15" s="355" t="e">
        <f>+'MMW Output'!#REF!</f>
        <v>#REF!</v>
      </c>
      <c r="I15" s="355"/>
      <c r="J15" s="355">
        <f>+'MMW Output'!E20</f>
        <v>1861.4610000000002</v>
      </c>
      <c r="K15" s="355" t="e">
        <f>+'MMW Output'!#REF!</f>
        <v>#REF!</v>
      </c>
      <c r="L15" s="355"/>
      <c r="M15" s="355">
        <f>+'MMW Output'!F20</f>
        <v>687.51900000000001</v>
      </c>
      <c r="N15" s="356"/>
      <c r="O15" s="357">
        <f t="shared" ref="O15:O30" si="0">IF(C15=0,0,(G15*2000/C15))</f>
        <v>163.9384866</v>
      </c>
      <c r="P15" s="357">
        <f>IF(C15=0,0,'Stream Bank Loading Rates'!C$145)</f>
        <v>987.23630706025574</v>
      </c>
      <c r="Q15" s="358">
        <f>SUM(O15:P15)</f>
        <v>1151.1747936602558</v>
      </c>
      <c r="R15" s="359"/>
      <c r="S15" s="357">
        <f t="shared" ref="S15:S30" si="1">IF(C15=0,0,ROUND((J15/C15),2))</f>
        <v>1.1200000000000001</v>
      </c>
      <c r="T15" s="360">
        <f>IF(C15=0,0,ROUND('Stream Bank Loading Rates'!$K$145,2))</f>
        <v>0.61</v>
      </c>
      <c r="U15" s="361">
        <f>IF(C15=0,0,ROUND('Farm Animal Loading rates'!$D$33,2))</f>
        <v>2.27</v>
      </c>
      <c r="V15" s="362">
        <f>SUM(S15:U15)</f>
        <v>4</v>
      </c>
      <c r="W15" s="359"/>
      <c r="X15" s="357">
        <f t="shared" ref="X15:X30" si="2">IF(C15=0,0,ROUND((M15/C15),2))</f>
        <v>0.41</v>
      </c>
      <c r="Y15" s="357">
        <f>IF(C15=0,0,ROUND('Stream Bank Loading Rates'!T$145,2))</f>
        <v>0.25</v>
      </c>
      <c r="Z15" s="361">
        <f>IF(C15=0,0,ROUND('Farm Animal Loading rates'!$E$33,2))</f>
        <v>0.6</v>
      </c>
      <c r="AA15" s="39">
        <f>SUM(X15:Z15)</f>
        <v>1.2599999999999998</v>
      </c>
      <c r="AB15" s="40" t="s">
        <v>34</v>
      </c>
    </row>
    <row r="16" spans="1:28" x14ac:dyDescent="0.25">
      <c r="A16" s="665"/>
      <c r="B16" s="363" t="s">
        <v>35</v>
      </c>
      <c r="C16" s="364">
        <f>+'MMW Output'!C21</f>
        <v>491.35802469135797</v>
      </c>
      <c r="D16" s="365" t="e">
        <f>+'MMW Output'!#REF!</f>
        <v>#REF!</v>
      </c>
      <c r="E16" s="365" t="e">
        <f>+'MMW Output'!#REF!</f>
        <v>#REF!</v>
      </c>
      <c r="F16" s="365"/>
      <c r="G16" s="365">
        <f>+'MMW Output'!D21</f>
        <v>316.40658524999998</v>
      </c>
      <c r="H16" s="365" t="e">
        <f>+'MMW Output'!#REF!</f>
        <v>#REF!</v>
      </c>
      <c r="I16" s="365"/>
      <c r="J16" s="365">
        <f>+'MMW Output'!E21</f>
        <v>3203.424</v>
      </c>
      <c r="K16" s="365" t="e">
        <f>+'MMW Output'!#REF!</f>
        <v>#REF!</v>
      </c>
      <c r="L16" s="365"/>
      <c r="M16" s="365">
        <f>+'MMW Output'!F21</f>
        <v>838.12050000000011</v>
      </c>
      <c r="N16" s="366"/>
      <c r="O16" s="367">
        <f t="shared" si="0"/>
        <v>1287.8861007663318</v>
      </c>
      <c r="P16" s="367">
        <f>IF(C16=0,0,'Stream Bank Loading Rates'!C$145)</f>
        <v>987.23630706025574</v>
      </c>
      <c r="Q16" s="368">
        <f t="shared" ref="Q16:Q30" si="3">SUM(O16:P16)</f>
        <v>2275.1224078265877</v>
      </c>
      <c r="R16" s="369"/>
      <c r="S16" s="367">
        <f t="shared" si="1"/>
        <v>6.52</v>
      </c>
      <c r="T16" s="370">
        <f>IF(C16=0,0,ROUND('Stream Bank Loading Rates'!$K$145,2))</f>
        <v>0.61</v>
      </c>
      <c r="U16" s="371">
        <f>IF(C16=0,0,ROUND('Farm Animal Loading rates'!$D$33,2))</f>
        <v>2.27</v>
      </c>
      <c r="V16" s="372">
        <f t="shared" ref="V16:V30" si="4">SUM(S16:U16)</f>
        <v>9.4</v>
      </c>
      <c r="W16" s="369"/>
      <c r="X16" s="367">
        <f t="shared" si="2"/>
        <v>1.71</v>
      </c>
      <c r="Y16" s="357">
        <f>IF(C16=0,0,ROUND('Stream Bank Loading Rates'!T$145,2))</f>
        <v>0.25</v>
      </c>
      <c r="Z16" s="371">
        <f>IF(C16=0,0,ROUND('Farm Animal Loading rates'!$E$33,2))</f>
        <v>0.6</v>
      </c>
      <c r="AA16" s="373">
        <f t="shared" ref="AA16:AA30" si="5">SUM(X16:Z16)</f>
        <v>2.56</v>
      </c>
      <c r="AB16" s="41" t="s">
        <v>35</v>
      </c>
    </row>
    <row r="17" spans="1:28" x14ac:dyDescent="0.25">
      <c r="A17" s="665"/>
      <c r="B17" s="374" t="s">
        <v>36</v>
      </c>
      <c r="C17" s="375">
        <f>+'MMW Output'!C22</f>
        <v>9730.8641975308637</v>
      </c>
      <c r="D17" s="376" t="e">
        <f>+'MMW Output'!#REF!</f>
        <v>#REF!</v>
      </c>
      <c r="E17" s="376" t="e">
        <f>+'MMW Output'!#REF!</f>
        <v>#REF!</v>
      </c>
      <c r="F17" s="376"/>
      <c r="G17" s="376">
        <f>+'MMW Output'!D22</f>
        <v>7.9434022500000001</v>
      </c>
      <c r="H17" s="376" t="e">
        <f>+'MMW Output'!#REF!</f>
        <v>#REF!</v>
      </c>
      <c r="I17" s="376"/>
      <c r="J17" s="376">
        <f>+'MMW Output'!E22</f>
        <v>1136.8980000000001</v>
      </c>
      <c r="K17" s="376" t="e">
        <f>+'MMW Output'!#REF!</f>
        <v>#REF!</v>
      </c>
      <c r="L17" s="376"/>
      <c r="M17" s="376">
        <f>+'MMW Output'!F22</f>
        <v>73.647000000000006</v>
      </c>
      <c r="N17" s="377"/>
      <c r="O17" s="367">
        <f t="shared" si="0"/>
        <v>1.6326201021314388</v>
      </c>
      <c r="P17" s="367">
        <f>IF(C17=0,0,'Stream Bank Loading Rates'!C$145)</f>
        <v>987.23630706025574</v>
      </c>
      <c r="Q17" s="378">
        <f t="shared" si="3"/>
        <v>988.86892716238719</v>
      </c>
      <c r="R17" s="379"/>
      <c r="S17" s="367">
        <f t="shared" si="1"/>
        <v>0.12</v>
      </c>
      <c r="T17" s="370">
        <f>IF(C17=0,0,ROUND('Stream Bank Loading Rates'!$K$145,2))</f>
        <v>0.61</v>
      </c>
      <c r="U17" s="371" t="s">
        <v>37</v>
      </c>
      <c r="V17" s="380">
        <f>SUM(S17:U17)</f>
        <v>0.73</v>
      </c>
      <c r="W17" s="379"/>
      <c r="X17" s="367">
        <f t="shared" si="2"/>
        <v>0.01</v>
      </c>
      <c r="Y17" s="357">
        <f>IF(C17=0,0,ROUND('Stream Bank Loading Rates'!T$145,2))</f>
        <v>0.25</v>
      </c>
      <c r="Z17" s="371" t="s">
        <v>37</v>
      </c>
      <c r="AA17" s="381">
        <f t="shared" si="5"/>
        <v>0.26</v>
      </c>
      <c r="AB17" s="42" t="s">
        <v>36</v>
      </c>
    </row>
    <row r="18" spans="1:28" x14ac:dyDescent="0.25">
      <c r="A18" s="665"/>
      <c r="B18" s="363" t="s">
        <v>38</v>
      </c>
      <c r="C18" s="364">
        <f>+'MMW Output'!C23</f>
        <v>656.79012345679007</v>
      </c>
      <c r="D18" s="365" t="e">
        <f>+'MMW Output'!#REF!</f>
        <v>#REF!</v>
      </c>
      <c r="E18" s="365" t="e">
        <f>+'MMW Output'!#REF!</f>
        <v>#REF!</v>
      </c>
      <c r="F18" s="365"/>
      <c r="G18" s="365">
        <f>+'MMW Output'!D23</f>
        <v>0.72522449999999994</v>
      </c>
      <c r="H18" s="365" t="e">
        <f>+'MMW Output'!#REF!</f>
        <v>#REF!</v>
      </c>
      <c r="I18" s="365"/>
      <c r="J18" s="365">
        <f>+'MMW Output'!E23</f>
        <v>254.45700000000002</v>
      </c>
      <c r="K18" s="365" t="e">
        <f>+'MMW Output'!#REF!</f>
        <v>#REF!</v>
      </c>
      <c r="L18" s="365"/>
      <c r="M18" s="365">
        <f>+'MMW Output'!F23</f>
        <v>14.552999999999999</v>
      </c>
      <c r="N18" s="366"/>
      <c r="O18" s="367">
        <f t="shared" si="0"/>
        <v>2.208390394736842</v>
      </c>
      <c r="P18" s="367">
        <f>IF(C18=0,0,'Stream Bank Loading Rates'!C$145)</f>
        <v>987.23630706025574</v>
      </c>
      <c r="Q18" s="368">
        <f t="shared" si="3"/>
        <v>989.44469745499259</v>
      </c>
      <c r="R18" s="369"/>
      <c r="S18" s="367">
        <f t="shared" si="1"/>
        <v>0.39</v>
      </c>
      <c r="T18" s="370">
        <f>IF(C18=0,0,ROUND('Stream Bank Loading Rates'!$K$145,2))</f>
        <v>0.61</v>
      </c>
      <c r="U18" s="382" t="s">
        <v>37</v>
      </c>
      <c r="V18" s="372">
        <f t="shared" si="4"/>
        <v>1</v>
      </c>
      <c r="W18" s="369"/>
      <c r="X18" s="367">
        <f t="shared" si="2"/>
        <v>0.02</v>
      </c>
      <c r="Y18" s="357">
        <f>IF(C18=0,0,ROUND('Stream Bank Loading Rates'!T$145,2))</f>
        <v>0.25</v>
      </c>
      <c r="Z18" s="382" t="s">
        <v>37</v>
      </c>
      <c r="AA18" s="373">
        <f t="shared" si="5"/>
        <v>0.27</v>
      </c>
      <c r="AB18" s="41" t="s">
        <v>38</v>
      </c>
    </row>
    <row r="19" spans="1:28" x14ac:dyDescent="0.25">
      <c r="A19" s="665"/>
      <c r="B19" s="374" t="s">
        <v>39</v>
      </c>
      <c r="C19" s="375">
        <f>+'MMW Output'!C24</f>
        <v>0</v>
      </c>
      <c r="D19" s="376" t="e">
        <f>+'MMW Output'!#REF!</f>
        <v>#REF!</v>
      </c>
      <c r="E19" s="376" t="e">
        <f>+'MMW Output'!#REF!</f>
        <v>#REF!</v>
      </c>
      <c r="F19" s="376"/>
      <c r="G19" s="376">
        <f>+'MMW Output'!D24</f>
        <v>0</v>
      </c>
      <c r="H19" s="376" t="e">
        <f>+'MMW Output'!#REF!</f>
        <v>#REF!</v>
      </c>
      <c r="I19" s="376"/>
      <c r="J19" s="376">
        <f>+'MMW Output'!E24</f>
        <v>0</v>
      </c>
      <c r="K19" s="376" t="e">
        <f>+'MMW Output'!#REF!</f>
        <v>#REF!</v>
      </c>
      <c r="L19" s="376"/>
      <c r="M19" s="376">
        <f>+'MMW Output'!F24</f>
        <v>0</v>
      </c>
      <c r="N19" s="377"/>
      <c r="O19" s="367">
        <f t="shared" si="0"/>
        <v>0</v>
      </c>
      <c r="P19" s="367">
        <f>IF(C19=0,0,'Stream Bank Loading Rates'!C$145)</f>
        <v>0</v>
      </c>
      <c r="Q19" s="378">
        <f t="shared" si="3"/>
        <v>0</v>
      </c>
      <c r="R19" s="379"/>
      <c r="S19" s="367">
        <f t="shared" si="1"/>
        <v>0</v>
      </c>
      <c r="T19" s="370">
        <f>IF(C19=0,0,ROUND('Stream Bank Loading Rates'!$K$145,2))</f>
        <v>0</v>
      </c>
      <c r="U19" s="371" t="s">
        <v>37</v>
      </c>
      <c r="V19" s="380">
        <f t="shared" si="4"/>
        <v>0</v>
      </c>
      <c r="W19" s="379"/>
      <c r="X19" s="367">
        <f t="shared" si="2"/>
        <v>0</v>
      </c>
      <c r="Y19" s="357">
        <f>IF(C19=0,0,ROUND('Stream Bank Loading Rates'!T$145,2))</f>
        <v>0</v>
      </c>
      <c r="Z19" s="371" t="s">
        <v>37</v>
      </c>
      <c r="AA19" s="381">
        <f t="shared" si="5"/>
        <v>0</v>
      </c>
      <c r="AB19" s="42" t="s">
        <v>39</v>
      </c>
    </row>
    <row r="20" spans="1:28" x14ac:dyDescent="0.25">
      <c r="A20" s="665"/>
      <c r="B20" s="363" t="s">
        <v>40</v>
      </c>
      <c r="C20" s="364">
        <f>+'MMW Output'!C25</f>
        <v>0</v>
      </c>
      <c r="D20" s="365" t="e">
        <f>+'MMW Output'!#REF!</f>
        <v>#REF!</v>
      </c>
      <c r="E20" s="365" t="e">
        <f>+'MMW Output'!#REF!</f>
        <v>#REF!</v>
      </c>
      <c r="F20" s="365"/>
      <c r="G20" s="365">
        <f>+'MMW Output'!D25</f>
        <v>0</v>
      </c>
      <c r="H20" s="365" t="e">
        <f>+'MMW Output'!#REF!</f>
        <v>#REF!</v>
      </c>
      <c r="I20" s="365"/>
      <c r="J20" s="365">
        <f>+'MMW Output'!E25</f>
        <v>0</v>
      </c>
      <c r="K20" s="365" t="e">
        <f>+'MMW Output'!#REF!</f>
        <v>#REF!</v>
      </c>
      <c r="L20" s="365"/>
      <c r="M20" s="365">
        <f>+'MMW Output'!F25</f>
        <v>0</v>
      </c>
      <c r="N20" s="366"/>
      <c r="O20" s="367">
        <f t="shared" si="0"/>
        <v>0</v>
      </c>
      <c r="P20" s="367">
        <f>IF(C20=0,0,'Stream Bank Loading Rates'!C$145)</f>
        <v>0</v>
      </c>
      <c r="Q20" s="368">
        <f t="shared" si="3"/>
        <v>0</v>
      </c>
      <c r="R20" s="369"/>
      <c r="S20" s="367">
        <f t="shared" si="1"/>
        <v>0</v>
      </c>
      <c r="T20" s="370">
        <f>IF(C20=0,0,ROUND('Stream Bank Loading Rates'!$K$145,2))</f>
        <v>0</v>
      </c>
      <c r="U20" s="382" t="s">
        <v>37</v>
      </c>
      <c r="V20" s="372">
        <f t="shared" si="4"/>
        <v>0</v>
      </c>
      <c r="W20" s="369"/>
      <c r="X20" s="367">
        <f t="shared" si="2"/>
        <v>0</v>
      </c>
      <c r="Y20" s="357">
        <f>IF(C20=0,0,ROUND('Stream Bank Loading Rates'!T$145,2))</f>
        <v>0</v>
      </c>
      <c r="Z20" s="382" t="s">
        <v>37</v>
      </c>
      <c r="AA20" s="373">
        <f t="shared" si="5"/>
        <v>0</v>
      </c>
      <c r="AB20" s="41" t="s">
        <v>40</v>
      </c>
    </row>
    <row r="21" spans="1:28" x14ac:dyDescent="0.25">
      <c r="A21" s="665"/>
      <c r="B21" s="374" t="s">
        <v>41</v>
      </c>
      <c r="C21" s="375">
        <f>+'MMW Output'!C26</f>
        <v>66.666666666666657</v>
      </c>
      <c r="D21" s="376" t="e">
        <f>+'MMW Output'!#REF!</f>
        <v>#REF!</v>
      </c>
      <c r="E21" s="376" t="e">
        <f>+'MMW Output'!#REF!</f>
        <v>#REF!</v>
      </c>
      <c r="F21" s="376"/>
      <c r="G21" s="376">
        <f>+'MMW Output'!D26</f>
        <v>1.7845065</v>
      </c>
      <c r="H21" s="376" t="e">
        <f>+'MMW Output'!#REF!</f>
        <v>#REF!</v>
      </c>
      <c r="I21" s="376"/>
      <c r="J21" s="376">
        <f>+'MMW Output'!E26</f>
        <v>67.6935</v>
      </c>
      <c r="K21" s="376" t="e">
        <f>+'MMW Output'!#REF!</f>
        <v>#REF!</v>
      </c>
      <c r="L21" s="376"/>
      <c r="M21" s="376">
        <f>+'MMW Output'!F26</f>
        <v>4.6305000000000005</v>
      </c>
      <c r="N21" s="377"/>
      <c r="O21" s="367">
        <f t="shared" si="0"/>
        <v>53.535195000000009</v>
      </c>
      <c r="P21" s="367">
        <f>IF(C21=0,0,'Stream Bank Loading Rates'!C$145)</f>
        <v>987.23630706025574</v>
      </c>
      <c r="Q21" s="378">
        <f t="shared" si="3"/>
        <v>1040.7715020602557</v>
      </c>
      <c r="R21" s="379"/>
      <c r="S21" s="367">
        <f t="shared" si="1"/>
        <v>1.02</v>
      </c>
      <c r="T21" s="370">
        <f>IF(C21=0,0,ROUND('Stream Bank Loading Rates'!$K$145,2))</f>
        <v>0.61</v>
      </c>
      <c r="U21" s="371" t="s">
        <v>37</v>
      </c>
      <c r="V21" s="380">
        <f t="shared" si="4"/>
        <v>1.63</v>
      </c>
      <c r="W21" s="379"/>
      <c r="X21" s="367">
        <f t="shared" si="2"/>
        <v>7.0000000000000007E-2</v>
      </c>
      <c r="Y21" s="357">
        <f>IF(C21=0,0,ROUND('Stream Bank Loading Rates'!T$145,2))</f>
        <v>0.25</v>
      </c>
      <c r="Z21" s="371" t="s">
        <v>37</v>
      </c>
      <c r="AA21" s="381">
        <f t="shared" si="5"/>
        <v>0.32</v>
      </c>
      <c r="AB21" s="42" t="s">
        <v>41</v>
      </c>
    </row>
    <row r="22" spans="1:28" x14ac:dyDescent="0.25">
      <c r="A22" s="665"/>
      <c r="B22" s="363" t="s">
        <v>42</v>
      </c>
      <c r="C22" s="364">
        <f>+'MMW Output'!C27</f>
        <v>222.2222222222222</v>
      </c>
      <c r="D22" s="365" t="e">
        <f>+'MMW Output'!#REF!</f>
        <v>#REF!</v>
      </c>
      <c r="E22" s="365" t="e">
        <f>+'MMW Output'!#REF!</f>
        <v>#REF!</v>
      </c>
      <c r="F22" s="365"/>
      <c r="G22" s="365">
        <f>+'MMW Output'!D27</f>
        <v>5.4794250000000003E-2</v>
      </c>
      <c r="H22" s="365" t="e">
        <f>+'MMW Output'!#REF!</f>
        <v>#REF!</v>
      </c>
      <c r="I22" s="365"/>
      <c r="J22" s="365">
        <f>+'MMW Output'!E27</f>
        <v>117.08550000000001</v>
      </c>
      <c r="K22" s="365" t="e">
        <f>+'MMW Output'!#REF!</f>
        <v>#REF!</v>
      </c>
      <c r="L22" s="365"/>
      <c r="M22" s="365">
        <f>+'MMW Output'!F27</f>
        <v>3.9690000000000003</v>
      </c>
      <c r="N22" s="366"/>
      <c r="O22" s="367">
        <f t="shared" si="0"/>
        <v>0.49314825000000012</v>
      </c>
      <c r="P22" s="367">
        <f>IF(C22=0,0,'Stream Bank Loading Rates'!C$145)</f>
        <v>987.23630706025574</v>
      </c>
      <c r="Q22" s="368">
        <f t="shared" si="3"/>
        <v>987.72945531025573</v>
      </c>
      <c r="R22" s="369"/>
      <c r="S22" s="367">
        <f t="shared" si="1"/>
        <v>0.53</v>
      </c>
      <c r="T22" s="370">
        <f>IF(C22=0,0,ROUND('Stream Bank Loading Rates'!$K$145,2))</f>
        <v>0.61</v>
      </c>
      <c r="U22" s="382" t="s">
        <v>37</v>
      </c>
      <c r="V22" s="372">
        <f t="shared" si="4"/>
        <v>1.1400000000000001</v>
      </c>
      <c r="W22" s="369"/>
      <c r="X22" s="367">
        <f t="shared" si="2"/>
        <v>0.02</v>
      </c>
      <c r="Y22" s="357">
        <f>IF(C22=0,0,ROUND('Stream Bank Loading Rates'!T$145,2))</f>
        <v>0.25</v>
      </c>
      <c r="Z22" s="382" t="s">
        <v>37</v>
      </c>
      <c r="AA22" s="373">
        <f t="shared" si="5"/>
        <v>0.27</v>
      </c>
      <c r="AB22" s="41" t="s">
        <v>42</v>
      </c>
    </row>
    <row r="23" spans="1:28" x14ac:dyDescent="0.25">
      <c r="A23" s="665"/>
      <c r="B23" s="374" t="s">
        <v>43</v>
      </c>
      <c r="C23" s="375">
        <f>+'MMW Output'!C28</f>
        <v>0</v>
      </c>
      <c r="D23" s="376" t="e">
        <f>+'MMW Output'!#REF!</f>
        <v>#REF!</v>
      </c>
      <c r="E23" s="376" t="e">
        <f>+'MMW Output'!#REF!</f>
        <v>#REF!</v>
      </c>
      <c r="F23" s="376"/>
      <c r="G23" s="376">
        <f>+'MMW Output'!D28</f>
        <v>0</v>
      </c>
      <c r="H23" s="376" t="e">
        <f>+'MMW Output'!#REF!</f>
        <v>#REF!</v>
      </c>
      <c r="I23" s="376"/>
      <c r="J23" s="376">
        <f>+'MMW Output'!E28</f>
        <v>0</v>
      </c>
      <c r="K23" s="376" t="e">
        <f>+'MMW Output'!#REF!</f>
        <v>#REF!</v>
      </c>
      <c r="L23" s="376"/>
      <c r="M23" s="376">
        <f>+'MMW Output'!F28</f>
        <v>0</v>
      </c>
      <c r="N23" s="377"/>
      <c r="O23" s="367">
        <f t="shared" si="0"/>
        <v>0</v>
      </c>
      <c r="P23" s="367">
        <f>IF(C23=0,0,'Stream Bank Loading Rates'!C$145)</f>
        <v>0</v>
      </c>
      <c r="Q23" s="378">
        <f t="shared" si="3"/>
        <v>0</v>
      </c>
      <c r="R23" s="379"/>
      <c r="S23" s="367">
        <f t="shared" si="1"/>
        <v>0</v>
      </c>
      <c r="T23" s="370">
        <f>IF(C23=0,0,ROUND('Stream Bank Loading Rates'!$K$145,2))</f>
        <v>0</v>
      </c>
      <c r="U23" s="371" t="s">
        <v>37</v>
      </c>
      <c r="V23" s="380">
        <f t="shared" si="4"/>
        <v>0</v>
      </c>
      <c r="W23" s="379"/>
      <c r="X23" s="367">
        <f t="shared" si="2"/>
        <v>0</v>
      </c>
      <c r="Y23" s="357">
        <f>IF(C23=0,0,ROUND('Stream Bank Loading Rates'!T$145,2))</f>
        <v>0</v>
      </c>
      <c r="Z23" s="371" t="s">
        <v>37</v>
      </c>
      <c r="AA23" s="381">
        <f t="shared" si="5"/>
        <v>0</v>
      </c>
      <c r="AB23" s="42" t="s">
        <v>43</v>
      </c>
    </row>
    <row r="24" spans="1:28" x14ac:dyDescent="0.25">
      <c r="A24" s="665"/>
      <c r="B24" s="363" t="s">
        <v>44</v>
      </c>
      <c r="C24" s="364">
        <f>+'MMW Output'!C29</f>
        <v>0</v>
      </c>
      <c r="D24" s="365" t="e">
        <f>+'MMW Output'!#REF!</f>
        <v>#REF!</v>
      </c>
      <c r="E24" s="365" t="e">
        <f>+'MMW Output'!#REF!</f>
        <v>#REF!</v>
      </c>
      <c r="F24" s="365"/>
      <c r="G24" s="365">
        <f>+'MMW Output'!D29</f>
        <v>0</v>
      </c>
      <c r="H24" s="365" t="e">
        <f>+'MMW Output'!#REF!</f>
        <v>#REF!</v>
      </c>
      <c r="I24" s="365"/>
      <c r="J24" s="365">
        <f>+'MMW Output'!E29</f>
        <v>0</v>
      </c>
      <c r="K24" s="365" t="e">
        <f>+'MMW Output'!#REF!</f>
        <v>#REF!</v>
      </c>
      <c r="L24" s="365"/>
      <c r="M24" s="365">
        <f>+'MMW Output'!F29</f>
        <v>0</v>
      </c>
      <c r="N24" s="366"/>
      <c r="O24" s="367">
        <f t="shared" si="0"/>
        <v>0</v>
      </c>
      <c r="P24" s="367">
        <f>IF(C24=0,0,'Stream Bank Loading Rates'!C$145)</f>
        <v>0</v>
      </c>
      <c r="Q24" s="368">
        <f t="shared" si="3"/>
        <v>0</v>
      </c>
      <c r="R24" s="369"/>
      <c r="S24" s="367">
        <f t="shared" si="1"/>
        <v>0</v>
      </c>
      <c r="T24" s="370">
        <f>IF(C24=0,0,ROUND('Stream Bank Loading Rates'!$K$145,2))</f>
        <v>0</v>
      </c>
      <c r="U24" s="382" t="s">
        <v>37</v>
      </c>
      <c r="V24" s="372">
        <f t="shared" si="4"/>
        <v>0</v>
      </c>
      <c r="W24" s="369"/>
      <c r="X24" s="367">
        <f t="shared" si="2"/>
        <v>0</v>
      </c>
      <c r="Y24" s="357">
        <f>IF(C24=0,0,ROUND('Stream Bank Loading Rates'!T$145,2))</f>
        <v>0</v>
      </c>
      <c r="Z24" s="382" t="s">
        <v>37</v>
      </c>
      <c r="AA24" s="373">
        <f t="shared" si="5"/>
        <v>0</v>
      </c>
      <c r="AB24" s="41" t="s">
        <v>44</v>
      </c>
    </row>
    <row r="25" spans="1:28" x14ac:dyDescent="0.25">
      <c r="A25" s="665"/>
      <c r="B25" s="374" t="s">
        <v>45</v>
      </c>
      <c r="C25" s="375">
        <f>+'MMW Output'!C30</f>
        <v>23372.839506172837</v>
      </c>
      <c r="D25" s="376" t="e">
        <f>+'MMW Output'!#REF!</f>
        <v>#REF!</v>
      </c>
      <c r="E25" s="376" t="e">
        <f>+'MMW Output'!#REF!</f>
        <v>#REF!</v>
      </c>
      <c r="F25" s="376"/>
      <c r="G25" s="376">
        <f>+'MMW Output'!D30</f>
        <v>146.01917925000001</v>
      </c>
      <c r="H25" s="376" t="e">
        <f>+'MMW Output'!#REF!</f>
        <v>#REF!</v>
      </c>
      <c r="I25" s="376"/>
      <c r="J25" s="376">
        <f>+'MMW Output'!E30</f>
        <v>7171.9830000000002</v>
      </c>
      <c r="K25" s="376" t="e">
        <f>+'MMW Output'!#REF!</f>
        <v>#REF!</v>
      </c>
      <c r="L25" s="376"/>
      <c r="M25" s="376">
        <f>+'MMW Output'!F30</f>
        <v>771.75</v>
      </c>
      <c r="N25" s="377"/>
      <c r="O25" s="367">
        <f t="shared" si="0"/>
        <v>12.494774476283544</v>
      </c>
      <c r="P25" s="367">
        <f>IF(C25=0,0,'Stream Bank Loading Rates'!E131)</f>
        <v>1314.9097168022024</v>
      </c>
      <c r="Q25" s="378">
        <f t="shared" si="3"/>
        <v>1327.4044912784859</v>
      </c>
      <c r="R25" s="379"/>
      <c r="S25" s="367">
        <f t="shared" si="1"/>
        <v>0.31</v>
      </c>
      <c r="T25" s="370">
        <f>IF(C25=0,0,ROUND('Stream Bank Loading Rates'!M131,2))</f>
        <v>0.72</v>
      </c>
      <c r="U25" s="371" t="s">
        <v>37</v>
      </c>
      <c r="V25" s="380">
        <f t="shared" si="4"/>
        <v>1.03</v>
      </c>
      <c r="W25" s="379"/>
      <c r="X25" s="367">
        <f t="shared" si="2"/>
        <v>0.03</v>
      </c>
      <c r="Y25" s="367">
        <f>IF(C25=0,0,ROUND('Stream Bank Loading Rates'!V131,2))</f>
        <v>0.33</v>
      </c>
      <c r="Z25" s="371" t="s">
        <v>37</v>
      </c>
      <c r="AA25" s="381">
        <f t="shared" si="5"/>
        <v>0.36</v>
      </c>
      <c r="AB25" s="42" t="s">
        <v>45</v>
      </c>
    </row>
    <row r="26" spans="1:28" x14ac:dyDescent="0.25">
      <c r="A26" s="665"/>
      <c r="B26" s="363" t="s">
        <v>46</v>
      </c>
      <c r="C26" s="364">
        <f>+'MMW Output'!C31</f>
        <v>3395.0617283950614</v>
      </c>
      <c r="D26" s="365" t="e">
        <f>+'MMW Output'!#REF!</f>
        <v>#REF!</v>
      </c>
      <c r="E26" s="365" t="e">
        <f>+'MMW Output'!#REF!</f>
        <v>#REF!</v>
      </c>
      <c r="F26" s="365"/>
      <c r="G26" s="365">
        <f>+'MMW Output'!D31</f>
        <v>111.58049700000001</v>
      </c>
      <c r="H26" s="365" t="e">
        <f>+'MMW Output'!#REF!</f>
        <v>#REF!</v>
      </c>
      <c r="I26" s="365"/>
      <c r="J26" s="365">
        <f>+'MMW Output'!E31</f>
        <v>4522.6755000000003</v>
      </c>
      <c r="K26" s="365" t="e">
        <f>+'MMW Output'!#REF!</f>
        <v>#REF!</v>
      </c>
      <c r="L26" s="365"/>
      <c r="M26" s="365">
        <f>+'MMW Output'!F31</f>
        <v>462.82950000000005</v>
      </c>
      <c r="N26" s="366"/>
      <c r="O26" s="367">
        <f t="shared" si="0"/>
        <v>65.731056414545463</v>
      </c>
      <c r="P26" s="367">
        <f>IF(C26=0,0,'Stream Bank Loading Rates'!E132)</f>
        <v>2123.1707941656709</v>
      </c>
      <c r="Q26" s="368">
        <f t="shared" si="3"/>
        <v>2188.9018505802164</v>
      </c>
      <c r="R26" s="369"/>
      <c r="S26" s="367">
        <f t="shared" si="1"/>
        <v>1.33</v>
      </c>
      <c r="T26" s="370">
        <f>IF(C26=0,0,ROUND('Stream Bank Loading Rates'!M132,2))</f>
        <v>1.75</v>
      </c>
      <c r="U26" s="382" t="s">
        <v>37</v>
      </c>
      <c r="V26" s="372">
        <f t="shared" si="4"/>
        <v>3.08</v>
      </c>
      <c r="W26" s="369"/>
      <c r="X26" s="367">
        <f t="shared" si="2"/>
        <v>0.14000000000000001</v>
      </c>
      <c r="Y26" s="367">
        <f>IF(C26=0,0,ROUND('Stream Bank Loading Rates'!V132,2))</f>
        <v>0.53</v>
      </c>
      <c r="Z26" s="382" t="s">
        <v>37</v>
      </c>
      <c r="AA26" s="373">
        <f t="shared" si="5"/>
        <v>0.67</v>
      </c>
      <c r="AB26" s="41" t="s">
        <v>46</v>
      </c>
    </row>
    <row r="27" spans="1:28" x14ac:dyDescent="0.25">
      <c r="A27" s="665"/>
      <c r="B27" s="374" t="s">
        <v>47</v>
      </c>
      <c r="C27" s="375">
        <f>+'MMW Output'!C32</f>
        <v>965.43209876543199</v>
      </c>
      <c r="D27" s="376" t="e">
        <f>+'MMW Output'!#REF!</f>
        <v>#REF!</v>
      </c>
      <c r="E27" s="376" t="e">
        <f>+'MMW Output'!#REF!</f>
        <v>#REF!</v>
      </c>
      <c r="F27" s="376"/>
      <c r="G27" s="376">
        <f>+'MMW Output'!D32</f>
        <v>31.739211000000005</v>
      </c>
      <c r="H27" s="376" t="e">
        <f>+'MMW Output'!#REF!</f>
        <v>#REF!</v>
      </c>
      <c r="I27" s="376"/>
      <c r="J27" s="376">
        <f>+'MMW Output'!E32</f>
        <v>1286.3969999999999</v>
      </c>
      <c r="K27" s="376" t="e">
        <f>+'MMW Output'!#REF!</f>
        <v>#REF!</v>
      </c>
      <c r="L27" s="376"/>
      <c r="M27" s="376">
        <f>+'MMW Output'!F32</f>
        <v>131.63850000000002</v>
      </c>
      <c r="N27" s="377"/>
      <c r="O27" s="367">
        <f t="shared" si="0"/>
        <v>65.751306675191827</v>
      </c>
      <c r="P27" s="367">
        <f>IF(C27=0,0,'Stream Bank Loading Rates'!E133)</f>
        <v>2887.7420835635467</v>
      </c>
      <c r="Q27" s="378">
        <f t="shared" si="3"/>
        <v>2953.4933902387384</v>
      </c>
      <c r="R27" s="379"/>
      <c r="S27" s="367">
        <f t="shared" si="1"/>
        <v>1.33</v>
      </c>
      <c r="T27" s="370">
        <f>IF(C27=0,0,ROUND('Stream Bank Loading Rates'!M133,2))</f>
        <v>2.73</v>
      </c>
      <c r="U27" s="371" t="s">
        <v>37</v>
      </c>
      <c r="V27" s="380">
        <f t="shared" si="4"/>
        <v>4.0600000000000005</v>
      </c>
      <c r="W27" s="379"/>
      <c r="X27" s="367">
        <f t="shared" si="2"/>
        <v>0.14000000000000001</v>
      </c>
      <c r="Y27" s="367">
        <f>IF(C27=0,0,ROUND('Stream Bank Loading Rates'!V133,2))</f>
        <v>0.72</v>
      </c>
      <c r="Z27" s="371" t="s">
        <v>37</v>
      </c>
      <c r="AA27" s="381">
        <f t="shared" si="5"/>
        <v>0.86</v>
      </c>
      <c r="AB27" s="42" t="s">
        <v>47</v>
      </c>
    </row>
    <row r="28" spans="1:28" x14ac:dyDescent="0.25">
      <c r="A28" s="665"/>
      <c r="B28" s="363" t="s">
        <v>48</v>
      </c>
      <c r="C28" s="364">
        <f>+'MMW Output'!C33</f>
        <v>0</v>
      </c>
      <c r="D28" s="365"/>
      <c r="E28" s="365"/>
      <c r="F28" s="365"/>
      <c r="G28" s="365">
        <f>+'MMW Output'!D33</f>
        <v>0</v>
      </c>
      <c r="H28" s="365"/>
      <c r="I28" s="365"/>
      <c r="J28" s="365">
        <f>+'MMW Output'!E33</f>
        <v>0</v>
      </c>
      <c r="K28" s="365"/>
      <c r="L28" s="365"/>
      <c r="M28" s="365">
        <f>+'MMW Output'!F33</f>
        <v>0</v>
      </c>
      <c r="N28" s="366"/>
      <c r="O28" s="367">
        <f t="shared" si="0"/>
        <v>0</v>
      </c>
      <c r="P28" s="367">
        <f>IF(C28=0,0,'Stream Bank Loading Rates'!E134)</f>
        <v>0</v>
      </c>
      <c r="Q28" s="368">
        <f t="shared" si="3"/>
        <v>0</v>
      </c>
      <c r="R28" s="369"/>
      <c r="S28" s="367">
        <f t="shared" si="1"/>
        <v>0</v>
      </c>
      <c r="T28" s="370">
        <f>IF(C28=0,0,ROUND('Stream Bank Loading Rates'!M134,2))</f>
        <v>0</v>
      </c>
      <c r="U28" s="382" t="s">
        <v>37</v>
      </c>
      <c r="V28" s="372">
        <f t="shared" si="4"/>
        <v>0</v>
      </c>
      <c r="W28" s="369"/>
      <c r="X28" s="367">
        <f t="shared" si="2"/>
        <v>0</v>
      </c>
      <c r="Y28" s="367">
        <f>IF(C28=0,0,ROUND('Stream Bank Loading Rates'!V134,2))</f>
        <v>0</v>
      </c>
      <c r="Z28" s="382" t="s">
        <v>37</v>
      </c>
      <c r="AA28" s="373">
        <f t="shared" si="5"/>
        <v>0</v>
      </c>
      <c r="AB28" s="41" t="s">
        <v>48</v>
      </c>
    </row>
    <row r="29" spans="1:28" x14ac:dyDescent="0.25">
      <c r="A29" s="665"/>
      <c r="B29" s="374" t="s">
        <v>49</v>
      </c>
      <c r="C29" s="375">
        <f>+'MMW Output'!C34</f>
        <v>0</v>
      </c>
      <c r="D29" s="376"/>
      <c r="E29" s="376"/>
      <c r="F29" s="376"/>
      <c r="G29" s="376">
        <f>+'MMW Output'!D34</f>
        <v>0</v>
      </c>
      <c r="H29" s="376"/>
      <c r="I29" s="376"/>
      <c r="J29" s="376">
        <f>+'MMW Output'!E34</f>
        <v>0</v>
      </c>
      <c r="K29" s="376"/>
      <c r="L29" s="376"/>
      <c r="M29" s="376">
        <f>+'MMW Output'!F34</f>
        <v>0</v>
      </c>
      <c r="N29" s="377"/>
      <c r="O29" s="367">
        <f t="shared" si="0"/>
        <v>0</v>
      </c>
      <c r="P29" s="367">
        <f>IF(C29=0,0,'Stream Bank Loading Rates'!E135)</f>
        <v>0</v>
      </c>
      <c r="Q29" s="378">
        <f t="shared" si="3"/>
        <v>0</v>
      </c>
      <c r="R29" s="379"/>
      <c r="S29" s="367">
        <f t="shared" si="1"/>
        <v>0</v>
      </c>
      <c r="T29" s="370">
        <f>IF(C29=0,0,ROUND('Stream Bank Loading Rates'!M135,2))</f>
        <v>0</v>
      </c>
      <c r="U29" s="371" t="s">
        <v>37</v>
      </c>
      <c r="V29" s="380">
        <f t="shared" si="4"/>
        <v>0</v>
      </c>
      <c r="W29" s="379"/>
      <c r="X29" s="367">
        <f t="shared" si="2"/>
        <v>0</v>
      </c>
      <c r="Y29" s="367">
        <f>IF(C29=0,0,ROUND('Stream Bank Loading Rates'!V135,2))</f>
        <v>0</v>
      </c>
      <c r="Z29" s="371" t="s">
        <v>37</v>
      </c>
      <c r="AA29" s="381">
        <f t="shared" si="5"/>
        <v>0</v>
      </c>
      <c r="AB29" s="42" t="s">
        <v>49</v>
      </c>
    </row>
    <row r="30" spans="1:28" ht="16.5" thickBot="1" x14ac:dyDescent="0.3">
      <c r="A30" s="666"/>
      <c r="B30" s="348" t="s">
        <v>50</v>
      </c>
      <c r="C30" s="347">
        <f>+'MMW Output'!C35</f>
        <v>0</v>
      </c>
      <c r="D30" s="344"/>
      <c r="E30" s="344"/>
      <c r="F30" s="344"/>
      <c r="G30" s="344">
        <f>+'MMW Output'!D35</f>
        <v>0</v>
      </c>
      <c r="H30" s="344"/>
      <c r="I30" s="344"/>
      <c r="J30" s="344">
        <f>+'MMW Output'!E35</f>
        <v>0</v>
      </c>
      <c r="K30" s="344"/>
      <c r="L30" s="344"/>
      <c r="M30" s="344">
        <f>+'MMW Output'!F35</f>
        <v>0</v>
      </c>
      <c r="N30" s="345"/>
      <c r="O30" s="383">
        <f t="shared" si="0"/>
        <v>0</v>
      </c>
      <c r="P30" s="383">
        <f>IF(C30=0,0,'Stream Bank Loading Rates'!E136)</f>
        <v>0</v>
      </c>
      <c r="Q30" s="384">
        <f t="shared" si="3"/>
        <v>0</v>
      </c>
      <c r="R30" s="385"/>
      <c r="S30" s="383">
        <f t="shared" si="1"/>
        <v>0</v>
      </c>
      <c r="T30" s="386">
        <f>IF(C30=0,0,ROUND('Stream Bank Loading Rates'!M136,2))</f>
        <v>0</v>
      </c>
      <c r="U30" s="346" t="s">
        <v>37</v>
      </c>
      <c r="V30" s="387">
        <f t="shared" si="4"/>
        <v>0</v>
      </c>
      <c r="W30" s="385"/>
      <c r="X30" s="383">
        <f t="shared" si="2"/>
        <v>0</v>
      </c>
      <c r="Y30" s="383">
        <f>IF(C30=0,0,ROUND('Stream Bank Loading Rates'!V136,2))</f>
        <v>0</v>
      </c>
      <c r="Z30" s="346" t="s">
        <v>37</v>
      </c>
      <c r="AA30" s="349">
        <f t="shared" si="5"/>
        <v>0</v>
      </c>
      <c r="AB30" s="43" t="s">
        <v>50</v>
      </c>
    </row>
    <row r="32" spans="1:28" ht="26.25" x14ac:dyDescent="0.25">
      <c r="A32" s="667" t="s">
        <v>51</v>
      </c>
      <c r="B32" s="44" t="s">
        <v>12</v>
      </c>
      <c r="C32" s="45"/>
      <c r="D32" s="46"/>
      <c r="E32" s="46"/>
      <c r="F32" s="46"/>
      <c r="G32" s="47" t="s">
        <v>16</v>
      </c>
      <c r="H32" s="38"/>
      <c r="I32" s="38"/>
      <c r="J32" s="47" t="s">
        <v>18</v>
      </c>
      <c r="K32" s="47" t="s">
        <v>19</v>
      </c>
      <c r="L32" s="47"/>
      <c r="M32" s="48" t="s">
        <v>20</v>
      </c>
      <c r="O32" s="341" t="s">
        <v>30</v>
      </c>
      <c r="P32" s="342"/>
      <c r="Q32" s="341" t="s">
        <v>31</v>
      </c>
      <c r="R32" s="37"/>
      <c r="S32" s="341" t="s">
        <v>30</v>
      </c>
      <c r="T32" s="343"/>
      <c r="U32" s="341"/>
      <c r="V32" s="341" t="s">
        <v>32</v>
      </c>
      <c r="W32" s="37"/>
      <c r="X32" s="341" t="s">
        <v>30</v>
      </c>
      <c r="Y32" s="343"/>
      <c r="Z32" s="341"/>
      <c r="AA32" s="341" t="s">
        <v>32</v>
      </c>
      <c r="AB32" s="9"/>
    </row>
    <row r="33" spans="1:28" x14ac:dyDescent="0.25">
      <c r="A33" s="668"/>
      <c r="B33" s="49" t="s">
        <v>24</v>
      </c>
      <c r="C33" s="50"/>
      <c r="D33" s="51" t="s">
        <v>26</v>
      </c>
      <c r="E33" s="51" t="s">
        <v>27</v>
      </c>
      <c r="F33" s="51"/>
      <c r="G33" s="51" t="s">
        <v>27</v>
      </c>
      <c r="H33" s="52"/>
      <c r="I33" s="52"/>
      <c r="J33" s="51" t="s">
        <v>28</v>
      </c>
      <c r="K33" s="51" t="s">
        <v>28</v>
      </c>
      <c r="L33" s="51"/>
      <c r="M33" s="53" t="s">
        <v>28</v>
      </c>
      <c r="Y33" s="9"/>
      <c r="Z33" s="9"/>
      <c r="AA33" s="9"/>
      <c r="AB33" s="9"/>
    </row>
    <row r="34" spans="1:28" x14ac:dyDescent="0.25">
      <c r="A34" s="668"/>
      <c r="B34" s="54" t="s">
        <v>52</v>
      </c>
      <c r="C34" s="55" t="str">
        <f>+'MMW Output'!C36</f>
        <v xml:space="preserve"> </v>
      </c>
      <c r="D34" s="55" t="e">
        <f>+'MMW Output'!#REF!</f>
        <v>#REF!</v>
      </c>
      <c r="E34" s="55" t="e">
        <f>+'MMW Output'!#REF!</f>
        <v>#REF!</v>
      </c>
      <c r="F34" s="55"/>
      <c r="G34" s="56">
        <f>+'MMW Output'!D36</f>
        <v>0</v>
      </c>
      <c r="H34" s="56" t="e">
        <f>+'MMW Output'!#REF!</f>
        <v>#REF!</v>
      </c>
      <c r="I34" s="56"/>
      <c r="J34" s="56">
        <f>+'MMW Output'!E36</f>
        <v>4895.7615000000005</v>
      </c>
      <c r="K34" s="56" t="e">
        <f>+'MMW Output'!#REF!</f>
        <v>#REF!</v>
      </c>
      <c r="L34" s="56"/>
      <c r="M34" s="57">
        <f>+'MMW Output'!F36</f>
        <v>1294.1144999999999</v>
      </c>
      <c r="Y34" s="9"/>
      <c r="Z34" s="9"/>
      <c r="AA34" s="9"/>
      <c r="AB34" s="9"/>
    </row>
    <row r="35" spans="1:28" x14ac:dyDescent="0.25">
      <c r="A35" s="668"/>
      <c r="B35" s="58" t="s">
        <v>53</v>
      </c>
      <c r="C35" s="59" t="str">
        <f>+'MMW Output'!C37</f>
        <v xml:space="preserve"> </v>
      </c>
      <c r="D35" s="59" t="e">
        <f>+'MMW Output'!#REF!</f>
        <v>#REF!</v>
      </c>
      <c r="E35" s="59" t="e">
        <f>+'MMW Output'!#REF!</f>
        <v>#REF!</v>
      </c>
      <c r="F35" s="59"/>
      <c r="G35" s="60">
        <f>+'MMW Output'!D37</f>
        <v>0</v>
      </c>
      <c r="H35" s="60" t="e">
        <f>+'MMW Output'!#REF!</f>
        <v>#REF!</v>
      </c>
      <c r="I35" s="60"/>
      <c r="J35" s="60">
        <f>+'MMW Output'!E37</f>
        <v>0</v>
      </c>
      <c r="K35" s="60" t="e">
        <f>+'MMW Output'!#REF!</f>
        <v>#REF!</v>
      </c>
      <c r="L35" s="60"/>
      <c r="M35" s="61">
        <f>+'MMW Output'!F37</f>
        <v>0</v>
      </c>
      <c r="P35" s="7"/>
    </row>
    <row r="36" spans="1:28" x14ac:dyDescent="0.25">
      <c r="A36" s="666"/>
      <c r="B36" s="62" t="s">
        <v>65</v>
      </c>
      <c r="C36" s="63" t="str">
        <f>+'MMW Output'!C38</f>
        <v xml:space="preserve"> </v>
      </c>
      <c r="D36" s="64" t="e">
        <f>+'MMW Output'!#REF!</f>
        <v>#REF!</v>
      </c>
      <c r="E36" s="64" t="e">
        <f>+'MMW Output'!#REF!</f>
        <v>#REF!</v>
      </c>
      <c r="F36" s="64"/>
      <c r="G36" s="65">
        <f>+'MMW Output'!D38</f>
        <v>26700.070477499998</v>
      </c>
      <c r="H36" s="65" t="e">
        <f>+'MMW Output'!#REF!</f>
        <v>#REF!</v>
      </c>
      <c r="I36" s="65"/>
      <c r="J36" s="65">
        <f>+'MMW Output'!E38</f>
        <v>33246.99</v>
      </c>
      <c r="K36" s="65" t="e">
        <f>+'MMW Output'!#REF!</f>
        <v>#REF!</v>
      </c>
      <c r="L36" s="65"/>
      <c r="M36" s="66">
        <f>+'MMW Output'!F38</f>
        <v>13291.74</v>
      </c>
      <c r="P36" s="7"/>
      <c r="Q36" s="67"/>
    </row>
    <row r="37" spans="1:28" x14ac:dyDescent="0.25">
      <c r="A37" s="68"/>
      <c r="B37" s="69" t="s">
        <v>54</v>
      </c>
      <c r="C37" s="70"/>
      <c r="D37" s="71"/>
      <c r="E37" s="71"/>
      <c r="F37" s="71"/>
      <c r="G37" s="72">
        <v>0</v>
      </c>
      <c r="H37" s="72"/>
      <c r="I37" s="72"/>
      <c r="J37" s="72">
        <f>+'MMW Output'!E39</f>
        <v>132221.06099999999</v>
      </c>
      <c r="K37" s="72"/>
      <c r="L37" s="72"/>
      <c r="M37" s="73">
        <f>+'MMW Output'!F39</f>
        <v>2404.5525000000002</v>
      </c>
      <c r="P37" s="7"/>
    </row>
    <row r="38" spans="1:28" x14ac:dyDescent="0.25">
      <c r="A38" s="74"/>
      <c r="B38" s="75" t="s">
        <v>55</v>
      </c>
      <c r="C38" s="76"/>
      <c r="D38" s="77"/>
      <c r="E38" s="77"/>
      <c r="F38" s="77"/>
      <c r="G38" s="78">
        <v>0</v>
      </c>
      <c r="H38" s="78"/>
      <c r="I38" s="78"/>
      <c r="J38" s="65">
        <f>+'MMW Output'!E40</f>
        <v>121109.625</v>
      </c>
      <c r="K38" s="78"/>
      <c r="L38" s="78"/>
      <c r="M38" s="66">
        <f>+'MMW Output'!F40</f>
        <v>67820.949000000008</v>
      </c>
      <c r="O38" s="9"/>
      <c r="P38" s="9"/>
      <c r="Q38" s="9"/>
      <c r="R38" s="9"/>
      <c r="S38" s="9"/>
      <c r="T38" s="9"/>
      <c r="U38" s="9"/>
      <c r="V38" s="9"/>
      <c r="W38" s="9"/>
      <c r="X38" s="9"/>
      <c r="Y38" s="9"/>
      <c r="Z38" s="9"/>
      <c r="AA38" s="9"/>
      <c r="AB38" s="9"/>
    </row>
    <row r="39" spans="1:28" x14ac:dyDescent="0.25">
      <c r="A39" s="68"/>
      <c r="B39" s="79" t="s">
        <v>56</v>
      </c>
      <c r="C39" s="80"/>
      <c r="D39" s="81"/>
      <c r="E39" s="81"/>
      <c r="F39" s="81"/>
      <c r="G39" s="82">
        <v>0</v>
      </c>
      <c r="H39" s="82"/>
      <c r="I39" s="82"/>
      <c r="J39" s="82">
        <f>+'MMW Output'!E41</f>
        <v>10658.308499999999</v>
      </c>
      <c r="K39" s="82"/>
      <c r="L39" s="82"/>
      <c r="M39" s="83">
        <f>+'MMW Output'!F41</f>
        <v>0</v>
      </c>
      <c r="P39" s="7"/>
    </row>
    <row r="40" spans="1:28" x14ac:dyDescent="0.25">
      <c r="A40" s="74"/>
      <c r="B40" s="84"/>
      <c r="C40" s="71"/>
      <c r="D40" s="71"/>
      <c r="E40" s="71"/>
      <c r="F40" s="71"/>
      <c r="G40" s="72"/>
      <c r="H40" s="72"/>
      <c r="I40" s="72"/>
      <c r="J40" s="72"/>
      <c r="K40" s="72"/>
      <c r="L40" s="72"/>
      <c r="M40" s="72"/>
      <c r="O40" s="9"/>
      <c r="P40" s="9"/>
      <c r="Q40" s="9"/>
      <c r="R40" s="9"/>
      <c r="S40" s="9"/>
      <c r="T40" s="9"/>
      <c r="U40" s="9"/>
      <c r="V40" s="9"/>
      <c r="W40" s="9"/>
      <c r="X40" s="9"/>
      <c r="Y40" s="9"/>
      <c r="Z40" s="9"/>
      <c r="AA40" s="9"/>
      <c r="AB40" s="9"/>
    </row>
    <row r="41" spans="1:28" x14ac:dyDescent="0.25">
      <c r="A41" s="74"/>
      <c r="B41" s="84"/>
      <c r="C41" s="71"/>
      <c r="D41" s="71"/>
      <c r="E41" s="71"/>
      <c r="F41" s="71"/>
      <c r="G41" s="72"/>
      <c r="H41" s="72"/>
      <c r="I41" s="72"/>
      <c r="J41" s="72"/>
      <c r="K41" s="72"/>
      <c r="L41" s="72"/>
      <c r="M41" s="72"/>
      <c r="O41" s="9"/>
      <c r="P41" s="9"/>
      <c r="Q41" s="9"/>
      <c r="R41" s="9"/>
      <c r="S41" s="9"/>
      <c r="T41" s="9"/>
      <c r="U41" s="9"/>
      <c r="V41" s="9"/>
      <c r="W41" s="9"/>
      <c r="X41" s="9"/>
      <c r="Y41" s="9"/>
      <c r="Z41" s="9"/>
      <c r="AA41" s="9"/>
      <c r="AB41" s="9"/>
    </row>
    <row r="42" spans="1:28" x14ac:dyDescent="0.25">
      <c r="P42" s="7"/>
      <c r="AB42" s="9"/>
    </row>
    <row r="43" spans="1:28" ht="17.100000000000001" customHeight="1" x14ac:dyDescent="0.25">
      <c r="A43" s="85"/>
      <c r="B43" s="85" t="s">
        <v>57</v>
      </c>
      <c r="C43" s="85"/>
      <c r="D43" s="85"/>
      <c r="E43" s="85"/>
      <c r="F43" s="85"/>
      <c r="G43" s="85"/>
      <c r="H43" s="85"/>
      <c r="I43" s="85"/>
      <c r="J43" s="85"/>
      <c r="K43" s="85"/>
      <c r="L43" s="85"/>
      <c r="M43" s="85"/>
      <c r="N43" s="350"/>
      <c r="O43" s="85"/>
      <c r="P43" s="85"/>
      <c r="Q43" s="85"/>
      <c r="R43" s="85"/>
      <c r="S43" s="85"/>
      <c r="T43" s="85"/>
      <c r="U43" s="85"/>
      <c r="V43" s="85"/>
      <c r="W43" s="85"/>
      <c r="X43" s="85"/>
      <c r="Y43" s="85"/>
      <c r="Z43" s="85"/>
      <c r="AA43" s="85"/>
      <c r="AB43" s="85"/>
    </row>
    <row r="44" spans="1:28" s="333" customFormat="1" ht="33" customHeight="1" x14ac:dyDescent="0.25">
      <c r="A44" s="461"/>
      <c r="B44" s="669" t="s">
        <v>66</v>
      </c>
      <c r="C44" s="669"/>
      <c r="D44" s="669"/>
      <c r="E44" s="669"/>
      <c r="F44" s="669"/>
      <c r="G44" s="669"/>
      <c r="H44" s="669"/>
      <c r="I44" s="669"/>
      <c r="J44" s="669"/>
      <c r="K44" s="669"/>
      <c r="L44" s="669"/>
      <c r="M44" s="669"/>
      <c r="N44" s="669"/>
      <c r="O44" s="669"/>
      <c r="P44" s="669"/>
      <c r="Q44" s="669"/>
      <c r="R44" s="669"/>
      <c r="S44" s="669"/>
      <c r="T44" s="669"/>
      <c r="U44" s="669"/>
      <c r="V44" s="669"/>
      <c r="W44" s="669"/>
      <c r="X44" s="669"/>
      <c r="Y44" s="669"/>
      <c r="Z44" s="669"/>
      <c r="AA44" s="669"/>
      <c r="AB44" s="461"/>
    </row>
    <row r="45" spans="1:28" s="333" customFormat="1" ht="33" customHeight="1" x14ac:dyDescent="0.25">
      <c r="A45" s="461"/>
      <c r="B45" s="669" t="s">
        <v>67</v>
      </c>
      <c r="C45" s="669"/>
      <c r="D45" s="669"/>
      <c r="E45" s="669"/>
      <c r="F45" s="669"/>
      <c r="G45" s="669"/>
      <c r="H45" s="669"/>
      <c r="I45" s="669"/>
      <c r="J45" s="669"/>
      <c r="K45" s="669"/>
      <c r="L45" s="669"/>
      <c r="M45" s="669"/>
      <c r="N45" s="669"/>
      <c r="O45" s="669"/>
      <c r="P45" s="669"/>
      <c r="Q45" s="669"/>
      <c r="R45" s="669"/>
      <c r="S45" s="669"/>
      <c r="T45" s="669"/>
      <c r="U45" s="669"/>
      <c r="V45" s="669"/>
      <c r="W45" s="669"/>
      <c r="X45" s="669"/>
      <c r="Y45" s="669"/>
      <c r="Z45" s="669"/>
      <c r="AA45" s="669"/>
      <c r="AB45" s="461"/>
    </row>
    <row r="46" spans="1:28" x14ac:dyDescent="0.25">
      <c r="B46" s="86" t="s">
        <v>54</v>
      </c>
      <c r="C46" s="87" t="str">
        <f>+'MMW Output'!C39</f>
        <v xml:space="preserve"> </v>
      </c>
      <c r="D46" s="87" t="e">
        <f>+'MMW Output'!#REF!</f>
        <v>#REF!</v>
      </c>
      <c r="E46" s="87" t="e">
        <f>+'MMW Output'!#REF!</f>
        <v>#REF!</v>
      </c>
      <c r="F46" s="87"/>
      <c r="G46" s="87">
        <f>+'MMW Output'!D39</f>
        <v>0</v>
      </c>
      <c r="H46" s="87" t="e">
        <f>+'MMW Output'!#REF!</f>
        <v>#REF!</v>
      </c>
      <c r="I46" s="87"/>
      <c r="J46" s="87">
        <f>+'MMW Output'!E39</f>
        <v>132221.06099999999</v>
      </c>
      <c r="K46" s="87" t="e">
        <f>+'MMW Output'!#REF!</f>
        <v>#REF!</v>
      </c>
      <c r="L46" s="87"/>
      <c r="M46" s="87">
        <f>+'MMW Output'!F39</f>
        <v>2404.5525000000002</v>
      </c>
    </row>
    <row r="47" spans="1:28" x14ac:dyDescent="0.25">
      <c r="B47" s="86" t="s">
        <v>55</v>
      </c>
      <c r="C47" s="87" t="str">
        <f>+'MMW Output'!C40</f>
        <v xml:space="preserve"> </v>
      </c>
      <c r="D47" s="87" t="e">
        <f>+'MMW Output'!#REF!</f>
        <v>#REF!</v>
      </c>
      <c r="E47" s="87" t="e">
        <f>+'MMW Output'!#REF!</f>
        <v>#REF!</v>
      </c>
      <c r="F47" s="87"/>
      <c r="G47" s="87">
        <f>+'MMW Output'!D40</f>
        <v>0</v>
      </c>
      <c r="H47" s="87" t="e">
        <f>+'MMW Output'!#REF!</f>
        <v>#REF!</v>
      </c>
      <c r="I47" s="87"/>
      <c r="J47" s="87">
        <f>+'MMW Output'!E40</f>
        <v>121109.625</v>
      </c>
      <c r="K47" s="87" t="e">
        <f>+'MMW Output'!#REF!</f>
        <v>#REF!</v>
      </c>
      <c r="L47" s="87"/>
      <c r="M47" s="87">
        <f>+'MMW Output'!F40</f>
        <v>67820.949000000008</v>
      </c>
    </row>
    <row r="48" spans="1:28" ht="16.5" thickBot="1" x14ac:dyDescent="0.3">
      <c r="B48" s="88" t="s">
        <v>56</v>
      </c>
      <c r="C48" s="87" t="str">
        <f>+'MMW Output'!C41</f>
        <v xml:space="preserve"> </v>
      </c>
      <c r="D48" s="87" t="e">
        <f>+'MMW Output'!#REF!</f>
        <v>#REF!</v>
      </c>
      <c r="E48" s="87" t="e">
        <f>+'MMW Output'!#REF!</f>
        <v>#REF!</v>
      </c>
      <c r="F48" s="87"/>
      <c r="G48" s="87">
        <f>+'MMW Output'!D41</f>
        <v>0</v>
      </c>
      <c r="H48" s="87" t="e">
        <f>+'MMW Output'!#REF!</f>
        <v>#REF!</v>
      </c>
      <c r="I48" s="87"/>
      <c r="J48" s="87">
        <f>+'MMW Output'!E41</f>
        <v>10658.308499999999</v>
      </c>
      <c r="K48" s="87" t="e">
        <f>+'MMW Output'!#REF!</f>
        <v>#REF!</v>
      </c>
      <c r="L48" s="87"/>
      <c r="M48" s="87">
        <f>+'MMW Output'!F41</f>
        <v>0</v>
      </c>
    </row>
    <row r="49" spans="2:17" ht="18" x14ac:dyDescent="0.25">
      <c r="B49" s="89"/>
      <c r="C49" s="9"/>
      <c r="D49" s="9"/>
      <c r="E49" s="9"/>
      <c r="F49" s="9"/>
      <c r="G49" s="9"/>
      <c r="H49" s="9"/>
      <c r="I49" s="9"/>
      <c r="J49" s="9"/>
      <c r="K49" s="9"/>
      <c r="L49" s="9"/>
      <c r="M49" s="9"/>
    </row>
    <row r="50" spans="2:17" x14ac:dyDescent="0.25">
      <c r="P50" s="7"/>
      <c r="Q50" s="8"/>
    </row>
    <row r="51" spans="2:17" ht="18" x14ac:dyDescent="0.25">
      <c r="B51" s="89"/>
    </row>
  </sheetData>
  <sheetProtection algorithmName="SHA-512" hashValue="q2gFuZKnYtxIasm0m6DlpYcWiCja8wqTYJqwVjuJtip6nqwY2an3MuJp20pCQzrO0KC57s9QRnj7B8rLtJuvVQ==" saltValue="ToGDy1lDflevbZ7etAI6mQ==" spinCount="100000" sheet="1" objects="1" scenarios="1"/>
  <mergeCells count="9">
    <mergeCell ref="A15:A30"/>
    <mergeCell ref="A32:A36"/>
    <mergeCell ref="B44:AA44"/>
    <mergeCell ref="B45:AA45"/>
    <mergeCell ref="B9:M9"/>
    <mergeCell ref="O9:AB9"/>
    <mergeCell ref="O11:Q11"/>
    <mergeCell ref="S11:V11"/>
    <mergeCell ref="X11:AA11"/>
  </mergeCell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H36"/>
  <sheetViews>
    <sheetView zoomScale="80" zoomScaleNormal="80" workbookViewId="0">
      <pane ySplit="5" topLeftCell="A19" activePane="bottomLeft" state="frozen"/>
      <selection pane="bottomLeft"/>
    </sheetView>
  </sheetViews>
  <sheetFormatPr defaultColWidth="8.875" defaultRowHeight="12.75" x14ac:dyDescent="0.2"/>
  <cols>
    <col min="1" max="1" width="1.875" style="91" customWidth="1"/>
    <col min="2" max="2" width="3.375" style="91" customWidth="1"/>
    <col min="3" max="3" width="34.625" style="91" customWidth="1"/>
    <col min="4" max="4" width="11.875" style="91" customWidth="1"/>
    <col min="5" max="5" width="13.5" style="91" customWidth="1"/>
    <col min="6" max="6" width="9.5" style="91" customWidth="1"/>
    <col min="7" max="7" width="9.875" style="91" customWidth="1"/>
    <col min="8" max="8" width="11" style="91" customWidth="1"/>
    <col min="9" max="9" width="5" style="91" customWidth="1"/>
    <col min="10" max="10" width="10.5" style="91" customWidth="1"/>
    <col min="11" max="11" width="8.875" style="91"/>
    <col min="12" max="12" width="10.125" style="91" bestFit="1" customWidth="1"/>
    <col min="13" max="13" width="3.5" style="91" customWidth="1"/>
    <col min="14" max="16384" width="8.875" style="91"/>
  </cols>
  <sheetData>
    <row r="1" spans="1:8" ht="15.75" x14ac:dyDescent="0.25">
      <c r="A1" s="92" t="s">
        <v>6</v>
      </c>
      <c r="B1" s="92"/>
      <c r="C1" s="120"/>
    </row>
    <row r="2" spans="1:8" x14ac:dyDescent="0.2">
      <c r="A2" s="91" t="str">
        <f>CONCATENATE("Watershed: ",'MMW Output'!B2)</f>
        <v>Watershed: User Specified</v>
      </c>
    </row>
    <row r="3" spans="1:8" x14ac:dyDescent="0.2">
      <c r="A3" s="91" t="str">
        <f>CONCATENATE("Year: ",'MMW Output'!C14)</f>
        <v>Year: User Specified</v>
      </c>
    </row>
    <row r="5" spans="1:8" ht="15.75" x14ac:dyDescent="0.25">
      <c r="A5" s="677" t="s">
        <v>127</v>
      </c>
      <c r="B5" s="677"/>
      <c r="C5" s="677"/>
      <c r="D5" s="677"/>
      <c r="E5" s="677"/>
      <c r="F5" s="677"/>
      <c r="G5" s="121"/>
    </row>
    <row r="6" spans="1:8" x14ac:dyDescent="0.2">
      <c r="A6" s="678" t="s">
        <v>128</v>
      </c>
      <c r="B6" s="678"/>
      <c r="C6" s="678"/>
      <c r="D6" s="678"/>
      <c r="E6" s="678"/>
      <c r="F6" s="678"/>
      <c r="G6" s="678"/>
      <c r="H6" s="678"/>
    </row>
    <row r="9" spans="1:8" s="462" customFormat="1" ht="27.95" customHeight="1" x14ac:dyDescent="0.2">
      <c r="A9" s="676" t="s">
        <v>129</v>
      </c>
      <c r="B9" s="676"/>
      <c r="C9" s="676"/>
      <c r="D9" s="676"/>
      <c r="E9" s="676"/>
      <c r="F9" s="676"/>
      <c r="G9" s="676"/>
      <c r="H9" s="676"/>
    </row>
    <row r="11" spans="1:8" x14ac:dyDescent="0.2">
      <c r="B11" s="94"/>
    </row>
    <row r="12" spans="1:8" ht="25.5" x14ac:dyDescent="0.2">
      <c r="B12" s="123" t="s">
        <v>130</v>
      </c>
      <c r="C12" s="124"/>
      <c r="D12" s="125" t="s">
        <v>18</v>
      </c>
      <c r="E12" s="125" t="s">
        <v>20</v>
      </c>
    </row>
    <row r="13" spans="1:8" x14ac:dyDescent="0.2">
      <c r="C13" s="126" t="s">
        <v>131</v>
      </c>
      <c r="D13" s="127">
        <f>+'MMW Output'!E36</f>
        <v>4895.7615000000005</v>
      </c>
      <c r="E13" s="127">
        <f>+'MMW Output'!F36</f>
        <v>1294.1144999999999</v>
      </c>
      <c r="F13" s="128" t="s">
        <v>132</v>
      </c>
      <c r="G13" s="679" t="s">
        <v>546</v>
      </c>
      <c r="H13" s="680"/>
    </row>
    <row r="14" spans="1:8" x14ac:dyDescent="0.2">
      <c r="F14" s="129"/>
      <c r="G14" s="681"/>
      <c r="H14" s="682"/>
    </row>
    <row r="15" spans="1:8" x14ac:dyDescent="0.2">
      <c r="B15" s="94" t="s">
        <v>133</v>
      </c>
      <c r="F15" s="129"/>
      <c r="G15" s="683"/>
      <c r="H15" s="684"/>
    </row>
    <row r="16" spans="1:8" x14ac:dyDescent="0.2">
      <c r="C16" s="130" t="s">
        <v>12</v>
      </c>
      <c r="D16" s="131" t="s">
        <v>134</v>
      </c>
      <c r="F16" s="129"/>
      <c r="G16" s="132"/>
      <c r="H16" s="132"/>
    </row>
    <row r="17" spans="1:8" x14ac:dyDescent="0.2">
      <c r="B17" s="133"/>
      <c r="C17" s="126" t="s">
        <v>98</v>
      </c>
      <c r="D17" s="127">
        <f>+'MMW Output'!C20</f>
        <v>1666.6666666666665</v>
      </c>
      <c r="G17" s="134"/>
      <c r="H17" s="134"/>
    </row>
    <row r="18" spans="1:8" x14ac:dyDescent="0.2">
      <c r="B18" s="133"/>
      <c r="C18" s="135" t="s">
        <v>35</v>
      </c>
      <c r="D18" s="136">
        <f>+'MMW Output'!C21</f>
        <v>491.35802469135797</v>
      </c>
    </row>
    <row r="19" spans="1:8" x14ac:dyDescent="0.2">
      <c r="B19" s="685" t="s">
        <v>135</v>
      </c>
      <c r="C19" s="685"/>
      <c r="D19" s="685"/>
      <c r="E19" s="685"/>
      <c r="F19" s="685"/>
      <c r="G19" s="685"/>
    </row>
    <row r="20" spans="1:8" x14ac:dyDescent="0.2">
      <c r="D20" s="137"/>
    </row>
    <row r="22" spans="1:8" ht="27.95" customHeight="1" x14ac:dyDescent="0.2">
      <c r="A22" s="686" t="s">
        <v>136</v>
      </c>
      <c r="B22" s="686"/>
      <c r="C22" s="686"/>
      <c r="D22" s="686"/>
      <c r="E22" s="686"/>
      <c r="F22" s="686"/>
      <c r="G22" s="686"/>
      <c r="H22" s="686"/>
    </row>
    <row r="23" spans="1:8" x14ac:dyDescent="0.2">
      <c r="C23" s="138"/>
      <c r="D23" s="139"/>
      <c r="E23" s="140"/>
    </row>
    <row r="24" spans="1:8" x14ac:dyDescent="0.2">
      <c r="C24" s="141" t="s">
        <v>137</v>
      </c>
      <c r="D24" s="142">
        <f>+D17+D18</f>
        <v>2158.0246913580245</v>
      </c>
      <c r="E24" s="143" t="s">
        <v>138</v>
      </c>
      <c r="F24" s="91" t="str">
        <f>CONCATENATE("[ ",ROUND(D17,2)," acres + ",ROUND(D18,2)," acres"," ]")</f>
        <v>[ 1666.67 acres + 491.36 acres ]</v>
      </c>
    </row>
    <row r="25" spans="1:8" x14ac:dyDescent="0.2">
      <c r="C25" s="138"/>
      <c r="D25" s="139"/>
      <c r="E25" s="140"/>
    </row>
    <row r="26" spans="1:8" x14ac:dyDescent="0.2">
      <c r="C26" s="138"/>
      <c r="D26" s="139"/>
      <c r="E26" s="140"/>
    </row>
    <row r="27" spans="1:8" ht="27.95" customHeight="1" x14ac:dyDescent="0.2">
      <c r="A27" s="676" t="s">
        <v>139</v>
      </c>
      <c r="B27" s="676"/>
      <c r="C27" s="676"/>
      <c r="D27" s="676"/>
      <c r="E27" s="676"/>
      <c r="F27" s="676"/>
      <c r="G27" s="676"/>
      <c r="H27" s="676"/>
    </row>
    <row r="28" spans="1:8" x14ac:dyDescent="0.2">
      <c r="D28" s="137"/>
    </row>
    <row r="29" spans="1:8" ht="25.5" x14ac:dyDescent="0.2">
      <c r="C29" s="144"/>
      <c r="D29" s="125" t="s">
        <v>18</v>
      </c>
      <c r="E29" s="125" t="s">
        <v>20</v>
      </c>
    </row>
    <row r="30" spans="1:8" x14ac:dyDescent="0.2">
      <c r="C30" s="145" t="s">
        <v>131</v>
      </c>
      <c r="D30" s="127">
        <f>+D13</f>
        <v>4895.7615000000005</v>
      </c>
      <c r="E30" s="127">
        <f>+E13</f>
        <v>1294.1144999999999</v>
      </c>
      <c r="F30" s="146" t="s">
        <v>140</v>
      </c>
      <c r="G30" s="147"/>
      <c r="H30" s="148"/>
    </row>
    <row r="31" spans="1:8" x14ac:dyDescent="0.2">
      <c r="C31" s="149" t="s">
        <v>141</v>
      </c>
      <c r="D31" s="150">
        <f>+D24</f>
        <v>2158.0246913580245</v>
      </c>
      <c r="E31" s="150">
        <f>+D24</f>
        <v>2158.0246913580245</v>
      </c>
      <c r="F31" s="151" t="s">
        <v>142</v>
      </c>
      <c r="G31" s="152"/>
      <c r="H31" s="148"/>
    </row>
    <row r="32" spans="1:8" x14ac:dyDescent="0.2">
      <c r="C32" s="149"/>
      <c r="D32" s="153"/>
      <c r="E32" s="150"/>
      <c r="F32" s="154"/>
      <c r="G32" s="155"/>
      <c r="H32" s="148"/>
    </row>
    <row r="33" spans="1:8" x14ac:dyDescent="0.2">
      <c r="C33" s="145" t="s">
        <v>143</v>
      </c>
      <c r="D33" s="156">
        <f>+D30/D31</f>
        <v>2.268630901029749</v>
      </c>
      <c r="E33" s="156">
        <f>+E30/E31</f>
        <v>0.59967548340961097</v>
      </c>
      <c r="F33" s="157" t="s">
        <v>144</v>
      </c>
      <c r="G33" s="147"/>
      <c r="H33" s="148"/>
    </row>
    <row r="34" spans="1:8" x14ac:dyDescent="0.2">
      <c r="C34" s="158"/>
      <c r="D34" s="159"/>
      <c r="E34" s="160"/>
      <c r="F34" s="161"/>
    </row>
    <row r="35" spans="1:8" x14ac:dyDescent="0.2">
      <c r="C35" s="162"/>
    </row>
    <row r="36" spans="1:8" s="462" customFormat="1" ht="42" customHeight="1" x14ac:dyDescent="0.2">
      <c r="A36" s="676" t="s">
        <v>145</v>
      </c>
      <c r="B36" s="676"/>
      <c r="C36" s="676"/>
      <c r="D36" s="676"/>
      <c r="E36" s="676"/>
      <c r="F36" s="676"/>
      <c r="G36" s="676"/>
      <c r="H36" s="676"/>
    </row>
  </sheetData>
  <sheetProtection algorithmName="SHA-512" hashValue="imr92tJXvwQhDX8QyZ13rBvvT7Yl1HJgDoBEYsD5bynvK//1+qDFHcHc12s/2+Xn94M0bcVZufxi1e86Jfq99A==" saltValue="V+uJBqTXySMsjDDgJlfrVQ==" spinCount="100000" sheet="1" objects="1" scenarios="1"/>
  <mergeCells count="8">
    <mergeCell ref="A27:H27"/>
    <mergeCell ref="A36:H36"/>
    <mergeCell ref="A5:F5"/>
    <mergeCell ref="A6:H6"/>
    <mergeCell ref="G13:H15"/>
    <mergeCell ref="B19:G19"/>
    <mergeCell ref="A22:H22"/>
    <mergeCell ref="A9:H9"/>
  </mergeCells>
  <pageMargins left="0.75" right="0.35" top="0.5" bottom="0.75" header="0.3" footer="0.3"/>
  <pageSetup scale="92" orientation="portrait" r:id="rId1"/>
  <headerFooter>
    <oddFooter>&amp;L&amp;"Arial,Regular"&amp;9Section 5: Backup for Farm Animals TN and TP Loading&amp;C&amp;"Arial,Regular"&amp;9Page &amp;P of &amp;N&amp;R&amp;"Arial,Regular"&amp;9Christina Basin Loading Rates Tool (May 5, 2017)</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Y148"/>
  <sheetViews>
    <sheetView zoomScale="80" zoomScaleNormal="80" zoomScaleSheetLayoutView="80" workbookViewId="0">
      <pane ySplit="5" topLeftCell="A6" activePane="bottomLeft" state="frozen"/>
      <selection pane="bottomLeft"/>
    </sheetView>
  </sheetViews>
  <sheetFormatPr defaultColWidth="8.875" defaultRowHeight="12.75" x14ac:dyDescent="0.2"/>
  <cols>
    <col min="1" max="1" width="2.625" style="91" customWidth="1"/>
    <col min="2" max="2" width="25" style="91" customWidth="1"/>
    <col min="3" max="3" width="20" style="91" customWidth="1"/>
    <col min="4" max="4" width="9.875" style="91" customWidth="1"/>
    <col min="5" max="5" width="9.5" style="91" customWidth="1"/>
    <col min="6" max="6" width="9.875" style="91" customWidth="1"/>
    <col min="7" max="7" width="16.5" style="91" customWidth="1"/>
    <col min="8" max="8" width="10.5" style="91" customWidth="1"/>
    <col min="9" max="9" width="2.625" style="454" customWidth="1"/>
    <col min="10" max="10" width="25" style="91" customWidth="1"/>
    <col min="11" max="11" width="16.375" style="91" customWidth="1"/>
    <col min="12" max="12" width="9.875" style="91" customWidth="1"/>
    <col min="13" max="13" width="9.5" style="91" customWidth="1"/>
    <col min="14" max="14" width="9.875" style="91" customWidth="1"/>
    <col min="15" max="15" width="16.5" style="91" customWidth="1"/>
    <col min="16" max="17" width="8.875" style="91"/>
    <col min="18" max="18" width="2.625" style="454" customWidth="1"/>
    <col min="19" max="19" width="25" style="91" customWidth="1"/>
    <col min="20" max="20" width="16.375" style="91" customWidth="1"/>
    <col min="21" max="21" width="9.875" style="91" customWidth="1"/>
    <col min="22" max="22" width="9.5" style="91" customWidth="1"/>
    <col min="23" max="23" width="9.875" style="91" customWidth="1"/>
    <col min="24" max="24" width="16.5" style="91" customWidth="1"/>
    <col min="25" max="25" width="8.875" style="454"/>
    <col min="26" max="16384" width="8.875" style="91"/>
  </cols>
  <sheetData>
    <row r="1" spans="1:25" ht="15.75" x14ac:dyDescent="0.25">
      <c r="A1" s="92" t="s">
        <v>6</v>
      </c>
      <c r="B1" s="120"/>
      <c r="I1" s="453" t="s">
        <v>6</v>
      </c>
      <c r="J1" s="120"/>
      <c r="R1" s="453" t="s">
        <v>6</v>
      </c>
      <c r="S1" s="120"/>
    </row>
    <row r="2" spans="1:25" x14ac:dyDescent="0.2">
      <c r="A2" s="91" t="str">
        <f>CONCATENATE("Watershed: ",'MMW Output'!$B$2)</f>
        <v>Watershed: User Specified</v>
      </c>
      <c r="I2" s="454" t="str">
        <f>CONCATENATE("Watershed: ",'MMW Output'!$B$2)</f>
        <v>Watershed: User Specified</v>
      </c>
      <c r="R2" s="454" t="str">
        <f>CONCATENATE("Watershed: ",'MMW Output'!$B$2)</f>
        <v>Watershed: User Specified</v>
      </c>
    </row>
    <row r="3" spans="1:25" x14ac:dyDescent="0.2">
      <c r="A3" s="91" t="str">
        <f>CONCATENATE("Year: ",'MMW Output'!$C$14)</f>
        <v>Year: User Specified</v>
      </c>
      <c r="I3" s="454" t="str">
        <f>CONCATENATE("Year: ",'MMW Output'!$C$14)</f>
        <v>Year: User Specified</v>
      </c>
      <c r="R3" s="454" t="str">
        <f>CONCATENATE("Year: ",'MMW Output'!$C$14)</f>
        <v>Year: User Specified</v>
      </c>
    </row>
    <row r="5" spans="1:25" ht="15" x14ac:dyDescent="0.2">
      <c r="A5" s="677" t="s">
        <v>467</v>
      </c>
      <c r="B5" s="677"/>
      <c r="C5" s="677"/>
      <c r="D5" s="677"/>
      <c r="E5" s="677"/>
      <c r="F5" s="677"/>
      <c r="I5" s="677" t="s">
        <v>468</v>
      </c>
      <c r="J5" s="677"/>
      <c r="K5" s="677"/>
      <c r="L5" s="677"/>
      <c r="M5" s="677"/>
      <c r="N5" s="677"/>
      <c r="R5" s="677" t="s">
        <v>469</v>
      </c>
      <c r="S5" s="677"/>
      <c r="T5" s="677"/>
      <c r="U5" s="677"/>
      <c r="V5" s="677"/>
      <c r="W5" s="677"/>
    </row>
    <row r="6" spans="1:25" x14ac:dyDescent="0.2">
      <c r="A6" s="678" t="s">
        <v>146</v>
      </c>
      <c r="B6" s="678"/>
      <c r="C6" s="678"/>
      <c r="D6" s="678"/>
      <c r="E6" s="678"/>
      <c r="F6" s="678"/>
      <c r="G6" s="678"/>
      <c r="I6" s="678" t="s">
        <v>211</v>
      </c>
      <c r="J6" s="678"/>
      <c r="K6" s="678"/>
      <c r="L6" s="678"/>
      <c r="M6" s="678"/>
      <c r="N6" s="678"/>
      <c r="O6" s="678"/>
      <c r="R6" s="678" t="s">
        <v>232</v>
      </c>
      <c r="S6" s="678"/>
      <c r="T6" s="678"/>
      <c r="U6" s="678"/>
      <c r="V6" s="678"/>
      <c r="W6" s="678"/>
      <c r="X6" s="678"/>
    </row>
    <row r="9" spans="1:25" s="460" customFormat="1" ht="27.95" customHeight="1" x14ac:dyDescent="0.25">
      <c r="A9" s="686" t="s">
        <v>470</v>
      </c>
      <c r="B9" s="686"/>
      <c r="C9" s="686"/>
      <c r="D9" s="686"/>
      <c r="E9" s="686"/>
      <c r="F9" s="686"/>
      <c r="G9" s="686"/>
      <c r="H9" s="458"/>
      <c r="I9" s="687" t="s">
        <v>212</v>
      </c>
      <c r="J9" s="686"/>
      <c r="K9" s="686"/>
      <c r="L9" s="686"/>
      <c r="M9" s="686"/>
      <c r="N9" s="686"/>
      <c r="O9" s="686"/>
      <c r="P9" s="458"/>
      <c r="Q9" s="458"/>
      <c r="R9" s="687" t="s">
        <v>212</v>
      </c>
      <c r="S9" s="686"/>
      <c r="T9" s="686"/>
      <c r="U9" s="686"/>
      <c r="V9" s="686"/>
      <c r="W9" s="686"/>
      <c r="X9" s="686"/>
      <c r="Y9" s="459"/>
    </row>
    <row r="10" spans="1:25" x14ac:dyDescent="0.2">
      <c r="I10" s="455"/>
      <c r="J10" s="449"/>
      <c r="K10" s="449"/>
      <c r="L10" s="449"/>
      <c r="M10" s="449"/>
      <c r="N10" s="449"/>
      <c r="O10" s="449"/>
      <c r="R10" s="455"/>
      <c r="S10" s="449"/>
      <c r="T10" s="449"/>
      <c r="U10" s="449"/>
      <c r="V10" s="449"/>
      <c r="W10" s="449"/>
      <c r="X10" s="449"/>
    </row>
    <row r="11" spans="1:25" x14ac:dyDescent="0.2">
      <c r="B11" s="163"/>
      <c r="C11" s="164" t="s">
        <v>16</v>
      </c>
      <c r="D11" s="164"/>
      <c r="I11" s="455"/>
      <c r="J11" s="449"/>
      <c r="K11" s="449"/>
      <c r="L11" s="449"/>
      <c r="M11" s="449"/>
      <c r="N11" s="449"/>
      <c r="O11" s="449"/>
      <c r="R11" s="455"/>
      <c r="S11" s="449"/>
      <c r="T11" s="449"/>
      <c r="U11" s="449"/>
      <c r="V11" s="449"/>
      <c r="W11" s="449"/>
      <c r="X11" s="449"/>
    </row>
    <row r="12" spans="1:25" x14ac:dyDescent="0.2">
      <c r="B12" s="165" t="s">
        <v>83</v>
      </c>
      <c r="C12" s="166">
        <f>ROUND('MMW Output'!D38,2)</f>
        <v>26700.07</v>
      </c>
      <c r="D12" s="165" t="s">
        <v>147</v>
      </c>
      <c r="E12" s="697" t="s">
        <v>547</v>
      </c>
      <c r="F12" s="698"/>
      <c r="G12" s="699"/>
      <c r="I12" s="455"/>
      <c r="J12" s="449"/>
      <c r="K12" s="449"/>
      <c r="L12" s="449"/>
      <c r="M12" s="449"/>
      <c r="N12" s="449"/>
      <c r="O12" s="449"/>
      <c r="R12" s="455"/>
      <c r="S12" s="449"/>
      <c r="T12" s="449"/>
      <c r="U12" s="449"/>
      <c r="V12" s="449"/>
      <c r="W12" s="449"/>
      <c r="X12" s="449"/>
    </row>
    <row r="13" spans="1:25" x14ac:dyDescent="0.2">
      <c r="E13" s="700"/>
      <c r="F13" s="701"/>
      <c r="G13" s="702"/>
    </row>
    <row r="14" spans="1:25" x14ac:dyDescent="0.2">
      <c r="B14" s="130" t="s">
        <v>12</v>
      </c>
      <c r="C14" s="131" t="s">
        <v>134</v>
      </c>
      <c r="E14" s="703"/>
      <c r="F14" s="704"/>
      <c r="G14" s="705"/>
      <c r="J14" s="130" t="s">
        <v>12</v>
      </c>
      <c r="K14" s="131" t="s">
        <v>134</v>
      </c>
      <c r="M14" s="241"/>
      <c r="N14" s="241"/>
      <c r="O14" s="241"/>
      <c r="S14" s="130" t="s">
        <v>12</v>
      </c>
      <c r="T14" s="131" t="s">
        <v>134</v>
      </c>
      <c r="V14" s="241"/>
      <c r="W14" s="241"/>
      <c r="X14" s="241"/>
    </row>
    <row r="15" spans="1:25" x14ac:dyDescent="0.2">
      <c r="A15" s="706" t="s">
        <v>148</v>
      </c>
      <c r="B15" s="167" t="s">
        <v>98</v>
      </c>
      <c r="C15" s="168">
        <f>+'MMW Output'!C20</f>
        <v>1666.6666666666665</v>
      </c>
      <c r="I15" s="688" t="s">
        <v>148</v>
      </c>
      <c r="J15" s="167" t="s">
        <v>98</v>
      </c>
      <c r="K15" s="168">
        <f>+'MMW Output'!C20</f>
        <v>1666.6666666666665</v>
      </c>
      <c r="R15" s="688" t="s">
        <v>148</v>
      </c>
      <c r="S15" s="167" t="s">
        <v>98</v>
      </c>
      <c r="T15" s="168">
        <f>+'MMW Output'!C20</f>
        <v>1666.6666666666665</v>
      </c>
    </row>
    <row r="16" spans="1:25" x14ac:dyDescent="0.2">
      <c r="A16" s="707"/>
      <c r="B16" s="169" t="s">
        <v>35</v>
      </c>
      <c r="C16" s="170">
        <f>+'MMW Output'!C21</f>
        <v>491.35802469135797</v>
      </c>
      <c r="I16" s="689"/>
      <c r="J16" s="169" t="s">
        <v>35</v>
      </c>
      <c r="K16" s="170">
        <f>+'MMW Output'!C21</f>
        <v>491.35802469135797</v>
      </c>
      <c r="R16" s="689"/>
      <c r="S16" s="169" t="s">
        <v>35</v>
      </c>
      <c r="T16" s="170">
        <f>+'MMW Output'!C21</f>
        <v>491.35802469135797</v>
      </c>
    </row>
    <row r="17" spans="1:20" x14ac:dyDescent="0.2">
      <c r="A17" s="707"/>
      <c r="B17" s="171" t="s">
        <v>36</v>
      </c>
      <c r="C17" s="172">
        <f>+'MMW Output'!C22</f>
        <v>9730.8641975308637</v>
      </c>
      <c r="I17" s="689"/>
      <c r="J17" s="171" t="s">
        <v>36</v>
      </c>
      <c r="K17" s="172">
        <f>+'MMW Output'!C22</f>
        <v>9730.8641975308637</v>
      </c>
      <c r="R17" s="689"/>
      <c r="S17" s="171" t="s">
        <v>36</v>
      </c>
      <c r="T17" s="172">
        <f>+'MMW Output'!C22</f>
        <v>9730.8641975308637</v>
      </c>
    </row>
    <row r="18" spans="1:20" x14ac:dyDescent="0.2">
      <c r="A18" s="707"/>
      <c r="B18" s="169" t="s">
        <v>38</v>
      </c>
      <c r="C18" s="170">
        <f>+'MMW Output'!C23</f>
        <v>656.79012345679007</v>
      </c>
      <c r="I18" s="689"/>
      <c r="J18" s="169" t="s">
        <v>38</v>
      </c>
      <c r="K18" s="170">
        <f>+'MMW Output'!C23</f>
        <v>656.79012345679007</v>
      </c>
      <c r="R18" s="689"/>
      <c r="S18" s="169" t="s">
        <v>38</v>
      </c>
      <c r="T18" s="170">
        <f>+'MMW Output'!C23</f>
        <v>656.79012345679007</v>
      </c>
    </row>
    <row r="19" spans="1:20" x14ac:dyDescent="0.2">
      <c r="A19" s="707"/>
      <c r="B19" s="171" t="s">
        <v>39</v>
      </c>
      <c r="C19" s="172">
        <f>+'MMW Output'!C24</f>
        <v>0</v>
      </c>
      <c r="I19" s="689"/>
      <c r="J19" s="171" t="s">
        <v>39</v>
      </c>
      <c r="K19" s="172">
        <f>+'MMW Output'!C24</f>
        <v>0</v>
      </c>
      <c r="R19" s="689"/>
      <c r="S19" s="171" t="s">
        <v>39</v>
      </c>
      <c r="T19" s="172">
        <f>+'MMW Output'!C24</f>
        <v>0</v>
      </c>
    </row>
    <row r="20" spans="1:20" x14ac:dyDescent="0.2">
      <c r="A20" s="707"/>
      <c r="B20" s="169" t="s">
        <v>40</v>
      </c>
      <c r="C20" s="170">
        <f>+'MMW Output'!C25</f>
        <v>0</v>
      </c>
      <c r="I20" s="689"/>
      <c r="J20" s="169" t="s">
        <v>40</v>
      </c>
      <c r="K20" s="170">
        <f>+'MMW Output'!C25</f>
        <v>0</v>
      </c>
      <c r="R20" s="689"/>
      <c r="S20" s="169" t="s">
        <v>40</v>
      </c>
      <c r="T20" s="170">
        <f>+'MMW Output'!C25</f>
        <v>0</v>
      </c>
    </row>
    <row r="21" spans="1:20" x14ac:dyDescent="0.2">
      <c r="A21" s="707"/>
      <c r="B21" s="171" t="s">
        <v>41</v>
      </c>
      <c r="C21" s="172">
        <f>+'MMW Output'!C26</f>
        <v>66.666666666666657</v>
      </c>
      <c r="I21" s="689"/>
      <c r="J21" s="171" t="s">
        <v>41</v>
      </c>
      <c r="K21" s="172">
        <f>+'MMW Output'!C26</f>
        <v>66.666666666666657</v>
      </c>
      <c r="R21" s="689"/>
      <c r="S21" s="171" t="s">
        <v>41</v>
      </c>
      <c r="T21" s="172">
        <f>+'MMW Output'!C26</f>
        <v>66.666666666666657</v>
      </c>
    </row>
    <row r="22" spans="1:20" x14ac:dyDescent="0.2">
      <c r="A22" s="707"/>
      <c r="B22" s="169" t="s">
        <v>42</v>
      </c>
      <c r="C22" s="170">
        <f>+'MMW Output'!C27</f>
        <v>222.2222222222222</v>
      </c>
      <c r="I22" s="689"/>
      <c r="J22" s="169" t="s">
        <v>42</v>
      </c>
      <c r="K22" s="170">
        <f>+'MMW Output'!C27</f>
        <v>222.2222222222222</v>
      </c>
      <c r="R22" s="689"/>
      <c r="S22" s="169" t="s">
        <v>42</v>
      </c>
      <c r="T22" s="170">
        <f>+'MMW Output'!C27</f>
        <v>222.2222222222222</v>
      </c>
    </row>
    <row r="23" spans="1:20" x14ac:dyDescent="0.2">
      <c r="A23" s="707"/>
      <c r="B23" s="171" t="s">
        <v>43</v>
      </c>
      <c r="C23" s="172">
        <f>+'MMW Output'!C28</f>
        <v>0</v>
      </c>
      <c r="I23" s="689"/>
      <c r="J23" s="171" t="s">
        <v>43</v>
      </c>
      <c r="K23" s="172">
        <f>+'MMW Output'!C28</f>
        <v>0</v>
      </c>
      <c r="R23" s="689"/>
      <c r="S23" s="171" t="s">
        <v>43</v>
      </c>
      <c r="T23" s="172">
        <f>+'MMW Output'!C28</f>
        <v>0</v>
      </c>
    </row>
    <row r="24" spans="1:20" x14ac:dyDescent="0.2">
      <c r="A24" s="707"/>
      <c r="B24" s="169" t="s">
        <v>44</v>
      </c>
      <c r="C24" s="170">
        <f>+'MMW Output'!C29</f>
        <v>0</v>
      </c>
      <c r="I24" s="689"/>
      <c r="J24" s="169" t="s">
        <v>44</v>
      </c>
      <c r="K24" s="170">
        <f>+'MMW Output'!C29</f>
        <v>0</v>
      </c>
      <c r="R24" s="689"/>
      <c r="S24" s="169" t="s">
        <v>44</v>
      </c>
      <c r="T24" s="170">
        <f>+'MMW Output'!C29</f>
        <v>0</v>
      </c>
    </row>
    <row r="25" spans="1:20" x14ac:dyDescent="0.2">
      <c r="A25" s="707"/>
      <c r="B25" s="171" t="s">
        <v>45</v>
      </c>
      <c r="C25" s="172">
        <f>+'MMW Output'!C30</f>
        <v>23372.839506172837</v>
      </c>
      <c r="I25" s="689"/>
      <c r="J25" s="171" t="s">
        <v>45</v>
      </c>
      <c r="K25" s="172">
        <f>+'MMW Output'!C30</f>
        <v>23372.839506172837</v>
      </c>
      <c r="R25" s="689"/>
      <c r="S25" s="171" t="s">
        <v>45</v>
      </c>
      <c r="T25" s="172">
        <f>+'MMW Output'!C30</f>
        <v>23372.839506172837</v>
      </c>
    </row>
    <row r="26" spans="1:20" x14ac:dyDescent="0.2">
      <c r="A26" s="707"/>
      <c r="B26" s="169" t="s">
        <v>46</v>
      </c>
      <c r="C26" s="170">
        <f>+'MMW Output'!C31</f>
        <v>3395.0617283950614</v>
      </c>
      <c r="I26" s="689"/>
      <c r="J26" s="169" t="s">
        <v>46</v>
      </c>
      <c r="K26" s="170">
        <f>+'MMW Output'!C31</f>
        <v>3395.0617283950614</v>
      </c>
      <c r="R26" s="689"/>
      <c r="S26" s="169" t="s">
        <v>46</v>
      </c>
      <c r="T26" s="170">
        <f>+'MMW Output'!C31</f>
        <v>3395.0617283950614</v>
      </c>
    </row>
    <row r="27" spans="1:20" x14ac:dyDescent="0.2">
      <c r="A27" s="707"/>
      <c r="B27" s="171" t="s">
        <v>47</v>
      </c>
      <c r="C27" s="172">
        <f>+'MMW Output'!C32</f>
        <v>965.43209876543199</v>
      </c>
      <c r="I27" s="689"/>
      <c r="J27" s="171" t="s">
        <v>47</v>
      </c>
      <c r="K27" s="172">
        <f>+'MMW Output'!C32</f>
        <v>965.43209876543199</v>
      </c>
      <c r="R27" s="689"/>
      <c r="S27" s="171" t="s">
        <v>47</v>
      </c>
      <c r="T27" s="172">
        <f>+'MMW Output'!C32</f>
        <v>965.43209876543199</v>
      </c>
    </row>
    <row r="28" spans="1:20" x14ac:dyDescent="0.2">
      <c r="A28" s="707"/>
      <c r="B28" s="169" t="s">
        <v>48</v>
      </c>
      <c r="C28" s="170">
        <f>+'MMW Output'!C33</f>
        <v>0</v>
      </c>
      <c r="I28" s="689"/>
      <c r="J28" s="169" t="s">
        <v>48</v>
      </c>
      <c r="K28" s="170">
        <f>+'MMW Output'!C33</f>
        <v>0</v>
      </c>
      <c r="R28" s="689"/>
      <c r="S28" s="169" t="s">
        <v>48</v>
      </c>
      <c r="T28" s="170">
        <f>+'MMW Output'!C33</f>
        <v>0</v>
      </c>
    </row>
    <row r="29" spans="1:20" x14ac:dyDescent="0.2">
      <c r="A29" s="707"/>
      <c r="B29" s="171" t="s">
        <v>49</v>
      </c>
      <c r="C29" s="172">
        <f>+'MMW Output'!C34</f>
        <v>0</v>
      </c>
      <c r="I29" s="689"/>
      <c r="J29" s="171" t="s">
        <v>49</v>
      </c>
      <c r="K29" s="172">
        <f>+'MMW Output'!C34</f>
        <v>0</v>
      </c>
      <c r="R29" s="689"/>
      <c r="S29" s="171" t="s">
        <v>49</v>
      </c>
      <c r="T29" s="172">
        <f>+'MMW Output'!C34</f>
        <v>0</v>
      </c>
    </row>
    <row r="30" spans="1:20" x14ac:dyDescent="0.2">
      <c r="A30" s="708"/>
      <c r="B30" s="173" t="s">
        <v>50</v>
      </c>
      <c r="C30" s="174">
        <f>+'MMW Output'!C35</f>
        <v>0</v>
      </c>
      <c r="I30" s="690"/>
      <c r="J30" s="173" t="s">
        <v>50</v>
      </c>
      <c r="K30" s="174">
        <f>+'MMW Output'!C35</f>
        <v>0</v>
      </c>
      <c r="R30" s="690"/>
      <c r="S30" s="173" t="s">
        <v>50</v>
      </c>
      <c r="T30" s="174">
        <f>+'MMW Output'!C35</f>
        <v>0</v>
      </c>
    </row>
    <row r="31" spans="1:20" x14ac:dyDescent="0.2">
      <c r="C31" s="175"/>
      <c r="K31" s="175"/>
      <c r="T31" s="175"/>
    </row>
    <row r="32" spans="1:20" x14ac:dyDescent="0.2">
      <c r="B32" s="94" t="s">
        <v>149</v>
      </c>
      <c r="C32" s="176">
        <f>SUM(C15:C31)</f>
        <v>40567.9012345679</v>
      </c>
      <c r="J32" s="94" t="s">
        <v>149</v>
      </c>
      <c r="K32" s="176">
        <f>SUM(K15:K31)</f>
        <v>40567.9012345679</v>
      </c>
      <c r="S32" s="94" t="s">
        <v>149</v>
      </c>
      <c r="T32" s="176">
        <f>SUM(T15:T31)</f>
        <v>40567.9012345679</v>
      </c>
    </row>
    <row r="34" spans="1:25" s="460" customFormat="1" ht="27.95" customHeight="1" x14ac:dyDescent="0.25">
      <c r="A34" s="686" t="s">
        <v>150</v>
      </c>
      <c r="B34" s="686"/>
      <c r="C34" s="686"/>
      <c r="D34" s="686"/>
      <c r="E34" s="686"/>
      <c r="F34" s="686"/>
      <c r="G34" s="686"/>
      <c r="H34" s="458"/>
      <c r="I34" s="687" t="s">
        <v>213</v>
      </c>
      <c r="J34" s="686"/>
      <c r="K34" s="686"/>
      <c r="L34" s="686"/>
      <c r="M34" s="686"/>
      <c r="N34" s="686"/>
      <c r="O34" s="686"/>
      <c r="P34" s="458"/>
      <c r="Q34" s="458"/>
      <c r="R34" s="687" t="s">
        <v>233</v>
      </c>
      <c r="S34" s="686"/>
      <c r="T34" s="686"/>
      <c r="U34" s="686"/>
      <c r="V34" s="686"/>
      <c r="W34" s="686"/>
      <c r="X34" s="686"/>
      <c r="Y34" s="459"/>
    </row>
    <row r="35" spans="1:25" x14ac:dyDescent="0.2">
      <c r="B35" s="138"/>
      <c r="C35" s="139"/>
      <c r="D35" s="140"/>
      <c r="J35" s="138"/>
      <c r="K35" s="139"/>
      <c r="L35" s="140"/>
      <c r="S35" s="138"/>
      <c r="T35" s="139"/>
      <c r="U35" s="140"/>
    </row>
    <row r="36" spans="1:25" x14ac:dyDescent="0.2">
      <c r="B36" s="163"/>
      <c r="C36" s="164" t="s">
        <v>151</v>
      </c>
      <c r="D36" s="164"/>
      <c r="J36" s="163"/>
      <c r="K36" s="164" t="s">
        <v>214</v>
      </c>
      <c r="L36" s="164"/>
      <c r="S36" s="163"/>
      <c r="T36" s="164" t="s">
        <v>234</v>
      </c>
      <c r="U36" s="164"/>
    </row>
    <row r="37" spans="1:25" x14ac:dyDescent="0.2">
      <c r="B37" s="165" t="s">
        <v>83</v>
      </c>
      <c r="C37" s="165">
        <f>+C12*2000</f>
        <v>53400140</v>
      </c>
      <c r="D37" s="165" t="s">
        <v>132</v>
      </c>
      <c r="E37" s="91" t="str">
        <f>CONCATENATE("= [ ",ROUND(C12,2)," tons x 2,000 pounds per ton]")</f>
        <v>= [ 26700.07 tons x 2,000 pounds per ton]</v>
      </c>
      <c r="J37" s="165" t="s">
        <v>83</v>
      </c>
      <c r="K37" s="165">
        <f>+'MMW Output'!E38</f>
        <v>33246.99</v>
      </c>
      <c r="L37" s="165" t="s">
        <v>132</v>
      </c>
      <c r="S37" s="165" t="s">
        <v>83</v>
      </c>
      <c r="T37" s="165">
        <f>+'MMW Output'!F38</f>
        <v>13291.74</v>
      </c>
      <c r="U37" s="165" t="s">
        <v>132</v>
      </c>
    </row>
    <row r="38" spans="1:25" x14ac:dyDescent="0.2">
      <c r="B38" s="138"/>
      <c r="D38" s="140"/>
      <c r="J38" s="138"/>
      <c r="L38" s="140"/>
      <c r="S38" s="138"/>
      <c r="U38" s="140"/>
    </row>
    <row r="39" spans="1:25" x14ac:dyDescent="0.2">
      <c r="B39" s="138"/>
      <c r="C39" s="139"/>
      <c r="D39" s="140"/>
      <c r="J39" s="138"/>
      <c r="K39" s="139"/>
      <c r="L39" s="140"/>
      <c r="S39" s="138"/>
      <c r="T39" s="139"/>
      <c r="U39" s="140"/>
    </row>
    <row r="40" spans="1:25" s="460" customFormat="1" ht="27.95" customHeight="1" x14ac:dyDescent="0.25">
      <c r="A40" s="686" t="str">
        <f>CONCATENATE("Step 3. Sum the total acres in the ", 'MMW Output'!C13," watershed.")</f>
        <v>Step 3. Sum the total acres in the User Specified watershed.</v>
      </c>
      <c r="B40" s="686"/>
      <c r="C40" s="686"/>
      <c r="D40" s="686"/>
      <c r="E40" s="686"/>
      <c r="F40" s="686"/>
      <c r="G40" s="686"/>
      <c r="H40" s="458"/>
      <c r="I40" s="687" t="str">
        <f>CONCATENATE("Step 3. Sum the total acres in the ", 'MMW Output'!C13," watershed.")</f>
        <v>Step 3. Sum the total acres in the User Specified watershed.</v>
      </c>
      <c r="J40" s="686"/>
      <c r="K40" s="686"/>
      <c r="L40" s="686"/>
      <c r="M40" s="686"/>
      <c r="N40" s="686"/>
      <c r="O40" s="686"/>
      <c r="P40" s="458"/>
      <c r="Q40" s="458"/>
      <c r="R40" s="687" t="str">
        <f>CONCATENATE("Step 3. Sum the total acres in the ", 'MMW Output'!C13," watershed.")</f>
        <v>Step 3. Sum the total acres in the User Specified watershed.</v>
      </c>
      <c r="S40" s="686"/>
      <c r="T40" s="686"/>
      <c r="U40" s="686"/>
      <c r="V40" s="686"/>
      <c r="W40" s="686"/>
      <c r="X40" s="686"/>
      <c r="Y40" s="459"/>
    </row>
    <row r="41" spans="1:25" x14ac:dyDescent="0.2">
      <c r="A41" s="177"/>
      <c r="B41" s="177"/>
      <c r="C41" s="177"/>
      <c r="D41" s="177"/>
      <c r="E41" s="177"/>
      <c r="F41" s="177"/>
      <c r="G41" s="177"/>
      <c r="I41" s="455"/>
      <c r="J41" s="177"/>
      <c r="K41" s="177"/>
      <c r="L41" s="177"/>
      <c r="M41" s="177"/>
      <c r="N41" s="177"/>
      <c r="O41" s="177"/>
      <c r="R41" s="455"/>
      <c r="S41" s="177"/>
      <c r="T41" s="177"/>
      <c r="U41" s="177"/>
      <c r="V41" s="177"/>
      <c r="W41" s="177"/>
      <c r="X41" s="177"/>
    </row>
    <row r="42" spans="1:25" x14ac:dyDescent="0.2">
      <c r="B42" s="178" t="s">
        <v>152</v>
      </c>
      <c r="C42" s="142">
        <f>SUM(C15:C31)</f>
        <v>40567.9012345679</v>
      </c>
      <c r="D42" s="158" t="s">
        <v>80</v>
      </c>
      <c r="J42" s="178" t="s">
        <v>152</v>
      </c>
      <c r="K42" s="142">
        <f>SUM(K15:K31)</f>
        <v>40567.9012345679</v>
      </c>
      <c r="L42" s="158" t="s">
        <v>80</v>
      </c>
      <c r="S42" s="178" t="s">
        <v>152</v>
      </c>
      <c r="T42" s="142">
        <f>SUM(T15:T31)</f>
        <v>40567.9012345679</v>
      </c>
      <c r="U42" s="158" t="s">
        <v>80</v>
      </c>
    </row>
    <row r="43" spans="1:25" x14ac:dyDescent="0.2">
      <c r="B43" s="138"/>
      <c r="C43" s="139"/>
      <c r="D43" s="140"/>
      <c r="J43" s="138"/>
      <c r="K43" s="139"/>
      <c r="L43" s="140"/>
      <c r="S43" s="138"/>
      <c r="T43" s="139"/>
      <c r="U43" s="140"/>
    </row>
    <row r="44" spans="1:25" x14ac:dyDescent="0.2">
      <c r="B44" s="138"/>
      <c r="C44" s="139"/>
      <c r="D44" s="140"/>
      <c r="J44" s="138"/>
      <c r="K44" s="139"/>
      <c r="L44" s="140"/>
      <c r="S44" s="138"/>
      <c r="T44" s="139"/>
      <c r="U44" s="140"/>
    </row>
    <row r="45" spans="1:25" s="460" customFormat="1" ht="57.95" customHeight="1" x14ac:dyDescent="0.25">
      <c r="A45" s="686" t="s">
        <v>153</v>
      </c>
      <c r="B45" s="686"/>
      <c r="C45" s="686"/>
      <c r="D45" s="686"/>
      <c r="E45" s="686"/>
      <c r="F45" s="686"/>
      <c r="G45" s="686"/>
      <c r="H45" s="458"/>
      <c r="I45" s="687" t="s">
        <v>215</v>
      </c>
      <c r="J45" s="686"/>
      <c r="K45" s="686"/>
      <c r="L45" s="686"/>
      <c r="M45" s="686"/>
      <c r="N45" s="686"/>
      <c r="O45" s="686"/>
      <c r="P45" s="458"/>
      <c r="Q45" s="458"/>
      <c r="R45" s="687" t="s">
        <v>215</v>
      </c>
      <c r="S45" s="686"/>
      <c r="T45" s="686"/>
      <c r="U45" s="686"/>
      <c r="V45" s="686"/>
      <c r="W45" s="686"/>
      <c r="X45" s="686"/>
      <c r="Y45" s="459"/>
    </row>
    <row r="46" spans="1:25" x14ac:dyDescent="0.2">
      <c r="C46" s="137"/>
      <c r="K46" s="137"/>
      <c r="T46" s="137"/>
    </row>
    <row r="47" spans="1:25" x14ac:dyDescent="0.2">
      <c r="B47" s="144" t="s">
        <v>154</v>
      </c>
      <c r="C47" s="179" t="s">
        <v>80</v>
      </c>
      <c r="D47" s="179" t="s">
        <v>155</v>
      </c>
      <c r="J47" s="144" t="s">
        <v>154</v>
      </c>
      <c r="K47" s="179" t="s">
        <v>80</v>
      </c>
      <c r="L47" s="179" t="s">
        <v>155</v>
      </c>
      <c r="S47" s="144" t="s">
        <v>154</v>
      </c>
      <c r="T47" s="179" t="s">
        <v>80</v>
      </c>
      <c r="U47" s="179" t="s">
        <v>155</v>
      </c>
    </row>
    <row r="48" spans="1:25" x14ac:dyDescent="0.2">
      <c r="B48" s="180" t="s">
        <v>156</v>
      </c>
      <c r="C48" s="181">
        <f>+C25+C28</f>
        <v>23372.839506172837</v>
      </c>
      <c r="D48" s="182">
        <f>+C48/C$51</f>
        <v>0.8427706552706552</v>
      </c>
      <c r="E48" s="183" t="s">
        <v>157</v>
      </c>
      <c r="F48" s="165"/>
      <c r="G48" s="184"/>
      <c r="J48" s="180" t="s">
        <v>156</v>
      </c>
      <c r="K48" s="181">
        <f>+K25+K28</f>
        <v>23372.839506172837</v>
      </c>
      <c r="L48" s="182">
        <f>+K48/K$51</f>
        <v>0.8427706552706552</v>
      </c>
      <c r="M48" s="183" t="s">
        <v>157</v>
      </c>
      <c r="N48" s="165"/>
      <c r="O48" s="184"/>
      <c r="S48" s="180" t="s">
        <v>156</v>
      </c>
      <c r="T48" s="181">
        <f>+T25+T28</f>
        <v>23372.839506172837</v>
      </c>
      <c r="U48" s="182">
        <f>+T48/T$51</f>
        <v>0.8427706552706552</v>
      </c>
      <c r="V48" s="183" t="s">
        <v>157</v>
      </c>
      <c r="W48" s="165"/>
      <c r="X48" s="184"/>
    </row>
    <row r="49" spans="1:25" x14ac:dyDescent="0.2">
      <c r="B49" s="185" t="s">
        <v>158</v>
      </c>
      <c r="C49" s="186">
        <f>+C26+C29</f>
        <v>3395.0617283950614</v>
      </c>
      <c r="D49" s="187">
        <f>+C49/C$51</f>
        <v>0.12241809116809116</v>
      </c>
      <c r="E49" s="188" t="s">
        <v>159</v>
      </c>
      <c r="F49" s="189"/>
      <c r="G49" s="190"/>
      <c r="J49" s="185" t="s">
        <v>158</v>
      </c>
      <c r="K49" s="186">
        <f>+K26+K29</f>
        <v>3395.0617283950614</v>
      </c>
      <c r="L49" s="187">
        <f>+K49/K$51</f>
        <v>0.12241809116809116</v>
      </c>
      <c r="M49" s="188" t="s">
        <v>159</v>
      </c>
      <c r="N49" s="189"/>
      <c r="O49" s="190"/>
      <c r="S49" s="185" t="s">
        <v>158</v>
      </c>
      <c r="T49" s="186">
        <f>+T26+T29</f>
        <v>3395.0617283950614</v>
      </c>
      <c r="U49" s="187">
        <f>+T49/T$51</f>
        <v>0.12241809116809116</v>
      </c>
      <c r="V49" s="188" t="s">
        <v>159</v>
      </c>
      <c r="W49" s="189"/>
      <c r="X49" s="190"/>
    </row>
    <row r="50" spans="1:25" ht="13.5" thickBot="1" x14ac:dyDescent="0.25">
      <c r="B50" s="191" t="s">
        <v>160</v>
      </c>
      <c r="C50" s="192">
        <f>+C27+C30</f>
        <v>965.43209876543199</v>
      </c>
      <c r="D50" s="193">
        <f>+C50/C$51</f>
        <v>3.4811253561253558E-2</v>
      </c>
      <c r="E50" s="183" t="s">
        <v>161</v>
      </c>
      <c r="F50" s="165"/>
      <c r="G50" s="184"/>
      <c r="J50" s="191" t="s">
        <v>160</v>
      </c>
      <c r="K50" s="192">
        <f>+K27+K30</f>
        <v>965.43209876543199</v>
      </c>
      <c r="L50" s="193">
        <f>+K50/K$51</f>
        <v>3.4811253561253558E-2</v>
      </c>
      <c r="M50" s="183" t="s">
        <v>161</v>
      </c>
      <c r="N50" s="165"/>
      <c r="O50" s="184"/>
      <c r="S50" s="191" t="s">
        <v>160</v>
      </c>
      <c r="T50" s="192">
        <f>+T27+T30</f>
        <v>965.43209876543199</v>
      </c>
      <c r="U50" s="193">
        <f>+T50/T$51</f>
        <v>3.4811253561253558E-2</v>
      </c>
      <c r="V50" s="183" t="s">
        <v>161</v>
      </c>
      <c r="W50" s="165"/>
      <c r="X50" s="184"/>
    </row>
    <row r="51" spans="1:25" x14ac:dyDescent="0.2">
      <c r="B51" s="158" t="s">
        <v>162</v>
      </c>
      <c r="C51" s="194">
        <f>+C48+C49+C50</f>
        <v>27733.333333333332</v>
      </c>
      <c r="D51" s="195">
        <f>+C51/C$51</f>
        <v>1</v>
      </c>
      <c r="E51" s="161" t="s">
        <v>163</v>
      </c>
      <c r="J51" s="158" t="s">
        <v>162</v>
      </c>
      <c r="K51" s="194">
        <f>+K48+K49+K50</f>
        <v>27733.333333333332</v>
      </c>
      <c r="L51" s="195">
        <f>+K51/K$51</f>
        <v>1</v>
      </c>
      <c r="M51" s="161" t="s">
        <v>163</v>
      </c>
      <c r="S51" s="158" t="s">
        <v>162</v>
      </c>
      <c r="T51" s="194">
        <f>+T48+T49+T50</f>
        <v>27733.333333333332</v>
      </c>
      <c r="U51" s="195">
        <f>+T51/T$51</f>
        <v>1</v>
      </c>
      <c r="V51" s="161" t="s">
        <v>163</v>
      </c>
    </row>
    <row r="54" spans="1:25" s="460" customFormat="1" ht="27.95" customHeight="1" x14ac:dyDescent="0.25">
      <c r="A54" s="686" t="s">
        <v>164</v>
      </c>
      <c r="B54" s="686"/>
      <c r="C54" s="686"/>
      <c r="D54" s="686"/>
      <c r="E54" s="686"/>
      <c r="F54" s="686"/>
      <c r="G54" s="686"/>
      <c r="H54" s="458"/>
      <c r="I54" s="687" t="s">
        <v>216</v>
      </c>
      <c r="J54" s="686"/>
      <c r="K54" s="686"/>
      <c r="L54" s="686"/>
      <c r="M54" s="686"/>
      <c r="N54" s="686"/>
      <c r="O54" s="686"/>
      <c r="P54" s="458"/>
      <c r="Q54" s="458"/>
      <c r="R54" s="687" t="s">
        <v>235</v>
      </c>
      <c r="S54" s="686"/>
      <c r="T54" s="686"/>
      <c r="U54" s="686"/>
      <c r="V54" s="686"/>
      <c r="W54" s="686"/>
      <c r="X54" s="686"/>
      <c r="Y54" s="459"/>
    </row>
    <row r="55" spans="1:25" x14ac:dyDescent="0.2">
      <c r="B55" s="91" t="s">
        <v>548</v>
      </c>
      <c r="J55" s="91" t="s">
        <v>550</v>
      </c>
      <c r="S55" s="91" t="s">
        <v>552</v>
      </c>
    </row>
    <row r="56" spans="1:25" x14ac:dyDescent="0.2">
      <c r="B56" s="91" t="s">
        <v>549</v>
      </c>
      <c r="J56" s="91" t="s">
        <v>551</v>
      </c>
      <c r="S56" s="91" t="s">
        <v>553</v>
      </c>
    </row>
    <row r="58" spans="1:25" x14ac:dyDescent="0.2">
      <c r="B58" s="91" t="s">
        <v>165</v>
      </c>
      <c r="C58" s="196">
        <f>C37</f>
        <v>53400140</v>
      </c>
      <c r="D58" s="91" t="s">
        <v>132</v>
      </c>
      <c r="E58" s="161" t="s">
        <v>166</v>
      </c>
      <c r="J58" s="91" t="s">
        <v>217</v>
      </c>
      <c r="K58" s="196">
        <f>K37</f>
        <v>33246.99</v>
      </c>
      <c r="L58" s="91" t="s">
        <v>132</v>
      </c>
      <c r="M58" s="161" t="s">
        <v>166</v>
      </c>
      <c r="S58" s="91" t="s">
        <v>236</v>
      </c>
      <c r="T58" s="196">
        <f>T37</f>
        <v>13291.74</v>
      </c>
      <c r="U58" s="91" t="s">
        <v>132</v>
      </c>
      <c r="V58" s="161" t="s">
        <v>166</v>
      </c>
    </row>
    <row r="59" spans="1:25" x14ac:dyDescent="0.2">
      <c r="B59" s="91" t="s">
        <v>167</v>
      </c>
      <c r="C59" s="197">
        <f>+C51</f>
        <v>27733.333333333332</v>
      </c>
      <c r="D59" s="91" t="s">
        <v>80</v>
      </c>
      <c r="E59" s="161" t="s">
        <v>168</v>
      </c>
      <c r="J59" s="91" t="s">
        <v>167</v>
      </c>
      <c r="K59" s="197">
        <f>+K51</f>
        <v>27733.333333333332</v>
      </c>
      <c r="L59" s="91" t="s">
        <v>80</v>
      </c>
      <c r="M59" s="161" t="s">
        <v>168</v>
      </c>
      <c r="S59" s="91" t="s">
        <v>167</v>
      </c>
      <c r="T59" s="197">
        <f>+T51</f>
        <v>27733.333333333332</v>
      </c>
      <c r="U59" s="91" t="s">
        <v>80</v>
      </c>
      <c r="V59" s="161" t="s">
        <v>168</v>
      </c>
    </row>
    <row r="60" spans="1:25" x14ac:dyDescent="0.2">
      <c r="B60" s="91" t="s">
        <v>152</v>
      </c>
      <c r="C60" s="197">
        <f>+C42</f>
        <v>40567.9012345679</v>
      </c>
      <c r="D60" s="91" t="s">
        <v>80</v>
      </c>
      <c r="E60" s="161" t="s">
        <v>169</v>
      </c>
      <c r="J60" s="91" t="s">
        <v>152</v>
      </c>
      <c r="K60" s="197">
        <f>+K42</f>
        <v>40567.9012345679</v>
      </c>
      <c r="L60" s="91" t="s">
        <v>80</v>
      </c>
      <c r="M60" s="161" t="s">
        <v>169</v>
      </c>
      <c r="S60" s="91" t="s">
        <v>152</v>
      </c>
      <c r="T60" s="197">
        <f>+T42</f>
        <v>40567.9012345679</v>
      </c>
      <c r="U60" s="91" t="s">
        <v>80</v>
      </c>
      <c r="V60" s="161" t="s">
        <v>169</v>
      </c>
    </row>
    <row r="61" spans="1:25" ht="25.5" x14ac:dyDescent="0.2">
      <c r="B61" s="198" t="s">
        <v>170</v>
      </c>
      <c r="C61" s="199">
        <f>+C59/C60</f>
        <v>0.68362751065124772</v>
      </c>
      <c r="D61" s="161" t="s">
        <v>171</v>
      </c>
      <c r="E61" s="91" t="str">
        <f>CONCATENATE("[ ",ROUND(C59,2)," acres / ",ROUND(C60,2)," acres ]")</f>
        <v>[ 27733.33 acres / 40567.9 acres ]</v>
      </c>
      <c r="J61" s="198" t="s">
        <v>170</v>
      </c>
      <c r="K61" s="199">
        <f>+K59/K60</f>
        <v>0.68362751065124772</v>
      </c>
      <c r="L61" s="161" t="s">
        <v>171</v>
      </c>
      <c r="M61" s="91" t="str">
        <f>CONCATENATE("[ ",ROUND(K59,2)," acres / ",ROUND(K60,2)," acres ]")</f>
        <v>[ 27733.33 acres / 40567.9 acres ]</v>
      </c>
      <c r="S61" s="198" t="s">
        <v>170</v>
      </c>
      <c r="T61" s="199">
        <f>+T59/T60</f>
        <v>0.68362751065124772</v>
      </c>
      <c r="U61" s="161" t="s">
        <v>171</v>
      </c>
      <c r="V61" s="91" t="str">
        <f>CONCATENATE("[ ",ROUND(T59,2)," acres / ",ROUND(T60,2)," acres ]")</f>
        <v>[ 27733.33 acres / 40567.9 acres ]</v>
      </c>
    </row>
    <row r="62" spans="1:25" s="122" customFormat="1" x14ac:dyDescent="0.2">
      <c r="I62" s="454"/>
      <c r="J62" s="91"/>
      <c r="K62" s="91"/>
      <c r="L62" s="91"/>
      <c r="M62" s="91"/>
      <c r="N62" s="91"/>
      <c r="O62" s="91"/>
      <c r="P62" s="91"/>
      <c r="Q62" s="91"/>
      <c r="R62" s="454"/>
      <c r="S62" s="91"/>
      <c r="T62" s="91"/>
      <c r="U62" s="91"/>
      <c r="V62" s="91"/>
      <c r="W62" s="91"/>
      <c r="X62" s="91"/>
      <c r="Y62" s="457"/>
    </row>
    <row r="63" spans="1:25" ht="38.25" x14ac:dyDescent="0.2">
      <c r="A63" s="200"/>
      <c r="B63" s="122" t="s">
        <v>172</v>
      </c>
      <c r="C63" s="201">
        <f>+C58*(C51/C60)*0.75</f>
        <v>27379353.582471091</v>
      </c>
      <c r="D63" s="91" t="s">
        <v>173</v>
      </c>
      <c r="E63" s="91" t="str">
        <f>CONCATENATE("[ 75% x ",ROUND(C58,2)," pounds x ",ROUND(C61*100,0),"% ]")</f>
        <v>[ 75% x 53400140 pounds x 68% ]</v>
      </c>
      <c r="I63" s="456"/>
      <c r="J63" s="122" t="s">
        <v>218</v>
      </c>
      <c r="K63" s="201">
        <f>+K58*K61*0.75</f>
        <v>17046.417757760195</v>
      </c>
      <c r="L63" s="91" t="s">
        <v>173</v>
      </c>
      <c r="M63" s="91" t="str">
        <f>CONCATENATE("[ 75% x ",ROUND(K58,2)," pounds x ",ROUND(K61*100,0),"% ]")</f>
        <v>[ 75% x 33246.99 pounds x 68% ]</v>
      </c>
      <c r="R63" s="456"/>
      <c r="S63" s="122" t="s">
        <v>237</v>
      </c>
      <c r="T63" s="201">
        <f>+T58*T61*0.75</f>
        <v>6814.9493463177114</v>
      </c>
      <c r="U63" s="91" t="s">
        <v>173</v>
      </c>
      <c r="V63" s="91" t="str">
        <f>CONCATENATE("[ 75% x ",ROUND(T58,2)," pounds x ",ROUND(T61*100,0),"% ]")</f>
        <v>[ 75% x 13291.74 pounds x 68% ]</v>
      </c>
    </row>
    <row r="64" spans="1:25" ht="26.25" thickBot="1" x14ac:dyDescent="0.25">
      <c r="A64" s="200"/>
      <c r="B64" s="202" t="s">
        <v>174</v>
      </c>
      <c r="C64" s="203">
        <f>+C58*0.25</f>
        <v>13350035</v>
      </c>
      <c r="D64" s="204" t="s">
        <v>173</v>
      </c>
      <c r="E64" s="91" t="str">
        <f>CONCATENATE("[ 25% x ",ROUND(C58,2)," pounds ]")</f>
        <v>[ 25% x 53400140 pounds ]</v>
      </c>
      <c r="I64" s="456"/>
      <c r="J64" s="202" t="s">
        <v>219</v>
      </c>
      <c r="K64" s="203">
        <f>+K58*0.25</f>
        <v>8311.7474999999995</v>
      </c>
      <c r="L64" s="204" t="s">
        <v>173</v>
      </c>
      <c r="M64" s="91" t="str">
        <f>CONCATENATE("[ 25% x ",ROUND(K58,2)," pounds ]")</f>
        <v>[ 25% x 33246.99 pounds ]</v>
      </c>
      <c r="R64" s="456"/>
      <c r="S64" s="202" t="s">
        <v>238</v>
      </c>
      <c r="T64" s="203">
        <f>+T58*0.25</f>
        <v>3322.9349999999999</v>
      </c>
      <c r="U64" s="204" t="s">
        <v>173</v>
      </c>
      <c r="V64" s="91" t="str">
        <f>CONCATENATE("[ 25% x ",ROUND(T58,2)," pounds ]")</f>
        <v>[ 25% x 13291.74 pounds ]</v>
      </c>
    </row>
    <row r="65" spans="1:25" ht="25.5" x14ac:dyDescent="0.2">
      <c r="B65" s="205" t="s">
        <v>175</v>
      </c>
      <c r="C65" s="206">
        <f>+C64+C63</f>
        <v>40729388.582471088</v>
      </c>
      <c r="D65" s="207" t="s">
        <v>132</v>
      </c>
      <c r="J65" s="205" t="s">
        <v>175</v>
      </c>
      <c r="K65" s="206">
        <f>+K64+K63</f>
        <v>25358.165257760193</v>
      </c>
      <c r="L65" s="207" t="s">
        <v>132</v>
      </c>
      <c r="P65" s="122"/>
      <c r="Q65" s="122"/>
      <c r="S65" s="205" t="s">
        <v>175</v>
      </c>
      <c r="T65" s="206">
        <f>+T64+T63</f>
        <v>10137.884346317711</v>
      </c>
      <c r="U65" s="207" t="s">
        <v>132</v>
      </c>
    </row>
    <row r="68" spans="1:25" s="460" customFormat="1" ht="27.95" customHeight="1" x14ac:dyDescent="0.25">
      <c r="A68" s="686" t="s">
        <v>176</v>
      </c>
      <c r="B68" s="686"/>
      <c r="C68" s="686"/>
      <c r="D68" s="686"/>
      <c r="E68" s="686"/>
      <c r="F68" s="686"/>
      <c r="G68" s="686"/>
      <c r="H68" s="458"/>
      <c r="I68" s="687" t="s">
        <v>220</v>
      </c>
      <c r="J68" s="686"/>
      <c r="K68" s="686"/>
      <c r="L68" s="686"/>
      <c r="M68" s="686"/>
      <c r="N68" s="686"/>
      <c r="O68" s="686"/>
      <c r="P68" s="458"/>
      <c r="Q68" s="458"/>
      <c r="R68" s="687" t="s">
        <v>239</v>
      </c>
      <c r="S68" s="686"/>
      <c r="T68" s="686"/>
      <c r="U68" s="686"/>
      <c r="V68" s="686"/>
      <c r="W68" s="686"/>
      <c r="X68" s="686"/>
      <c r="Y68" s="459"/>
    </row>
    <row r="70" spans="1:25" x14ac:dyDescent="0.2">
      <c r="B70" s="94" t="s">
        <v>177</v>
      </c>
      <c r="J70" s="94" t="s">
        <v>177</v>
      </c>
      <c r="S70" s="94" t="s">
        <v>177</v>
      </c>
    </row>
    <row r="71" spans="1:25" x14ac:dyDescent="0.2">
      <c r="B71" s="180" t="s">
        <v>156</v>
      </c>
      <c r="C71" s="208">
        <f>+TechDocs!E16</f>
        <v>0.15</v>
      </c>
      <c r="J71" s="180" t="s">
        <v>156</v>
      </c>
      <c r="K71" s="208">
        <f>+TechDocs!E16</f>
        <v>0.15</v>
      </c>
      <c r="S71" s="180" t="s">
        <v>156</v>
      </c>
      <c r="T71" s="208">
        <f>+TechDocs!E16</f>
        <v>0.15</v>
      </c>
    </row>
    <row r="72" spans="1:25" x14ac:dyDescent="0.2">
      <c r="B72" s="185" t="s">
        <v>158</v>
      </c>
      <c r="C72" s="208">
        <f>+TechDocs!E17</f>
        <v>0.52</v>
      </c>
      <c r="J72" s="185" t="s">
        <v>158</v>
      </c>
      <c r="K72" s="208">
        <f>+TechDocs!E17</f>
        <v>0.52</v>
      </c>
      <c r="S72" s="185" t="s">
        <v>158</v>
      </c>
      <c r="T72" s="208">
        <f>+TechDocs!E17</f>
        <v>0.52</v>
      </c>
    </row>
    <row r="73" spans="1:25" x14ac:dyDescent="0.2">
      <c r="B73" s="180" t="s">
        <v>160</v>
      </c>
      <c r="C73" s="208">
        <f>+TechDocs!E18</f>
        <v>0.87</v>
      </c>
      <c r="J73" s="180" t="s">
        <v>160</v>
      </c>
      <c r="K73" s="208">
        <f>+TechDocs!E18</f>
        <v>0.87</v>
      </c>
      <c r="S73" s="180" t="s">
        <v>160</v>
      </c>
      <c r="T73" s="208">
        <f>+TechDocs!E18</f>
        <v>0.87</v>
      </c>
    </row>
    <row r="76" spans="1:25" s="460" customFormat="1" ht="27.95" customHeight="1" x14ac:dyDescent="0.25">
      <c r="A76" s="686" t="s">
        <v>178</v>
      </c>
      <c r="B76" s="686"/>
      <c r="C76" s="686"/>
      <c r="D76" s="686"/>
      <c r="E76" s="686"/>
      <c r="F76" s="686"/>
      <c r="G76" s="686"/>
      <c r="H76" s="458"/>
      <c r="I76" s="687" t="s">
        <v>178</v>
      </c>
      <c r="J76" s="686"/>
      <c r="K76" s="686"/>
      <c r="L76" s="686"/>
      <c r="M76" s="686"/>
      <c r="N76" s="686"/>
      <c r="O76" s="686"/>
      <c r="P76" s="458"/>
      <c r="Q76" s="458"/>
      <c r="R76" s="687" t="s">
        <v>178</v>
      </c>
      <c r="S76" s="686"/>
      <c r="T76" s="686"/>
      <c r="U76" s="686"/>
      <c r="V76" s="686"/>
      <c r="W76" s="686"/>
      <c r="X76" s="686"/>
      <c r="Y76" s="459"/>
    </row>
    <row r="78" spans="1:25" x14ac:dyDescent="0.2">
      <c r="B78" s="94" t="s">
        <v>179</v>
      </c>
      <c r="J78" s="94" t="s">
        <v>179</v>
      </c>
      <c r="S78" s="94" t="s">
        <v>179</v>
      </c>
    </row>
    <row r="79" spans="1:25" x14ac:dyDescent="0.2">
      <c r="B79" s="210" t="s">
        <v>156</v>
      </c>
      <c r="C79" s="181">
        <f>+C48*C71</f>
        <v>3505.9259259259256</v>
      </c>
      <c r="D79" s="165" t="s">
        <v>180</v>
      </c>
      <c r="E79" s="211" t="str">
        <f>CONCATENATE(" [ ",ROUND(C48,2)," acres x ",C71*100," percent ]")</f>
        <v xml:space="preserve"> [ 23372.84 acres x 15 percent ]</v>
      </c>
      <c r="F79" s="165"/>
      <c r="G79" s="184"/>
      <c r="J79" s="210" t="s">
        <v>156</v>
      </c>
      <c r="K79" s="181">
        <f>+K48*K71</f>
        <v>3505.9259259259256</v>
      </c>
      <c r="L79" s="165" t="s">
        <v>180</v>
      </c>
      <c r="M79" s="211" t="str">
        <f>CONCATENATE(" [ ",ROUND(K48,2)," acres x ",K71*100," percent ]")</f>
        <v xml:space="preserve"> [ 23372.84 acres x 15 percent ]</v>
      </c>
      <c r="N79" s="165"/>
      <c r="O79" s="184"/>
      <c r="S79" s="210" t="s">
        <v>156</v>
      </c>
      <c r="T79" s="181">
        <f>+T48*T71</f>
        <v>3505.9259259259256</v>
      </c>
      <c r="U79" s="165" t="s">
        <v>180</v>
      </c>
      <c r="V79" s="211" t="str">
        <f>CONCATENATE(" [ ",ROUND(T48,2)," acres x ",T71*100," percent ]")</f>
        <v xml:space="preserve"> [ 23372.84 acres x 15 percent ]</v>
      </c>
      <c r="W79" s="165"/>
      <c r="X79" s="184"/>
    </row>
    <row r="80" spans="1:25" x14ac:dyDescent="0.2">
      <c r="B80" s="212" t="s">
        <v>158</v>
      </c>
      <c r="C80" s="186">
        <f>+C49*C72</f>
        <v>1765.4320987654321</v>
      </c>
      <c r="D80" s="189" t="s">
        <v>180</v>
      </c>
      <c r="E80" s="213" t="str">
        <f>CONCATENATE(" [ ",ROUND(C49,2)," acres x ",C72*100," percent ]")</f>
        <v xml:space="preserve"> [ 3395.06 acres x 52 percent ]</v>
      </c>
      <c r="F80" s="189"/>
      <c r="G80" s="190"/>
      <c r="J80" s="212" t="s">
        <v>158</v>
      </c>
      <c r="K80" s="186">
        <f>+K49*K72</f>
        <v>1765.4320987654321</v>
      </c>
      <c r="L80" s="189" t="s">
        <v>180</v>
      </c>
      <c r="M80" s="213" t="str">
        <f>CONCATENATE(" [ ",ROUND(K49,2)," acres x ",K72*100," percent ]")</f>
        <v xml:space="preserve"> [ 3395.06 acres x 52 percent ]</v>
      </c>
      <c r="N80" s="189"/>
      <c r="O80" s="190"/>
      <c r="S80" s="212" t="s">
        <v>158</v>
      </c>
      <c r="T80" s="186">
        <f>+T49*T72</f>
        <v>1765.4320987654321</v>
      </c>
      <c r="U80" s="189" t="s">
        <v>180</v>
      </c>
      <c r="V80" s="213" t="str">
        <f>CONCATENATE(" [ ",ROUND(T49,2)," acres x ",T72*100," percent ]")</f>
        <v xml:space="preserve"> [ 3395.06 acres x 52 percent ]</v>
      </c>
      <c r="W80" s="189"/>
      <c r="X80" s="190"/>
    </row>
    <row r="81" spans="1:25" ht="13.5" thickBot="1" x14ac:dyDescent="0.25">
      <c r="B81" s="214" t="s">
        <v>160</v>
      </c>
      <c r="C81" s="192">
        <f>+C50*C73</f>
        <v>839.92592592592587</v>
      </c>
      <c r="D81" s="215" t="s">
        <v>180</v>
      </c>
      <c r="E81" s="211" t="str">
        <f>CONCATENATE(" [ ",ROUND(C50,2)," acres x ",C73*100," percent ]")</f>
        <v xml:space="preserve"> [ 965.43 acres x 87 percent ]</v>
      </c>
      <c r="F81" s="165"/>
      <c r="G81" s="184"/>
      <c r="J81" s="214" t="s">
        <v>160</v>
      </c>
      <c r="K81" s="192">
        <f>+K50*K73</f>
        <v>839.92592592592587</v>
      </c>
      <c r="L81" s="215" t="s">
        <v>180</v>
      </c>
      <c r="M81" s="211" t="str">
        <f>CONCATENATE(" [ ",ROUND(K50,2)," acres x ",K73*100," percent ]")</f>
        <v xml:space="preserve"> [ 965.43 acres x 87 percent ]</v>
      </c>
      <c r="N81" s="165"/>
      <c r="O81" s="184"/>
      <c r="S81" s="214" t="s">
        <v>160</v>
      </c>
      <c r="T81" s="192">
        <f>+T50*T73</f>
        <v>839.92592592592587</v>
      </c>
      <c r="U81" s="215" t="s">
        <v>180</v>
      </c>
      <c r="V81" s="211" t="str">
        <f>CONCATENATE(" [ ",ROUND(T50,2)," acres x ",T73*100," percent ]")</f>
        <v xml:space="preserve"> [ 965.43 acres x 87 percent ]</v>
      </c>
      <c r="W81" s="165"/>
      <c r="X81" s="184"/>
    </row>
    <row r="82" spans="1:25" ht="25.5" x14ac:dyDescent="0.2">
      <c r="B82" s="216" t="s">
        <v>181</v>
      </c>
      <c r="C82" s="217">
        <f>+C79+C80+C81</f>
        <v>6111.2839506172841</v>
      </c>
      <c r="D82" s="91" t="s">
        <v>80</v>
      </c>
      <c r="J82" s="216" t="s">
        <v>181</v>
      </c>
      <c r="K82" s="217">
        <f>+K79+K80+K81</f>
        <v>6111.2839506172841</v>
      </c>
      <c r="L82" s="91" t="s">
        <v>80</v>
      </c>
      <c r="S82" s="216" t="s">
        <v>181</v>
      </c>
      <c r="T82" s="217">
        <f>+T79+T80+T81</f>
        <v>6111.2839506172841</v>
      </c>
      <c r="U82" s="91" t="s">
        <v>80</v>
      </c>
    </row>
    <row r="85" spans="1:25" s="460" customFormat="1" ht="27.95" customHeight="1" x14ac:dyDescent="0.25">
      <c r="A85" s="686" t="s">
        <v>182</v>
      </c>
      <c r="B85" s="686"/>
      <c r="C85" s="686"/>
      <c r="D85" s="686"/>
      <c r="E85" s="686"/>
      <c r="F85" s="686"/>
      <c r="G85" s="686"/>
      <c r="H85" s="458"/>
      <c r="I85" s="687" t="s">
        <v>182</v>
      </c>
      <c r="J85" s="686"/>
      <c r="K85" s="686"/>
      <c r="L85" s="686"/>
      <c r="M85" s="686"/>
      <c r="N85" s="686"/>
      <c r="O85" s="686"/>
      <c r="P85" s="458"/>
      <c r="Q85" s="458"/>
      <c r="R85" s="687" t="s">
        <v>182</v>
      </c>
      <c r="S85" s="686"/>
      <c r="T85" s="686"/>
      <c r="U85" s="686"/>
      <c r="V85" s="686"/>
      <c r="W85" s="686"/>
      <c r="X85" s="686"/>
      <c r="Y85" s="459"/>
    </row>
    <row r="87" spans="1:25" x14ac:dyDescent="0.2">
      <c r="B87" s="94" t="s">
        <v>183</v>
      </c>
      <c r="J87" s="94" t="s">
        <v>183</v>
      </c>
      <c r="S87" s="94" t="s">
        <v>183</v>
      </c>
    </row>
    <row r="88" spans="1:25" x14ac:dyDescent="0.2">
      <c r="B88" s="180" t="s">
        <v>156</v>
      </c>
      <c r="C88" s="208">
        <f>+C79/(C$79+C$80+C$81)</f>
        <v>0.57368074438298711</v>
      </c>
      <c r="D88" s="218" t="s">
        <v>184</v>
      </c>
      <c r="E88" s="211" t="str">
        <f>CONCATENATE(" [ ",ROUND(C79,2)," acres / ",ROUND(C82,2)," acres ]")</f>
        <v xml:space="preserve"> [ 3505.93 acres / 6111.28 acres ]</v>
      </c>
      <c r="F88" s="165"/>
      <c r="G88" s="184"/>
      <c r="J88" s="180" t="s">
        <v>156</v>
      </c>
      <c r="K88" s="208">
        <f>+K79/(K$79+K$80+K$81)</f>
        <v>0.57368074438298711</v>
      </c>
      <c r="L88" s="218" t="s">
        <v>184</v>
      </c>
      <c r="M88" s="211" t="str">
        <f>CONCATENATE(" [ ",ROUND(K79,2)," acres / ",ROUND(K82,2)," acres ]")</f>
        <v xml:space="preserve"> [ 3505.93 acres / 6111.28 acres ]</v>
      </c>
      <c r="N88" s="165"/>
      <c r="O88" s="184"/>
      <c r="S88" s="180" t="s">
        <v>156</v>
      </c>
      <c r="T88" s="208">
        <f>+T79/(T$79+T$80+T$81)</f>
        <v>0.57368074438298711</v>
      </c>
      <c r="U88" s="218" t="s">
        <v>184</v>
      </c>
      <c r="V88" s="211" t="str">
        <f>CONCATENATE(" [ ",ROUND(T79,2)," acres / ",ROUND(T82,2)," acres ]")</f>
        <v xml:space="preserve"> [ 3505.93 acres / 6111.28 acres ]</v>
      </c>
      <c r="W88" s="165"/>
      <c r="X88" s="184"/>
    </row>
    <row r="89" spans="1:25" x14ac:dyDescent="0.2">
      <c r="B89" s="185" t="s">
        <v>158</v>
      </c>
      <c r="C89" s="209">
        <f>+C80/(C$79+C$80+C$81)</f>
        <v>0.28888071852513264</v>
      </c>
      <c r="D89" s="219" t="s">
        <v>184</v>
      </c>
      <c r="E89" s="213" t="str">
        <f>CONCATENATE(" [ ",ROUND(C80,2)," acres / ",ROUND(C82,2)," acres ]")</f>
        <v xml:space="preserve"> [ 1765.43 acres / 6111.28 acres ]</v>
      </c>
      <c r="F89" s="189"/>
      <c r="G89" s="190"/>
      <c r="J89" s="185" t="s">
        <v>158</v>
      </c>
      <c r="K89" s="209">
        <f>+K80/(K$79+K$80+K$81)</f>
        <v>0.28888071852513264</v>
      </c>
      <c r="L89" s="219" t="s">
        <v>184</v>
      </c>
      <c r="M89" s="213" t="str">
        <f>CONCATENATE(" [ ",ROUND(K80,2)," acres / ",ROUND(K82,2)," acres ]")</f>
        <v xml:space="preserve"> [ 1765.43 acres / 6111.28 acres ]</v>
      </c>
      <c r="N89" s="189"/>
      <c r="O89" s="190"/>
      <c r="S89" s="185" t="s">
        <v>158</v>
      </c>
      <c r="T89" s="209">
        <f>+T80/(T$79+T$80+T$81)</f>
        <v>0.28888071852513264</v>
      </c>
      <c r="U89" s="219" t="s">
        <v>184</v>
      </c>
      <c r="V89" s="213" t="str">
        <f>CONCATENATE(" [ ",ROUND(T80,2)," acres / ",ROUND(T82,2)," acres ]")</f>
        <v xml:space="preserve"> [ 1765.43 acres / 6111.28 acres ]</v>
      </c>
      <c r="W89" s="189"/>
      <c r="X89" s="190"/>
    </row>
    <row r="90" spans="1:25" ht="13.5" thickBot="1" x14ac:dyDescent="0.25">
      <c r="B90" s="191" t="s">
        <v>160</v>
      </c>
      <c r="C90" s="220">
        <f>+C81/(C$79+C$80+C$81)</f>
        <v>0.13743853709188023</v>
      </c>
      <c r="D90" s="218" t="s">
        <v>184</v>
      </c>
      <c r="E90" s="211" t="str">
        <f>CONCATENATE(" [ ",ROUND(C81,2)," acres / ",ROUND(C82,2)," acres ]")</f>
        <v xml:space="preserve"> [ 839.93 acres / 6111.28 acres ]</v>
      </c>
      <c r="F90" s="165"/>
      <c r="G90" s="184"/>
      <c r="J90" s="191" t="s">
        <v>160</v>
      </c>
      <c r="K90" s="220">
        <f>+K81/(K$79+K$80+K$81)</f>
        <v>0.13743853709188023</v>
      </c>
      <c r="L90" s="218" t="s">
        <v>184</v>
      </c>
      <c r="M90" s="211" t="str">
        <f>CONCATENATE(" [ ",ROUND(K81,2)," acres / ",ROUND(K82,2)," acres ]")</f>
        <v xml:space="preserve"> [ 839.93 acres / 6111.28 acres ]</v>
      </c>
      <c r="N90" s="165"/>
      <c r="O90" s="184"/>
      <c r="S90" s="191" t="s">
        <v>160</v>
      </c>
      <c r="T90" s="220">
        <f>+T81/(T$79+T$80+T$81)</f>
        <v>0.13743853709188023</v>
      </c>
      <c r="U90" s="218" t="s">
        <v>184</v>
      </c>
      <c r="V90" s="211" t="str">
        <f>CONCATENATE(" [ ",ROUND(T81,2)," acres / ",ROUND(T82,2)," acres ]")</f>
        <v xml:space="preserve"> [ 839.93 acres / 6111.28 acres ]</v>
      </c>
      <c r="W90" s="165"/>
      <c r="X90" s="184"/>
    </row>
    <row r="91" spans="1:25" x14ac:dyDescent="0.2">
      <c r="B91" s="91" t="s">
        <v>162</v>
      </c>
      <c r="C91" s="221">
        <f>+C88+C89+C90</f>
        <v>1</v>
      </c>
      <c r="J91" s="91" t="s">
        <v>162</v>
      </c>
      <c r="K91" s="221">
        <f>+K88+K89+K90</f>
        <v>1</v>
      </c>
      <c r="S91" s="91" t="s">
        <v>162</v>
      </c>
      <c r="T91" s="221">
        <f>+T88+T89+T90</f>
        <v>1</v>
      </c>
    </row>
    <row r="94" spans="1:25" s="460" customFormat="1" ht="27.95" customHeight="1" x14ac:dyDescent="0.25">
      <c r="A94" s="686" t="s">
        <v>185</v>
      </c>
      <c r="B94" s="686"/>
      <c r="C94" s="686"/>
      <c r="D94" s="686"/>
      <c r="E94" s="686"/>
      <c r="F94" s="686"/>
      <c r="G94" s="686"/>
      <c r="H94" s="458"/>
      <c r="I94" s="687" t="s">
        <v>221</v>
      </c>
      <c r="J94" s="686"/>
      <c r="K94" s="686"/>
      <c r="L94" s="686"/>
      <c r="M94" s="686"/>
      <c r="N94" s="686"/>
      <c r="O94" s="686"/>
      <c r="P94" s="458"/>
      <c r="Q94" s="458"/>
      <c r="R94" s="687" t="s">
        <v>240</v>
      </c>
      <c r="S94" s="686"/>
      <c r="T94" s="686"/>
      <c r="U94" s="686"/>
      <c r="V94" s="686"/>
      <c r="W94" s="686"/>
      <c r="X94" s="686"/>
      <c r="Y94" s="459"/>
    </row>
    <row r="96" spans="1:25" ht="25.5" x14ac:dyDescent="0.2">
      <c r="B96" s="222" t="s">
        <v>175</v>
      </c>
      <c r="C96" s="111">
        <f>+C65</f>
        <v>40729388.582471088</v>
      </c>
      <c r="D96" s="91" t="s">
        <v>186</v>
      </c>
      <c r="E96" s="161" t="s">
        <v>187</v>
      </c>
      <c r="J96" s="222" t="s">
        <v>175</v>
      </c>
      <c r="K96" s="111">
        <f>+K65</f>
        <v>25358.165257760193</v>
      </c>
      <c r="L96" s="91" t="s">
        <v>186</v>
      </c>
      <c r="M96" s="161" t="s">
        <v>187</v>
      </c>
      <c r="S96" s="222" t="s">
        <v>175</v>
      </c>
      <c r="T96" s="111">
        <f>+T65</f>
        <v>10137.884346317711</v>
      </c>
      <c r="U96" s="91" t="s">
        <v>186</v>
      </c>
      <c r="V96" s="161" t="s">
        <v>187</v>
      </c>
    </row>
    <row r="97" spans="1:25" ht="25.5" x14ac:dyDescent="0.2">
      <c r="B97" s="177" t="s">
        <v>188</v>
      </c>
      <c r="C97" s="201">
        <f>+C63</f>
        <v>27379353.582471091</v>
      </c>
      <c r="D97" s="91" t="s">
        <v>186</v>
      </c>
      <c r="E97" s="161" t="s">
        <v>187</v>
      </c>
      <c r="J97" s="177" t="s">
        <v>222</v>
      </c>
      <c r="K97" s="201">
        <f>+K63</f>
        <v>17046.417757760195</v>
      </c>
      <c r="L97" s="91" t="s">
        <v>186</v>
      </c>
      <c r="M97" s="161" t="s">
        <v>187</v>
      </c>
      <c r="S97" s="177" t="s">
        <v>188</v>
      </c>
      <c r="T97" s="201">
        <f>+T63</f>
        <v>6814.9493463177114</v>
      </c>
      <c r="U97" s="91" t="s">
        <v>186</v>
      </c>
      <c r="V97" s="161" t="s">
        <v>187</v>
      </c>
    </row>
    <row r="98" spans="1:25" ht="25.5" x14ac:dyDescent="0.2">
      <c r="B98" s="177" t="s">
        <v>189</v>
      </c>
      <c r="C98" s="201">
        <f>+C64</f>
        <v>13350035</v>
      </c>
      <c r="D98" s="91" t="s">
        <v>186</v>
      </c>
      <c r="E98" s="161" t="s">
        <v>187</v>
      </c>
      <c r="J98" s="177" t="s">
        <v>223</v>
      </c>
      <c r="K98" s="201">
        <f>+K64</f>
        <v>8311.7474999999995</v>
      </c>
      <c r="L98" s="91" t="s">
        <v>186</v>
      </c>
      <c r="M98" s="161" t="s">
        <v>187</v>
      </c>
      <c r="S98" s="177" t="s">
        <v>241</v>
      </c>
      <c r="T98" s="201">
        <f>+T64</f>
        <v>3322.9349999999999</v>
      </c>
      <c r="U98" s="91" t="s">
        <v>186</v>
      </c>
      <c r="V98" s="161" t="s">
        <v>187</v>
      </c>
    </row>
    <row r="101" spans="1:25" s="460" customFormat="1" ht="27.95" customHeight="1" x14ac:dyDescent="0.25">
      <c r="A101" s="686" t="s">
        <v>190</v>
      </c>
      <c r="B101" s="686"/>
      <c r="C101" s="686"/>
      <c r="D101" s="686"/>
      <c r="E101" s="686"/>
      <c r="F101" s="686"/>
      <c r="G101" s="686"/>
      <c r="H101" s="458"/>
      <c r="I101" s="687" t="s">
        <v>190</v>
      </c>
      <c r="J101" s="686"/>
      <c r="K101" s="686"/>
      <c r="L101" s="686"/>
      <c r="M101" s="686"/>
      <c r="N101" s="686"/>
      <c r="O101" s="686"/>
      <c r="P101" s="458"/>
      <c r="Q101" s="458"/>
      <c r="R101" s="687" t="s">
        <v>190</v>
      </c>
      <c r="S101" s="686"/>
      <c r="T101" s="686"/>
      <c r="U101" s="686"/>
      <c r="V101" s="686"/>
      <c r="W101" s="686"/>
      <c r="X101" s="686"/>
      <c r="Y101" s="459"/>
    </row>
    <row r="102" spans="1:25" x14ac:dyDescent="0.2">
      <c r="A102" s="678" t="str">
        <f>CONCATENATE("multiplying the 'Percent of Total Impervious Surfaces' (Step 8) by ",ROUND(C98,2)," pounds (calculated in Step 9):")</f>
        <v>multiplying the 'Percent of Total Impervious Surfaces' (Step 8) by 13350035 pounds (calculated in Step 9):</v>
      </c>
      <c r="B102" s="678"/>
      <c r="C102" s="678"/>
      <c r="D102" s="678"/>
      <c r="E102" s="678"/>
      <c r="F102" s="678"/>
      <c r="G102" s="678"/>
      <c r="I102" s="678" t="str">
        <f>CONCATENATE("multiplying the 'Percent of Total Impervious Surfaces' (Step 8) by ",ROUND(K98,2)," pounds (calculated in Step 9):")</f>
        <v>multiplying the 'Percent of Total Impervious Surfaces' (Step 8) by 8311.75 pounds (calculated in Step 9):</v>
      </c>
      <c r="J102" s="678"/>
      <c r="K102" s="678"/>
      <c r="L102" s="678"/>
      <c r="M102" s="678"/>
      <c r="N102" s="678"/>
      <c r="O102" s="678"/>
      <c r="R102" s="678" t="str">
        <f>CONCATENATE("multiplying the 'Percent of Total Impervious Surfaces' (Step 8) by ",ROUND(T98,2)," pounds (calculated in Step 9):")</f>
        <v>multiplying the 'Percent of Total Impervious Surfaces' (Step 8) by 3322.94 pounds (calculated in Step 9):</v>
      </c>
      <c r="S102" s="678"/>
      <c r="T102" s="678"/>
      <c r="U102" s="678"/>
      <c r="V102" s="678"/>
      <c r="W102" s="678"/>
      <c r="X102" s="678"/>
    </row>
    <row r="103" spans="1:25" x14ac:dyDescent="0.2">
      <c r="A103" s="177"/>
      <c r="B103" s="177"/>
      <c r="C103" s="177"/>
      <c r="D103" s="177"/>
      <c r="E103" s="177"/>
      <c r="F103" s="177"/>
      <c r="G103" s="177"/>
      <c r="I103" s="455"/>
      <c r="J103" s="177"/>
      <c r="K103" s="177"/>
      <c r="L103" s="177"/>
      <c r="M103" s="177"/>
      <c r="N103" s="177"/>
      <c r="O103" s="177"/>
      <c r="R103" s="455"/>
      <c r="S103" s="177"/>
      <c r="T103" s="177"/>
      <c r="U103" s="177"/>
      <c r="V103" s="177"/>
      <c r="W103" s="177"/>
      <c r="X103" s="177"/>
    </row>
    <row r="104" spans="1:25" x14ac:dyDescent="0.2">
      <c r="B104" s="94" t="s">
        <v>191</v>
      </c>
      <c r="C104" s="216"/>
      <c r="D104" s="216"/>
      <c r="E104" s="216"/>
      <c r="F104" s="122"/>
      <c r="J104" s="94" t="s">
        <v>224</v>
      </c>
      <c r="K104" s="216"/>
      <c r="L104" s="216"/>
      <c r="M104" s="216"/>
      <c r="N104" s="122"/>
      <c r="S104" s="94" t="s">
        <v>242</v>
      </c>
      <c r="T104" s="216"/>
      <c r="U104" s="216"/>
      <c r="V104" s="216"/>
      <c r="W104" s="122"/>
    </row>
    <row r="105" spans="1:25" x14ac:dyDescent="0.2">
      <c r="B105" s="180" t="s">
        <v>156</v>
      </c>
      <c r="C105" s="166">
        <f>C88*C$98</f>
        <v>7658658.0163389314</v>
      </c>
      <c r="D105" s="691" t="str">
        <f>CONCATENATE("=   [ ",ROUND(C88*100,0)," % x ",ROUND(C$98,2)," pounds ]")</f>
        <v>=   [ 57 % x 13350035 pounds ]</v>
      </c>
      <c r="E105" s="692"/>
      <c r="F105" s="692"/>
      <c r="G105" s="692"/>
      <c r="J105" s="180" t="s">
        <v>156</v>
      </c>
      <c r="K105" s="166">
        <f>K88*K$97</f>
        <v>9779.2016283352386</v>
      </c>
      <c r="L105" s="691" t="str">
        <f>CONCATENATE("=   [ ",ROUND(K88*100,0)," % x ",ROUND(K$98,2)," pounds ]")</f>
        <v>=   [ 57 % x 8311.75 pounds ]</v>
      </c>
      <c r="M105" s="692"/>
      <c r="N105" s="692"/>
      <c r="O105" s="692"/>
      <c r="S105" s="180" t="s">
        <v>156</v>
      </c>
      <c r="T105" s="166">
        <f>T88*T$98</f>
        <v>1906.3038243362812</v>
      </c>
      <c r="U105" s="691" t="str">
        <f>CONCATENATE("=   [ ",ROUND(T88*100,0)," % x ",ROUND(T$98,2)," pounds ]")</f>
        <v>=   [ 57 % x 3322.94 pounds ]</v>
      </c>
      <c r="V105" s="692"/>
      <c r="W105" s="692"/>
      <c r="X105" s="692"/>
    </row>
    <row r="106" spans="1:25" x14ac:dyDescent="0.2">
      <c r="B106" s="185" t="s">
        <v>158</v>
      </c>
      <c r="C106" s="223">
        <f>C89*C$98</f>
        <v>3856567.7031356692</v>
      </c>
      <c r="D106" s="693" t="str">
        <f>CONCATENATE("=   [ ",ROUND(C89*100,0)," % x ",ROUND(C$98,2)," pounds ]")</f>
        <v>=   [ 29 % x 13350035 pounds ]</v>
      </c>
      <c r="E106" s="694"/>
      <c r="F106" s="694"/>
      <c r="G106" s="694"/>
      <c r="J106" s="185" t="s">
        <v>158</v>
      </c>
      <c r="K106" s="223">
        <f>K89*K$97</f>
        <v>4924.3814101413454</v>
      </c>
      <c r="L106" s="693" t="str">
        <f>CONCATENATE("=   [ ",ROUND(K89*100,0)," % x ",ROUND(K$98,2)," pounds ]")</f>
        <v>=   [ 29 % x 8311.75 pounds ]</v>
      </c>
      <c r="M106" s="694"/>
      <c r="N106" s="694"/>
      <c r="O106" s="694"/>
      <c r="S106" s="185" t="s">
        <v>158</v>
      </c>
      <c r="T106" s="223">
        <f>T89*T$98</f>
        <v>959.93185041231163</v>
      </c>
      <c r="U106" s="693" t="str">
        <f>CONCATENATE("=   [ ",ROUND(T89*100,0)," % x ",ROUND(T$98,2)," pounds ]")</f>
        <v>=   [ 29 % x 3322.94 pounds ]</v>
      </c>
      <c r="V106" s="694"/>
      <c r="W106" s="694"/>
      <c r="X106" s="694"/>
    </row>
    <row r="107" spans="1:25" x14ac:dyDescent="0.2">
      <c r="B107" s="180" t="s">
        <v>160</v>
      </c>
      <c r="C107" s="166">
        <f>C90*C$98</f>
        <v>1834809.2805253991</v>
      </c>
      <c r="D107" s="691" t="str">
        <f>CONCATENATE("=   [ ",ROUND(C90*100,0)," % x ",ROUND(C$98,2)," pounds ]")</f>
        <v>=   [ 14 % x 13350035 pounds ]</v>
      </c>
      <c r="E107" s="692"/>
      <c r="F107" s="692"/>
      <c r="G107" s="692"/>
      <c r="J107" s="180" t="s">
        <v>160</v>
      </c>
      <c r="K107" s="166">
        <f>K90*K$97</f>
        <v>2342.8347192836104</v>
      </c>
      <c r="L107" s="691" t="str">
        <f>CONCATENATE("=   [ ",ROUND(K90*100,0)," % x ",ROUND(K$98,2)," pounds ]")</f>
        <v>=   [ 14 % x 8311.75 pounds ]</v>
      </c>
      <c r="M107" s="692"/>
      <c r="N107" s="692"/>
      <c r="O107" s="692"/>
      <c r="S107" s="180" t="s">
        <v>160</v>
      </c>
      <c r="T107" s="166">
        <f>T90*T$98</f>
        <v>456.699325251407</v>
      </c>
      <c r="U107" s="691" t="str">
        <f>CONCATENATE("=   [ ",ROUND(T90*100,0)," % x ",ROUND(T$98,2)," pounds ]")</f>
        <v>=   [ 14 % x 3322.94 pounds ]</v>
      </c>
      <c r="V107" s="692"/>
      <c r="W107" s="692"/>
      <c r="X107" s="692"/>
    </row>
    <row r="108" spans="1:25" x14ac:dyDescent="0.2">
      <c r="C108" s="224"/>
      <c r="K108" s="224"/>
      <c r="T108" s="224"/>
    </row>
    <row r="110" spans="1:25" s="460" customFormat="1" ht="27.95" customHeight="1" x14ac:dyDescent="0.25">
      <c r="A110" s="686" t="s">
        <v>192</v>
      </c>
      <c r="B110" s="686"/>
      <c r="C110" s="686"/>
      <c r="D110" s="686"/>
      <c r="E110" s="686"/>
      <c r="F110" s="686"/>
      <c r="G110" s="686"/>
      <c r="H110" s="458"/>
      <c r="I110" s="687" t="s">
        <v>192</v>
      </c>
      <c r="J110" s="686"/>
      <c r="K110" s="686"/>
      <c r="L110" s="686"/>
      <c r="M110" s="686"/>
      <c r="N110" s="686"/>
      <c r="O110" s="686"/>
      <c r="P110" s="458"/>
      <c r="Q110" s="458"/>
      <c r="R110" s="687" t="s">
        <v>192</v>
      </c>
      <c r="S110" s="686"/>
      <c r="T110" s="686"/>
      <c r="U110" s="686"/>
      <c r="V110" s="686"/>
      <c r="W110" s="686"/>
      <c r="X110" s="686"/>
      <c r="Y110" s="459"/>
    </row>
    <row r="111" spans="1:25" x14ac:dyDescent="0.2">
      <c r="A111" s="678" t="str">
        <f>CONCATENATE("the 'Percent of Area of Developed Lands' (from Step 4) by ",ROUND(C97,2)," pounds (calculated in Step 9):")</f>
        <v>the 'Percent of Area of Developed Lands' (from Step 4) by 27379353.58 pounds (calculated in Step 9):</v>
      </c>
      <c r="B111" s="678"/>
      <c r="C111" s="678"/>
      <c r="D111" s="678"/>
      <c r="E111" s="678"/>
      <c r="F111" s="678"/>
      <c r="G111" s="678"/>
      <c r="I111" s="678" t="str">
        <f>CONCATENATE("the 'Percent of Area of Developed Lands' (from Step 4) by ",ROUND(K97,2)," pounds (calculated in Step 9):")</f>
        <v>the 'Percent of Area of Developed Lands' (from Step 4) by 17046.42 pounds (calculated in Step 9):</v>
      </c>
      <c r="J111" s="678"/>
      <c r="K111" s="678"/>
      <c r="L111" s="678"/>
      <c r="M111" s="678"/>
      <c r="N111" s="678"/>
      <c r="O111" s="678"/>
      <c r="R111" s="678" t="str">
        <f>CONCATENATE("the 'Percent of Area of Developed Lands' (from Step 4) by ",ROUND(T97,2)," pounds (calculated in Step 9):")</f>
        <v>the 'Percent of Area of Developed Lands' (from Step 4) by 6814.95 pounds (calculated in Step 9):</v>
      </c>
      <c r="S111" s="678"/>
      <c r="T111" s="678"/>
      <c r="U111" s="678"/>
      <c r="V111" s="678"/>
      <c r="W111" s="678"/>
      <c r="X111" s="678"/>
    </row>
    <row r="113" spans="1:25" x14ac:dyDescent="0.2">
      <c r="B113" s="94" t="s">
        <v>193</v>
      </c>
      <c r="C113" s="216"/>
      <c r="D113" s="216"/>
      <c r="E113" s="216"/>
      <c r="J113" s="94" t="s">
        <v>225</v>
      </c>
      <c r="K113" s="216"/>
      <c r="L113" s="216"/>
      <c r="M113" s="216"/>
      <c r="S113" s="94" t="s">
        <v>243</v>
      </c>
      <c r="T113" s="216"/>
      <c r="U113" s="216"/>
      <c r="V113" s="216"/>
    </row>
    <row r="114" spans="1:25" x14ac:dyDescent="0.2">
      <c r="B114" s="180" t="s">
        <v>156</v>
      </c>
      <c r="C114" s="166">
        <f>(C48/C$51)*C$97</f>
        <v>23074515.759586122</v>
      </c>
      <c r="D114" s="691" t="str">
        <f>CONCATENATE("=   [ ",ROUND(D48*100,0)," % x ",ROUND(C$97,2)," pounds ]")</f>
        <v>=   [ 84 % x 27379353.58 pounds ]</v>
      </c>
      <c r="E114" s="692"/>
      <c r="F114" s="692"/>
      <c r="G114" s="692"/>
      <c r="J114" s="180" t="s">
        <v>156</v>
      </c>
      <c r="K114" s="166">
        <f>K48/K$51*K$98</f>
        <v>7004.8968870192293</v>
      </c>
      <c r="L114" s="691" t="str">
        <f>CONCATENATE("=   [ ",ROUND(L48*100,0)," % x ",ROUND(K$97,2)," pounds ]")</f>
        <v>=   [ 84 % x 17046.42 pounds ]</v>
      </c>
      <c r="M114" s="692"/>
      <c r="N114" s="692"/>
      <c r="O114" s="692"/>
      <c r="S114" s="180" t="s">
        <v>156</v>
      </c>
      <c r="T114" s="166">
        <f>T48/T$51*T$97</f>
        <v>5743.4393262325011</v>
      </c>
      <c r="U114" s="691" t="str">
        <f>CONCATENATE("=   [ ",ROUND(U48*100,0)," % x ",ROUND(T$97,2)," pounds ]")</f>
        <v>=   [ 84 % x 6814.95 pounds ]</v>
      </c>
      <c r="V114" s="692"/>
      <c r="W114" s="692"/>
      <c r="X114" s="692"/>
    </row>
    <row r="115" spans="1:25" x14ac:dyDescent="0.2">
      <c r="B115" s="185" t="s">
        <v>158</v>
      </c>
      <c r="C115" s="223">
        <f>(C49/C$51)*C$97</f>
        <v>3351728.2029823493</v>
      </c>
      <c r="D115" s="693" t="str">
        <f>CONCATENATE("=   [ ",ROUND(D49*100,0)," % x ",ROUND(C$97,2)," pounds ]")</f>
        <v>=   [ 12 % x 27379353.58 pounds ]</v>
      </c>
      <c r="E115" s="694"/>
      <c r="F115" s="694"/>
      <c r="G115" s="694"/>
      <c r="J115" s="185" t="s">
        <v>158</v>
      </c>
      <c r="K115" s="223">
        <f>K49/K$51*K$98</f>
        <v>1017.5082632211537</v>
      </c>
      <c r="L115" s="693" t="str">
        <f>CONCATENATE("=   [ ",ROUND(L49*100,0)," % x ",ROUND(K$97,2)," pounds ]")</f>
        <v>=   [ 12 % x 17046.42 pounds ]</v>
      </c>
      <c r="M115" s="694"/>
      <c r="N115" s="694"/>
      <c r="O115" s="694"/>
      <c r="S115" s="185" t="s">
        <v>158</v>
      </c>
      <c r="T115" s="223">
        <f>T49/T$51*T$97</f>
        <v>834.27309038344481</v>
      </c>
      <c r="U115" s="693" t="str">
        <f>CONCATENATE("=   [ ",ROUND(U49*100,0)," % x ",ROUND(T$97,2)," pounds ]")</f>
        <v>=   [ 12 % x 6814.95 pounds ]</v>
      </c>
      <c r="V115" s="694"/>
      <c r="W115" s="694"/>
      <c r="X115" s="694"/>
    </row>
    <row r="116" spans="1:25" x14ac:dyDescent="0.2">
      <c r="B116" s="180" t="s">
        <v>160</v>
      </c>
      <c r="C116" s="166">
        <f>(C50/C$51)*C$97</f>
        <v>953109.61990261718</v>
      </c>
      <c r="D116" s="691" t="str">
        <f>CONCATENATE("=   [ ",ROUND(D50*100,0)," % x ",ROUND(C$97,2)," pounds ] ")</f>
        <v xml:space="preserve">=   [ 3 % x 27379353.58 pounds ] </v>
      </c>
      <c r="E116" s="692"/>
      <c r="F116" s="692"/>
      <c r="G116" s="692"/>
      <c r="J116" s="180" t="s">
        <v>160</v>
      </c>
      <c r="K116" s="166">
        <f>K50/K$51*K$98</f>
        <v>289.34234975961533</v>
      </c>
      <c r="L116" s="691" t="str">
        <f>CONCATENATE("=   [ ",ROUND(L50*100,0)," % x ",ROUND(K$97,2)," pounds ]  ")</f>
        <v xml:space="preserve">=   [ 3 % x 17046.42 pounds ]  </v>
      </c>
      <c r="M116" s="692"/>
      <c r="N116" s="692"/>
      <c r="O116" s="692"/>
      <c r="S116" s="180" t="s">
        <v>160</v>
      </c>
      <c r="T116" s="166">
        <f>T50/T$51*T$97</f>
        <v>237.23692970176504</v>
      </c>
      <c r="U116" s="691" t="str">
        <f>CONCATENATE("=   [ ",ROUND(U50*100,0)," % x ",ROUND(T$97,2)," pounds ]  ")</f>
        <v xml:space="preserve">=   [ 3 % x 6814.95 pounds ]  </v>
      </c>
      <c r="V116" s="692"/>
      <c r="W116" s="692"/>
      <c r="X116" s="692"/>
    </row>
    <row r="119" spans="1:25" s="460" customFormat="1" ht="27.95" customHeight="1" x14ac:dyDescent="0.25">
      <c r="A119" s="686" t="s">
        <v>194</v>
      </c>
      <c r="B119" s="686"/>
      <c r="C119" s="686"/>
      <c r="D119" s="686"/>
      <c r="E119" s="686"/>
      <c r="F119" s="686"/>
      <c r="G119" s="686"/>
      <c r="H119" s="458"/>
      <c r="I119" s="687" t="s">
        <v>194</v>
      </c>
      <c r="J119" s="686"/>
      <c r="K119" s="686"/>
      <c r="L119" s="686"/>
      <c r="M119" s="686"/>
      <c r="N119" s="686"/>
      <c r="O119" s="686"/>
      <c r="P119" s="458"/>
      <c r="Q119" s="458"/>
      <c r="R119" s="687" t="s">
        <v>194</v>
      </c>
      <c r="S119" s="686"/>
      <c r="T119" s="686"/>
      <c r="U119" s="686"/>
      <c r="V119" s="686"/>
      <c r="W119" s="686"/>
      <c r="X119" s="686"/>
      <c r="Y119" s="459"/>
    </row>
    <row r="121" spans="1:25" x14ac:dyDescent="0.2">
      <c r="B121" s="94" t="s">
        <v>195</v>
      </c>
      <c r="C121" s="225"/>
      <c r="D121" s="225"/>
      <c r="E121" s="216"/>
      <c r="F121" s="216"/>
      <c r="G121" s="216"/>
      <c r="H121" s="216"/>
      <c r="J121" s="94" t="s">
        <v>226</v>
      </c>
      <c r="K121" s="225"/>
      <c r="L121" s="225"/>
      <c r="M121" s="216"/>
      <c r="N121" s="216"/>
      <c r="O121" s="216"/>
      <c r="S121" s="94" t="s">
        <v>244</v>
      </c>
      <c r="T121" s="225"/>
      <c r="U121" s="225"/>
      <c r="V121" s="216"/>
      <c r="W121" s="216"/>
      <c r="X121" s="216"/>
    </row>
    <row r="122" spans="1:25" x14ac:dyDescent="0.2">
      <c r="B122" s="180" t="s">
        <v>156</v>
      </c>
      <c r="C122" s="165">
        <f>+C105+C114</f>
        <v>30733173.775925055</v>
      </c>
      <c r="D122" s="210" t="str">
        <f>CONCATENATE("   =   [ ",ROUND(C105,2)," pounds + ",ROUND(C114,2)," pounds ]")</f>
        <v xml:space="preserve">   =   [ 7658658.02 pounds + 23074515.76 pounds ]</v>
      </c>
      <c r="E122" s="184"/>
      <c r="F122" s="165"/>
      <c r="G122" s="184"/>
      <c r="H122" s="226"/>
      <c r="J122" s="180" t="s">
        <v>156</v>
      </c>
      <c r="K122" s="165">
        <f>+K105+K114</f>
        <v>16784.098515354468</v>
      </c>
      <c r="L122" s="210" t="str">
        <f>CONCATENATE("   =   [ ",ROUND(K105,2)," pounds + ",ROUND(K114,2)," pounds ]")</f>
        <v xml:space="preserve">   =   [ 9779.2 pounds + 7004.9 pounds ]</v>
      </c>
      <c r="M122" s="184"/>
      <c r="N122" s="165"/>
      <c r="O122" s="184"/>
      <c r="S122" s="180" t="s">
        <v>156</v>
      </c>
      <c r="T122" s="165">
        <f>+T105+T114</f>
        <v>7649.7431505687819</v>
      </c>
      <c r="U122" s="210" t="str">
        <f>CONCATENATE("   =   [ ",ROUND(T105,2)," pounds + ",ROUND(T114,2)," pounds ]")</f>
        <v xml:space="preserve">   =   [ 1906.3 pounds + 5743.44 pounds ]</v>
      </c>
      <c r="V122" s="184"/>
      <c r="W122" s="165"/>
      <c r="X122" s="184"/>
    </row>
    <row r="123" spans="1:25" x14ac:dyDescent="0.2">
      <c r="B123" s="185" t="s">
        <v>158</v>
      </c>
      <c r="C123" s="189">
        <f>+C106+C115</f>
        <v>7208295.9061180186</v>
      </c>
      <c r="D123" s="212" t="str">
        <f>CONCATENATE("   =   [ ",ROUND(C106,2)," pounds + ",ROUND(C115,2)," pounds ]")</f>
        <v xml:space="preserve">   =   [ 3856567.7 pounds + 3351728.2 pounds ]</v>
      </c>
      <c r="E123" s="190"/>
      <c r="F123" s="189"/>
      <c r="G123" s="190"/>
      <c r="H123" s="226"/>
      <c r="J123" s="185" t="s">
        <v>158</v>
      </c>
      <c r="K123" s="189">
        <f>+K106+K115</f>
        <v>5941.8896733624988</v>
      </c>
      <c r="L123" s="212" t="str">
        <f>CONCATENATE("   =   [ ",ROUND(K106,2)," pounds + ",ROUND(K115,2)," pounds ]")</f>
        <v xml:space="preserve">   =   [ 4924.38 pounds + 1017.51 pounds ]</v>
      </c>
      <c r="M123" s="190"/>
      <c r="N123" s="189"/>
      <c r="O123" s="190"/>
      <c r="S123" s="185" t="s">
        <v>158</v>
      </c>
      <c r="T123" s="189">
        <f>+T106+T115</f>
        <v>1794.2049407957566</v>
      </c>
      <c r="U123" s="212" t="str">
        <f>CONCATENATE("   =   [ ",ROUND(T106,2)," pounds + ",ROUND(T115,2)," pounds ]")</f>
        <v xml:space="preserve">   =   [ 959.93 pounds + 834.27 pounds ]</v>
      </c>
      <c r="V123" s="190"/>
      <c r="W123" s="189"/>
      <c r="X123" s="190"/>
    </row>
    <row r="124" spans="1:25" x14ac:dyDescent="0.2">
      <c r="B124" s="180" t="s">
        <v>160</v>
      </c>
      <c r="C124" s="165">
        <f>+C107+C116</f>
        <v>2787918.9004280162</v>
      </c>
      <c r="D124" s="210" t="str">
        <f>CONCATENATE("   =   [ ",ROUND(C107,2)," pounds + ",ROUND(C116,2)," pounds ]")</f>
        <v xml:space="preserve">   =   [ 1834809.28 pounds + 953109.62 pounds ]</v>
      </c>
      <c r="E124" s="184"/>
      <c r="F124" s="165"/>
      <c r="G124" s="184"/>
      <c r="H124" s="226"/>
      <c r="J124" s="180" t="s">
        <v>160</v>
      </c>
      <c r="K124" s="165">
        <f>+K107+K116</f>
        <v>2632.1770690432259</v>
      </c>
      <c r="L124" s="210" t="str">
        <f>CONCATENATE("   =   [ ",ROUND(K107,2)," pounds + ",ROUND(K116,2)," pounds ]")</f>
        <v xml:space="preserve">   =   [ 2342.83 pounds + 289.34 pounds ]</v>
      </c>
      <c r="M124" s="184"/>
      <c r="N124" s="165"/>
      <c r="O124" s="184"/>
      <c r="S124" s="180" t="s">
        <v>160</v>
      </c>
      <c r="T124" s="165">
        <f>+T107+T116</f>
        <v>693.93625495317201</v>
      </c>
      <c r="U124" s="210" t="str">
        <f>CONCATENATE("   =   [ ",ROUND(T107,2)," pounds + ",ROUND(T116,2)," pounds ]")</f>
        <v xml:space="preserve">   =   [ 456.7 pounds + 237.24 pounds ]</v>
      </c>
      <c r="V124" s="184"/>
      <c r="W124" s="165"/>
      <c r="X124" s="184"/>
    </row>
    <row r="128" spans="1:25" s="460" customFormat="1" ht="27.95" customHeight="1" x14ac:dyDescent="0.25">
      <c r="A128" s="686" t="s">
        <v>196</v>
      </c>
      <c r="B128" s="686"/>
      <c r="C128" s="686"/>
      <c r="D128" s="686"/>
      <c r="E128" s="686"/>
      <c r="F128" s="686"/>
      <c r="G128" s="686"/>
      <c r="H128" s="458"/>
      <c r="I128" s="687" t="s">
        <v>196</v>
      </c>
      <c r="J128" s="686"/>
      <c r="K128" s="686"/>
      <c r="L128" s="686"/>
      <c r="M128" s="686"/>
      <c r="N128" s="686"/>
      <c r="O128" s="686"/>
      <c r="P128" s="458"/>
      <c r="Q128" s="458"/>
      <c r="R128" s="687" t="s">
        <v>196</v>
      </c>
      <c r="S128" s="686"/>
      <c r="T128" s="686"/>
      <c r="U128" s="686"/>
      <c r="V128" s="686"/>
      <c r="W128" s="686"/>
      <c r="X128" s="686"/>
      <c r="Y128" s="459"/>
    </row>
    <row r="130" spans="1:25" ht="25.5" x14ac:dyDescent="0.2">
      <c r="A130" s="695" t="s">
        <v>197</v>
      </c>
      <c r="B130" s="695"/>
      <c r="C130" s="227" t="s">
        <v>132</v>
      </c>
      <c r="D130" s="228" t="s">
        <v>198</v>
      </c>
      <c r="E130" s="696" t="s">
        <v>199</v>
      </c>
      <c r="F130" s="696"/>
      <c r="I130" s="695" t="s">
        <v>227</v>
      </c>
      <c r="J130" s="695"/>
      <c r="K130" s="227" t="s">
        <v>132</v>
      </c>
      <c r="L130" s="228" t="s">
        <v>198</v>
      </c>
      <c r="M130" s="696" t="s">
        <v>228</v>
      </c>
      <c r="N130" s="696"/>
      <c r="R130" s="695" t="s">
        <v>245</v>
      </c>
      <c r="S130" s="695"/>
      <c r="T130" s="227" t="s">
        <v>132</v>
      </c>
      <c r="U130" s="228" t="s">
        <v>198</v>
      </c>
      <c r="V130" s="696" t="s">
        <v>246</v>
      </c>
      <c r="W130" s="696"/>
    </row>
    <row r="131" spans="1:25" x14ac:dyDescent="0.2">
      <c r="B131" s="229" t="s">
        <v>156</v>
      </c>
      <c r="C131" s="165">
        <f>+C122</f>
        <v>30733173.775925055</v>
      </c>
      <c r="D131" s="165">
        <f>+C48</f>
        <v>23372.839506172837</v>
      </c>
      <c r="E131" s="230">
        <f>+C131/D131</f>
        <v>1314.9097168022024</v>
      </c>
      <c r="F131" s="231" t="str">
        <f>CONCATENATE("= [",ROUND(C131,2)," lbs / ",(ROUND(D131,2))," acres ]")</f>
        <v>= [30733173.78 lbs / 23372.84 acres ]</v>
      </c>
      <c r="G131" s="184"/>
      <c r="J131" s="229" t="s">
        <v>156</v>
      </c>
      <c r="K131" s="165">
        <f>+K122</f>
        <v>16784.098515354468</v>
      </c>
      <c r="L131" s="165">
        <f>+K48</f>
        <v>23372.839506172837</v>
      </c>
      <c r="M131" s="230">
        <f>+K131/L131</f>
        <v>0.71810267258805838</v>
      </c>
      <c r="N131" s="210" t="str">
        <f>CONCATENATE("= [",ROUND(K131,2)," lbs / ",(ROUND(L131,2))," acres ]")</f>
        <v>= [16784.1 lbs / 23372.84 acres ]</v>
      </c>
      <c r="O131" s="184"/>
      <c r="S131" s="229" t="s">
        <v>156</v>
      </c>
      <c r="T131" s="165">
        <f>+T122</f>
        <v>7649.7431505687819</v>
      </c>
      <c r="U131" s="165">
        <f>+T48</f>
        <v>23372.839506172837</v>
      </c>
      <c r="V131" s="230">
        <f>+T131/U131</f>
        <v>0.32729198985636565</v>
      </c>
      <c r="W131" s="210" t="str">
        <f>CONCATENATE("= [",ROUND(T131,2)," lbs / ",(ROUND(U131,2))," acres ]")</f>
        <v>= [7649.74 lbs / 23372.84 acres ]</v>
      </c>
      <c r="X131" s="184"/>
    </row>
    <row r="132" spans="1:25" x14ac:dyDescent="0.2">
      <c r="B132" s="232" t="s">
        <v>158</v>
      </c>
      <c r="C132" s="189">
        <f>+C123</f>
        <v>7208295.9061180186</v>
      </c>
      <c r="D132" s="189">
        <f>+C49</f>
        <v>3395.0617283950614</v>
      </c>
      <c r="E132" s="233">
        <f>+C132/D132</f>
        <v>2123.1707941656709</v>
      </c>
      <c r="F132" s="234" t="str">
        <f>CONCATENATE("= [",ROUND(C132,2)," lbs / ",(ROUND(D132,2))," acres ]")</f>
        <v>= [7208295.91 lbs / 3395.06 acres ]</v>
      </c>
      <c r="G132" s="190"/>
      <c r="J132" s="232" t="s">
        <v>158</v>
      </c>
      <c r="K132" s="189">
        <f>+K123</f>
        <v>5941.8896733624988</v>
      </c>
      <c r="L132" s="189">
        <f>+K49</f>
        <v>3395.0617283950614</v>
      </c>
      <c r="M132" s="233">
        <f>+K132/L132</f>
        <v>1.7501565946994997</v>
      </c>
      <c r="N132" s="212" t="str">
        <f>CONCATENATE("= [",ROUND(K132,2)," lbs / ",(ROUND(L132,2))," acres ]")</f>
        <v>= [5941.89 lbs / 3395.06 acres ]</v>
      </c>
      <c r="O132" s="190"/>
      <c r="S132" s="232" t="s">
        <v>158</v>
      </c>
      <c r="T132" s="189">
        <f>+T123</f>
        <v>1794.2049407957566</v>
      </c>
      <c r="U132" s="189">
        <f>+T49</f>
        <v>3395.0617283950614</v>
      </c>
      <c r="V132" s="233">
        <f>+T132/U132</f>
        <v>0.5284749098343865</v>
      </c>
      <c r="W132" s="212" t="str">
        <f>CONCATENATE("= [",ROUND(T132,2)," lbs / ",(ROUND(U132,2))," acres ]")</f>
        <v>= [1794.2 lbs / 3395.06 acres ]</v>
      </c>
      <c r="X132" s="190"/>
    </row>
    <row r="133" spans="1:25" x14ac:dyDescent="0.2">
      <c r="B133" s="229" t="s">
        <v>160</v>
      </c>
      <c r="C133" s="165">
        <f>+C124</f>
        <v>2787918.9004280162</v>
      </c>
      <c r="D133" s="165">
        <f>+C50</f>
        <v>965.43209876543199</v>
      </c>
      <c r="E133" s="230">
        <f>+C133/D133</f>
        <v>2887.7420835635467</v>
      </c>
      <c r="F133" s="231" t="str">
        <f>CONCATENATE("= [",ROUND(C133,2)," lbs / ",(ROUND(D133,2))," acres ]")</f>
        <v>= [2787918.9 lbs / 965.43 acres ]</v>
      </c>
      <c r="G133" s="184"/>
      <c r="J133" s="229" t="s">
        <v>160</v>
      </c>
      <c r="K133" s="165">
        <f>+K124</f>
        <v>2632.1770690432259</v>
      </c>
      <c r="L133" s="165">
        <f>+K50</f>
        <v>965.43209876543199</v>
      </c>
      <c r="M133" s="230">
        <f>+K133/L133</f>
        <v>2.7264238183184313</v>
      </c>
      <c r="N133" s="210" t="str">
        <f>CONCATENATE("= [",ROUND(K133,2)," lbs / ",(ROUND(L133,2))," acres ]")</f>
        <v>= [2632.18 lbs / 965.43 acres ]</v>
      </c>
      <c r="O133" s="184"/>
      <c r="S133" s="229" t="s">
        <v>160</v>
      </c>
      <c r="T133" s="165">
        <f>+T124</f>
        <v>693.93625495317201</v>
      </c>
      <c r="U133" s="165">
        <f>+T50</f>
        <v>965.43209876543199</v>
      </c>
      <c r="V133" s="230">
        <f>+T133/U133</f>
        <v>0.71878307738116287</v>
      </c>
      <c r="W133" s="210" t="str">
        <f>CONCATENATE("= [",ROUND(T133,2)," lbs / ",(ROUND(U133,2))," acres ]")</f>
        <v>= [693.94 lbs / 965.43 acres ]</v>
      </c>
      <c r="X133" s="184"/>
    </row>
    <row r="137" spans="1:25" s="460" customFormat="1" ht="27.95" customHeight="1" x14ac:dyDescent="0.25">
      <c r="A137" s="686" t="s">
        <v>200</v>
      </c>
      <c r="B137" s="686"/>
      <c r="C137" s="686"/>
      <c r="D137" s="686"/>
      <c r="E137" s="686"/>
      <c r="F137" s="686"/>
      <c r="G137" s="686"/>
      <c r="H137" s="458"/>
      <c r="I137" s="687" t="s">
        <v>200</v>
      </c>
      <c r="J137" s="686"/>
      <c r="K137" s="686"/>
      <c r="L137" s="686"/>
      <c r="M137" s="686"/>
      <c r="N137" s="686"/>
      <c r="O137" s="686"/>
      <c r="P137" s="458"/>
      <c r="Q137" s="458"/>
      <c r="R137" s="687" t="s">
        <v>200</v>
      </c>
      <c r="S137" s="686"/>
      <c r="T137" s="686"/>
      <c r="U137" s="686"/>
      <c r="V137" s="686"/>
      <c r="W137" s="686"/>
      <c r="X137" s="686"/>
      <c r="Y137" s="459"/>
    </row>
    <row r="139" spans="1:25" x14ac:dyDescent="0.2">
      <c r="B139" s="91" t="s">
        <v>201</v>
      </c>
      <c r="C139" s="201">
        <f>+C37</f>
        <v>53400140</v>
      </c>
      <c r="D139" s="91" t="s">
        <v>186</v>
      </c>
      <c r="E139" s="161" t="s">
        <v>202</v>
      </c>
      <c r="J139" s="91" t="s">
        <v>201</v>
      </c>
      <c r="K139" s="201">
        <f>+K37</f>
        <v>33246.99</v>
      </c>
      <c r="L139" s="91" t="s">
        <v>186</v>
      </c>
      <c r="M139" s="161" t="s">
        <v>202</v>
      </c>
      <c r="S139" s="91" t="s">
        <v>201</v>
      </c>
      <c r="T139" s="201">
        <f>+T37</f>
        <v>13291.74</v>
      </c>
      <c r="U139" s="91" t="s">
        <v>186</v>
      </c>
      <c r="V139" s="161" t="s">
        <v>202</v>
      </c>
    </row>
    <row r="140" spans="1:25" ht="25.5" x14ac:dyDescent="0.2">
      <c r="B140" s="235" t="s">
        <v>203</v>
      </c>
      <c r="C140" s="236">
        <f>+C65</f>
        <v>40729388.582471088</v>
      </c>
      <c r="D140" s="163" t="s">
        <v>186</v>
      </c>
      <c r="E140" s="161" t="s">
        <v>204</v>
      </c>
      <c r="J140" s="242" t="s">
        <v>229</v>
      </c>
      <c r="K140" s="236">
        <f>+K65</f>
        <v>25358.165257760193</v>
      </c>
      <c r="L140" s="163" t="s">
        <v>186</v>
      </c>
      <c r="M140" s="161" t="s">
        <v>204</v>
      </c>
      <c r="S140" s="242" t="s">
        <v>229</v>
      </c>
      <c r="T140" s="236">
        <f>+T65</f>
        <v>10137.884346317711</v>
      </c>
      <c r="U140" s="163" t="s">
        <v>186</v>
      </c>
      <c r="V140" s="161" t="s">
        <v>204</v>
      </c>
    </row>
    <row r="141" spans="1:25" ht="25.5" x14ac:dyDescent="0.2">
      <c r="B141" s="122" t="s">
        <v>205</v>
      </c>
      <c r="C141" s="111">
        <f>+C139-C140</f>
        <v>12670751.417528912</v>
      </c>
      <c r="D141" s="91" t="s">
        <v>186</v>
      </c>
      <c r="E141" s="237" t="str">
        <f>CONCATENATE("[ ",ROUND(C139,2)," pounds - ",ROUND(C140,2)," pounds ]")</f>
        <v>[ 53400140 pounds - 40729388.58 pounds ]</v>
      </c>
      <c r="J141" s="122" t="s">
        <v>205</v>
      </c>
      <c r="K141" s="111">
        <f>+K139-K140</f>
        <v>7888.8247422398053</v>
      </c>
      <c r="L141" s="91" t="s">
        <v>186</v>
      </c>
      <c r="M141" s="237" t="str">
        <f>CONCATENATE(" [ ",ROUND(K139,2)," pounds - ",ROUND(K140,2)," pounds ]")</f>
        <v xml:space="preserve"> [ 33246.99 pounds - 25358.17 pounds ]</v>
      </c>
      <c r="S141" s="122" t="s">
        <v>205</v>
      </c>
      <c r="T141" s="111">
        <f>+T139-T140</f>
        <v>3153.8556536822889</v>
      </c>
      <c r="U141" s="91" t="s">
        <v>186</v>
      </c>
      <c r="V141" s="237" t="str">
        <f>CONCATENATE(" [ ",ROUND(T139,2)," pounds - ",ROUND(T140,2)," pounds ]")</f>
        <v xml:space="preserve"> [ 13291.74 pounds - 10137.88 pounds ]</v>
      </c>
    </row>
    <row r="143" spans="1:25" x14ac:dyDescent="0.2">
      <c r="B143" s="91" t="s">
        <v>206</v>
      </c>
      <c r="C143" s="238">
        <f>+C42-C51</f>
        <v>12834.567901234568</v>
      </c>
      <c r="D143" s="91" t="s">
        <v>207</v>
      </c>
      <c r="E143" s="161" t="s">
        <v>208</v>
      </c>
      <c r="J143" s="91" t="s">
        <v>206</v>
      </c>
      <c r="K143" s="238">
        <f>+K42-K51</f>
        <v>12834.567901234568</v>
      </c>
      <c r="L143" s="91" t="s">
        <v>207</v>
      </c>
      <c r="M143" s="161" t="s">
        <v>208</v>
      </c>
      <c r="S143" s="91" t="s">
        <v>206</v>
      </c>
      <c r="T143" s="238">
        <f>+T42-T51</f>
        <v>12834.567901234568</v>
      </c>
      <c r="U143" s="91" t="s">
        <v>207</v>
      </c>
      <c r="V143" s="161" t="s">
        <v>208</v>
      </c>
    </row>
    <row r="145" spans="1:25" ht="38.25" x14ac:dyDescent="0.2">
      <c r="B145" s="239" t="s">
        <v>209</v>
      </c>
      <c r="C145" s="240">
        <f>+C141/C143</f>
        <v>987.23630706025574</v>
      </c>
      <c r="D145" s="239" t="s">
        <v>144</v>
      </c>
      <c r="E145" s="91" t="str">
        <f>CONCATENATE("=  [ ",ROUND(C141,2)," pounds / ",ROUND(C143,2)," acres ]")</f>
        <v>=  [ 12670751.42 pounds / 12834.57 acres ]</v>
      </c>
      <c r="J145" s="239" t="s">
        <v>230</v>
      </c>
      <c r="K145" s="240">
        <f>+K141/K143</f>
        <v>0.61465448645769938</v>
      </c>
      <c r="L145" s="239" t="s">
        <v>144</v>
      </c>
      <c r="M145" s="91" t="str">
        <f>CONCATENATE("=  [ ",ROUND(K141,2)," pounds / ",ROUND(K143,2)," acres ]")</f>
        <v>=  [ 7888.82 pounds / 12834.57 acres ]</v>
      </c>
      <c r="S145" s="239" t="s">
        <v>247</v>
      </c>
      <c r="T145" s="240">
        <f>+T141/T143</f>
        <v>0.24573134662203289</v>
      </c>
      <c r="U145" s="239" t="s">
        <v>144</v>
      </c>
      <c r="V145" s="91" t="str">
        <f>CONCATENATE("=  [ ",ROUND(T141,2)," pounds / ",ROUND(T143,2)," acres ]")</f>
        <v>=  [ 3153.86 pounds / 12834.57 acres ]</v>
      </c>
    </row>
    <row r="148" spans="1:25" s="460" customFormat="1" ht="27.95" customHeight="1" x14ac:dyDescent="0.25">
      <c r="A148" s="686" t="s">
        <v>210</v>
      </c>
      <c r="B148" s="686"/>
      <c r="C148" s="686"/>
      <c r="D148" s="686"/>
      <c r="E148" s="686"/>
      <c r="F148" s="686"/>
      <c r="G148" s="686"/>
      <c r="H148" s="458"/>
      <c r="I148" s="687" t="s">
        <v>231</v>
      </c>
      <c r="J148" s="686"/>
      <c r="K148" s="686"/>
      <c r="L148" s="686"/>
      <c r="M148" s="686"/>
      <c r="N148" s="686"/>
      <c r="O148" s="686"/>
      <c r="P148" s="458"/>
      <c r="Q148" s="458"/>
      <c r="R148" s="687" t="s">
        <v>248</v>
      </c>
      <c r="S148" s="686"/>
      <c r="T148" s="686"/>
      <c r="U148" s="686"/>
      <c r="V148" s="686"/>
      <c r="W148" s="686"/>
      <c r="X148" s="686"/>
      <c r="Y148" s="459"/>
    </row>
  </sheetData>
  <sheetProtection algorithmName="SHA-512" hashValue="Fx7D3boKkqZZjmpNzTVhAPsDWKhFb5MJyOZ+4AKzMedI6na51GYsW98uC9vEu6UvGs3jLK4Si+nqMrXEmIo+Yw==" saltValue="Uo5bJEliOM5AQmUMNnZT1w==" spinCount="100000" sheet="1" objects="1" scenarios="1"/>
  <mergeCells count="85">
    <mergeCell ref="A34:G34"/>
    <mergeCell ref="A5:F5"/>
    <mergeCell ref="A6:G6"/>
    <mergeCell ref="A9:G9"/>
    <mergeCell ref="E12:G14"/>
    <mergeCell ref="A15:A30"/>
    <mergeCell ref="A111:G111"/>
    <mergeCell ref="A40:G40"/>
    <mergeCell ref="A45:G45"/>
    <mergeCell ref="A68:G68"/>
    <mergeCell ref="A76:G76"/>
    <mergeCell ref="A94:G94"/>
    <mergeCell ref="A101:G101"/>
    <mergeCell ref="A102:G102"/>
    <mergeCell ref="D105:G105"/>
    <mergeCell ref="D106:G106"/>
    <mergeCell ref="D107:G107"/>
    <mergeCell ref="A110:G110"/>
    <mergeCell ref="A54:G54"/>
    <mergeCell ref="A85:G85"/>
    <mergeCell ref="A148:G148"/>
    <mergeCell ref="D114:G114"/>
    <mergeCell ref="D115:G115"/>
    <mergeCell ref="D116:G116"/>
    <mergeCell ref="A119:G119"/>
    <mergeCell ref="A128:G128"/>
    <mergeCell ref="A130:B130"/>
    <mergeCell ref="E130:F130"/>
    <mergeCell ref="A137:G137"/>
    <mergeCell ref="I148:O148"/>
    <mergeCell ref="L115:O115"/>
    <mergeCell ref="L116:O116"/>
    <mergeCell ref="I119:O119"/>
    <mergeCell ref="I128:O128"/>
    <mergeCell ref="I130:J130"/>
    <mergeCell ref="M130:N130"/>
    <mergeCell ref="I137:O137"/>
    <mergeCell ref="L114:O114"/>
    <mergeCell ref="I45:O45"/>
    <mergeCell ref="I68:O68"/>
    <mergeCell ref="I76:O76"/>
    <mergeCell ref="I94:O94"/>
    <mergeCell ref="I101:O101"/>
    <mergeCell ref="I102:O102"/>
    <mergeCell ref="L105:O105"/>
    <mergeCell ref="L106:O106"/>
    <mergeCell ref="L107:O107"/>
    <mergeCell ref="I110:O110"/>
    <mergeCell ref="I111:O111"/>
    <mergeCell ref="I54:O54"/>
    <mergeCell ref="I85:O85"/>
    <mergeCell ref="I40:O40"/>
    <mergeCell ref="I5:N5"/>
    <mergeCell ref="I6:O6"/>
    <mergeCell ref="I9:O9"/>
    <mergeCell ref="I15:I30"/>
    <mergeCell ref="I34:O34"/>
    <mergeCell ref="R148:X148"/>
    <mergeCell ref="U115:X115"/>
    <mergeCell ref="U116:X116"/>
    <mergeCell ref="R119:X119"/>
    <mergeCell ref="R128:X128"/>
    <mergeCell ref="R130:S130"/>
    <mergeCell ref="V130:W130"/>
    <mergeCell ref="R137:X137"/>
    <mergeCell ref="U114:X114"/>
    <mergeCell ref="R45:X45"/>
    <mergeCell ref="R68:X68"/>
    <mergeCell ref="R76:X76"/>
    <mergeCell ref="R94:X94"/>
    <mergeCell ref="R101:X101"/>
    <mergeCell ref="R102:X102"/>
    <mergeCell ref="U105:X105"/>
    <mergeCell ref="U106:X106"/>
    <mergeCell ref="U107:X107"/>
    <mergeCell ref="R110:X110"/>
    <mergeCell ref="R111:X111"/>
    <mergeCell ref="R54:X54"/>
    <mergeCell ref="R85:X85"/>
    <mergeCell ref="R40:X40"/>
    <mergeCell ref="R5:W5"/>
    <mergeCell ref="R6:X6"/>
    <mergeCell ref="R9:X9"/>
    <mergeCell ref="R15:R30"/>
    <mergeCell ref="R34:X34"/>
  </mergeCells>
  <pageMargins left="0.75" right="0.59718749999999998" top="0.5" bottom="0.75" header="0.3" footer="0.3"/>
  <pageSetup fitToWidth="0" fitToHeight="0" orientation="portrait" r:id="rId1"/>
  <headerFooter>
    <oddFooter>&amp;L&amp;"Arial,Regular"&amp;9Section 6: Backup for Stream Bank Sediment Loading&amp;C&amp;"Arial,Regular"&amp;9Page &amp;P of &amp;N&amp;R&amp;"Arial,Regular"&amp;9Christina Basin Loading Rates Tool (May 5, 2017)</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2D050"/>
  </sheetPr>
  <dimension ref="A1:AD48"/>
  <sheetViews>
    <sheetView zoomScale="80" zoomScaleNormal="80" workbookViewId="0">
      <pane ySplit="1" topLeftCell="A2" activePane="bottomLeft" state="frozen"/>
      <selection pane="bottomLeft"/>
    </sheetView>
  </sheetViews>
  <sheetFormatPr defaultColWidth="8.875" defaultRowHeight="15" x14ac:dyDescent="0.25"/>
  <cols>
    <col min="1" max="1" width="21.625" style="1" customWidth="1"/>
    <col min="2" max="2" width="27" style="1" customWidth="1"/>
    <col min="3" max="3" width="56.625" style="1" customWidth="1"/>
    <col min="4" max="4" width="13.625" style="1" customWidth="1"/>
    <col min="5" max="5" width="17.625" style="1" customWidth="1"/>
    <col min="6" max="8" width="15" style="1" customWidth="1"/>
    <col min="9" max="9" width="22.25" style="1" customWidth="1"/>
    <col min="10" max="10" width="19.625" style="1" customWidth="1"/>
    <col min="11" max="11" width="21.125" style="1" customWidth="1"/>
    <col min="12" max="12" width="25.5" style="1" customWidth="1"/>
    <col min="13" max="13" width="23.125" style="1" customWidth="1"/>
    <col min="14" max="16" width="18.625" style="1" customWidth="1"/>
    <col min="17" max="17" width="19.125" style="1" customWidth="1"/>
    <col min="18" max="18" width="17.625" style="1" customWidth="1"/>
    <col min="19" max="19" width="16.5" style="1" customWidth="1"/>
    <col min="20" max="20" width="11.625" style="1" customWidth="1"/>
    <col min="21" max="26" width="12.375" style="1" customWidth="1"/>
    <col min="27" max="27" width="19.125" style="1" customWidth="1"/>
    <col min="28" max="28" width="17" style="1" customWidth="1"/>
    <col min="29" max="30" width="12.375" style="1" customWidth="1"/>
    <col min="31" max="16384" width="8.875" style="1"/>
  </cols>
  <sheetData>
    <row r="1" spans="1:30" ht="21" x14ac:dyDescent="0.35">
      <c r="A1" s="257" t="s">
        <v>370</v>
      </c>
    </row>
    <row r="2" spans="1:30" x14ac:dyDescent="0.25">
      <c r="A2" s="474" t="s">
        <v>473</v>
      </c>
    </row>
    <row r="3" spans="1:30" x14ac:dyDescent="0.25">
      <c r="A3" s="537" t="s">
        <v>641</v>
      </c>
    </row>
    <row r="4" spans="1:30" s="248" customFormat="1" x14ac:dyDescent="0.25">
      <c r="A4" s="598" t="s">
        <v>703</v>
      </c>
    </row>
    <row r="5" spans="1:30" x14ac:dyDescent="0.25">
      <c r="A5" s="646" t="s">
        <v>711</v>
      </c>
    </row>
    <row r="6" spans="1:30" x14ac:dyDescent="0.25">
      <c r="A6" s="507" t="s">
        <v>554</v>
      </c>
    </row>
    <row r="8" spans="1:30" s="5" customFormat="1" ht="69" hidden="1" customHeight="1" x14ac:dyDescent="0.25">
      <c r="A8" s="5" t="s">
        <v>267</v>
      </c>
      <c r="B8" s="5" t="s">
        <v>268</v>
      </c>
      <c r="C8" s="5" t="s">
        <v>269</v>
      </c>
      <c r="D8" s="5" t="s">
        <v>270</v>
      </c>
      <c r="E8" s="5" t="s">
        <v>271</v>
      </c>
      <c r="I8" s="5" t="s">
        <v>272</v>
      </c>
      <c r="J8" s="5" t="s">
        <v>273</v>
      </c>
      <c r="K8" s="5" t="s">
        <v>274</v>
      </c>
      <c r="L8" s="5" t="s">
        <v>275</v>
      </c>
      <c r="M8" s="5" t="s">
        <v>276</v>
      </c>
      <c r="N8" s="5" t="s">
        <v>277</v>
      </c>
      <c r="Q8" s="5" t="s">
        <v>278</v>
      </c>
      <c r="R8" s="5" t="s">
        <v>279</v>
      </c>
      <c r="S8" s="5" t="s">
        <v>280</v>
      </c>
      <c r="T8" s="5" t="s">
        <v>281</v>
      </c>
      <c r="U8" s="5" t="s">
        <v>282</v>
      </c>
      <c r="V8" s="5" t="s">
        <v>283</v>
      </c>
      <c r="W8" s="5" t="s">
        <v>284</v>
      </c>
      <c r="X8" s="5" t="s">
        <v>285</v>
      </c>
      <c r="Y8" s="5" t="s">
        <v>286</v>
      </c>
      <c r="Z8" s="5" t="s">
        <v>287</v>
      </c>
      <c r="AA8" s="5" t="s">
        <v>288</v>
      </c>
      <c r="AB8" s="5" t="s">
        <v>289</v>
      </c>
      <c r="AC8" s="5" t="s">
        <v>290</v>
      </c>
      <c r="AD8" s="5" t="s">
        <v>291</v>
      </c>
    </row>
    <row r="9" spans="1:30" s="264" customFormat="1" ht="60" x14ac:dyDescent="0.25">
      <c r="A9" s="531" t="s">
        <v>368</v>
      </c>
      <c r="B9" s="531" t="s">
        <v>369</v>
      </c>
      <c r="C9" s="524" t="s">
        <v>292</v>
      </c>
      <c r="D9" s="524" t="s">
        <v>464</v>
      </c>
      <c r="E9" s="523" t="s">
        <v>293</v>
      </c>
      <c r="F9" s="524" t="s">
        <v>628</v>
      </c>
      <c r="G9" s="524" t="s">
        <v>629</v>
      </c>
      <c r="H9" s="524" t="s">
        <v>692</v>
      </c>
      <c r="I9" s="524" t="s">
        <v>294</v>
      </c>
      <c r="J9" s="524" t="s">
        <v>636</v>
      </c>
      <c r="K9" s="524" t="s">
        <v>700</v>
      </c>
      <c r="L9" s="262" t="s">
        <v>717</v>
      </c>
      <c r="M9" s="262" t="s">
        <v>295</v>
      </c>
      <c r="N9" s="524" t="s">
        <v>296</v>
      </c>
      <c r="O9" s="524" t="s">
        <v>701</v>
      </c>
      <c r="P9" s="524" t="s">
        <v>635</v>
      </c>
      <c r="Q9" s="524" t="s">
        <v>297</v>
      </c>
      <c r="R9" s="262" t="s">
        <v>691</v>
      </c>
      <c r="S9" s="262" t="s">
        <v>298</v>
      </c>
      <c r="T9" s="262" t="s">
        <v>693</v>
      </c>
      <c r="U9" s="262" t="s">
        <v>299</v>
      </c>
      <c r="V9" s="262" t="s">
        <v>300</v>
      </c>
      <c r="W9" s="262" t="s">
        <v>301</v>
      </c>
      <c r="X9" s="262" t="s">
        <v>302</v>
      </c>
      <c r="Y9" s="262" t="s">
        <v>303</v>
      </c>
      <c r="Z9" s="262" t="s">
        <v>304</v>
      </c>
      <c r="AA9" s="262" t="s">
        <v>305</v>
      </c>
      <c r="AB9" s="262" t="s">
        <v>306</v>
      </c>
      <c r="AC9" s="262" t="s">
        <v>307</v>
      </c>
      <c r="AD9" s="263" t="s">
        <v>308</v>
      </c>
    </row>
    <row r="10" spans="1:30" s="258" customFormat="1" x14ac:dyDescent="0.25">
      <c r="A10" s="327" t="s">
        <v>267</v>
      </c>
      <c r="B10" s="328" t="s">
        <v>268</v>
      </c>
      <c r="C10" s="327" t="s">
        <v>309</v>
      </c>
      <c r="D10" s="327" t="s">
        <v>270</v>
      </c>
      <c r="E10" s="327" t="s">
        <v>463</v>
      </c>
      <c r="F10" s="525" t="s">
        <v>626</v>
      </c>
      <c r="G10" s="525" t="s">
        <v>25</v>
      </c>
      <c r="H10" s="525" t="s">
        <v>627</v>
      </c>
      <c r="I10" s="327" t="s">
        <v>272</v>
      </c>
      <c r="J10" s="327" t="s">
        <v>273</v>
      </c>
      <c r="K10" s="327" t="s">
        <v>274</v>
      </c>
      <c r="L10" s="327" t="s">
        <v>275</v>
      </c>
      <c r="M10" s="327" t="s">
        <v>310</v>
      </c>
      <c r="N10" s="327" t="s">
        <v>277</v>
      </c>
      <c r="O10" s="597" t="s">
        <v>632</v>
      </c>
      <c r="P10" s="327" t="s">
        <v>633</v>
      </c>
      <c r="Q10" s="327" t="s">
        <v>278</v>
      </c>
      <c r="R10" s="327" t="s">
        <v>279</v>
      </c>
      <c r="S10" s="327" t="s">
        <v>280</v>
      </c>
      <c r="T10" s="327" t="s">
        <v>281</v>
      </c>
      <c r="U10" s="327" t="s">
        <v>282</v>
      </c>
      <c r="V10" s="327" t="s">
        <v>283</v>
      </c>
      <c r="W10" s="327" t="s">
        <v>284</v>
      </c>
      <c r="X10" s="327" t="s">
        <v>285</v>
      </c>
      <c r="Y10" s="327" t="s">
        <v>286</v>
      </c>
      <c r="Z10" s="327" t="s">
        <v>287</v>
      </c>
      <c r="AA10" s="327" t="s">
        <v>288</v>
      </c>
      <c r="AB10" s="327" t="s">
        <v>289</v>
      </c>
      <c r="AC10" s="327" t="s">
        <v>290</v>
      </c>
      <c r="AD10" s="327" t="s">
        <v>291</v>
      </c>
    </row>
    <row r="11" spans="1:30" x14ac:dyDescent="0.25">
      <c r="A11" s="602" t="s">
        <v>600</v>
      </c>
      <c r="B11" s="609" t="s">
        <v>604</v>
      </c>
      <c r="C11" s="606" t="s">
        <v>607</v>
      </c>
      <c r="D11" s="606" t="s">
        <v>600</v>
      </c>
      <c r="E11" s="610">
        <v>1998</v>
      </c>
      <c r="F11" s="611"/>
      <c r="G11" s="526">
        <f>UrbanBMPs[[#This Row],[SquareFeet]]/43560</f>
        <v>0</v>
      </c>
      <c r="H11" s="611"/>
      <c r="I11" s="621" t="s">
        <v>47</v>
      </c>
      <c r="J11" s="621">
        <v>20</v>
      </c>
      <c r="K11" s="622">
        <v>1.8</v>
      </c>
      <c r="L11" s="623"/>
      <c r="M11" s="623"/>
      <c r="N11" s="259">
        <f>IFERROR(UrbanBMPs[[#This Row],[drainageArea_ac]]*UrbanBMPs[[#This Row],[impervFraction_percent]],NA())</f>
        <v>17.399999999999999</v>
      </c>
      <c r="O11" s="259" t="e">
        <f>IFERROR(UrbanBMPs[[#This Row],[impervArea_ac]]/UrbanBMPs[[#This Row],[Acres]],NA())</f>
        <v>#N/A</v>
      </c>
      <c r="P11" s="259" t="e">
        <f>IF(UrbanBMPs[[#This Row],[BMP_type]]="RR",NA(),IF(UrbanBMPs[[#This Row],[BMP_type]]="ST",NA(),
IF(ISNUMBER(UrbanBMPs[[#This Row],[LoadRatio1]]),NA(),
IFERROR(UrbanBMPs[[#This Row],[CubicFeet]]/(0.208*UrbanBMPs[[#This Row],[impervArea_ac]]*43560),NA()))))</f>
        <v>#N/A</v>
      </c>
      <c r="Q11" s="259">
        <f>IFERROR(MIN(UrbanBMPs[[#This Row],[treatmentDepth_in]]*UrbanBMPs[[#This Row],[drainageArea_ac]]/UrbanBMPs[[#This Row],[impervArea_ac]],2.5),NA())</f>
        <v>2.0689655172413794</v>
      </c>
      <c r="R11" s="627"/>
      <c r="S11" s="397">
        <f>IF(UrbanBMPs[[#This Row],[treatmentDepthNormalizedManual_inPerImpervAc]]&gt;0,UrbanBMPs[[#This Row],[treatmentDepthNormalizedManual_inPerImpervAc]],IFERROR(UrbanBMPs[[#This Row],[treatmentDepthNormalized_inPerImpervAc]],NA()))</f>
        <v>2.0689655172413794</v>
      </c>
      <c r="T11" s="260">
        <f>IF(UrbanBMPs[[#This Row],[BMP_type]]="Stream Restoration",NA(),IFERROR(INDEX(Impervious[#All],MATCH(UrbanBMPs[[#This Row],[drainageLandCoverClass]],Impervious[[#All],[Source]],0),4),NA()))</f>
        <v>0.87</v>
      </c>
      <c r="U11" s="261">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59069.867804774767</v>
      </c>
      <c r="V11" s="261">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17.2</v>
      </c>
      <c r="W11" s="261">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81.200000000000017</v>
      </c>
      <c r="X11" s="260">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0.84071053707425025</v>
      </c>
      <c r="Y11" s="260">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0.78267814524188861</v>
      </c>
      <c r="Z11" s="260">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0.66938390058011776</v>
      </c>
      <c r="AA11" s="261">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49660.660287057159</v>
      </c>
      <c r="AB11" s="399">
        <f>IFERROR(UrbanBMPs[[#This Row],[TSS_Reduction_lbPerY]]/2000,NA())</f>
        <v>24.830330143528581</v>
      </c>
      <c r="AC11" s="261">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13.462064098160484</v>
      </c>
      <c r="AD11" s="261">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54.353972727105571</v>
      </c>
    </row>
    <row r="12" spans="1:30" x14ac:dyDescent="0.25">
      <c r="A12" s="602" t="s">
        <v>601</v>
      </c>
      <c r="B12" s="609" t="s">
        <v>605</v>
      </c>
      <c r="C12" s="606" t="s">
        <v>582</v>
      </c>
      <c r="D12" s="606" t="s">
        <v>610</v>
      </c>
      <c r="E12" s="612">
        <v>2020</v>
      </c>
      <c r="F12" s="613">
        <v>230000</v>
      </c>
      <c r="G12" s="527">
        <f>UrbanBMPs[[#This Row],[SquareFeet]]/43560</f>
        <v>5.2800734618916438</v>
      </c>
      <c r="H12" s="613"/>
      <c r="I12" s="621" t="s">
        <v>47</v>
      </c>
      <c r="J12" s="621">
        <v>20</v>
      </c>
      <c r="K12" s="622"/>
      <c r="L12" s="623"/>
      <c r="M12" s="623"/>
      <c r="N12" s="259">
        <f>IFERROR(UrbanBMPs[[#This Row],[drainageArea_ac]]*UrbanBMPs[[#This Row],[impervFraction_percent]],NA())</f>
        <v>17.399999999999999</v>
      </c>
      <c r="O12" s="530">
        <f>IFERROR(UrbanBMPs[[#This Row],[impervArea_ac]]/UrbanBMPs[[#This Row],[Acres]],NA())</f>
        <v>3.2954086956521738</v>
      </c>
      <c r="P12" s="530" t="e">
        <f>IF(UrbanBMPs[[#This Row],[BMP_type]]="RR",NA(),IF(UrbanBMPs[[#This Row],[BMP_type]]="ST",NA(),
IF(ISNUMBER(UrbanBMPs[[#This Row],[LoadRatio1]]),NA(),
IFERROR(UrbanBMPs[[#This Row],[CubicFeet]]/(0.208*UrbanBMPs[[#This Row],[impervArea_ac]]*43560),NA()))))</f>
        <v>#N/A</v>
      </c>
      <c r="Q12" s="397">
        <f>IFERROR(MIN(UrbanBMPs[[#This Row],[treatmentDepth_in]]*UrbanBMPs[[#This Row],[drainageArea_ac]]/UrbanBMPs[[#This Row],[impervArea_ac]],2.5),NA())</f>
        <v>0</v>
      </c>
      <c r="R12" s="627"/>
      <c r="S12" s="397">
        <f>IF(UrbanBMPs[[#This Row],[treatmentDepthNormalizedManual_inPerImpervAc]]&gt;0,UrbanBMPs[[#This Row],[treatmentDepthNormalizedManual_inPerImpervAc]],IFERROR(UrbanBMPs[[#This Row],[treatmentDepthNormalized_inPerImpervAc]],NA()))</f>
        <v>0</v>
      </c>
      <c r="T12" s="260">
        <f>IF(UrbanBMPs[[#This Row],[BMP_type]]="Stream Restoration",NA(),IFERROR(INDEX(Impervious[#All],MATCH(UrbanBMPs[[#This Row],[drainageLandCoverClass]],Impervious[[#All],[Source]],0),4),NA()))</f>
        <v>0.87</v>
      </c>
      <c r="U12" s="261">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59069.867804774767</v>
      </c>
      <c r="V12" s="261">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17.2</v>
      </c>
      <c r="W12" s="261">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81.200000000000017</v>
      </c>
      <c r="X12" s="260">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0.8</v>
      </c>
      <c r="Y12" s="260">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0.75</v>
      </c>
      <c r="Z12" s="260">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0.70000000000000007</v>
      </c>
      <c r="AA12" s="261">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47255.894243819814</v>
      </c>
      <c r="AB12" s="399">
        <f>IFERROR(UrbanBMPs[[#This Row],[TSS_Reduction_lbPerY]]/2000,NA())</f>
        <v>23.627947121909905</v>
      </c>
      <c r="AC12" s="261">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12.899999999999999</v>
      </c>
      <c r="AD12" s="261">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56.840000000000018</v>
      </c>
    </row>
    <row r="13" spans="1:30" x14ac:dyDescent="0.25">
      <c r="A13" s="602" t="s">
        <v>601</v>
      </c>
      <c r="B13" s="609" t="s">
        <v>606</v>
      </c>
      <c r="C13" s="606" t="s">
        <v>608</v>
      </c>
      <c r="D13" s="606" t="s">
        <v>610</v>
      </c>
      <c r="E13" s="610">
        <v>2020</v>
      </c>
      <c r="F13" s="611"/>
      <c r="G13" s="526">
        <f>UrbanBMPs[[#This Row],[SquareFeet]]/43560</f>
        <v>0</v>
      </c>
      <c r="H13" s="611"/>
      <c r="I13" s="621" t="s">
        <v>45</v>
      </c>
      <c r="J13" s="621">
        <v>150</v>
      </c>
      <c r="K13" s="622">
        <v>2.4</v>
      </c>
      <c r="L13" s="623"/>
      <c r="M13" s="623"/>
      <c r="N13" s="259">
        <f>IFERROR(UrbanBMPs[[#This Row],[drainageArea_ac]]*UrbanBMPs[[#This Row],[impervFraction_percent]],NA())</f>
        <v>22.5</v>
      </c>
      <c r="O13" s="529" t="e">
        <f>IFERROR(UrbanBMPs[[#This Row],[impervArea_ac]]/UrbanBMPs[[#This Row],[Acres]],NA())</f>
        <v>#N/A</v>
      </c>
      <c r="P13" s="529" t="e">
        <f>IF(UrbanBMPs[[#This Row],[BMP_type]]="RR",NA(),IF(UrbanBMPs[[#This Row],[BMP_type]]="ST",NA(),
IF(ISNUMBER(UrbanBMPs[[#This Row],[LoadRatio1]]),NA(),
IFERROR(UrbanBMPs[[#This Row],[CubicFeet]]/(0.208*UrbanBMPs[[#This Row],[impervArea_ac]]*43560),NA()))))</f>
        <v>#N/A</v>
      </c>
      <c r="Q13" s="259">
        <f>IFERROR(MIN(UrbanBMPs[[#This Row],[treatmentDepth_in]]*UrbanBMPs[[#This Row],[drainageArea_ac]]/UrbanBMPs[[#This Row],[impervArea_ac]],2.5),NA())</f>
        <v>2.5</v>
      </c>
      <c r="R13" s="627"/>
      <c r="S13" s="397">
        <f>IF(UrbanBMPs[[#This Row],[treatmentDepthNormalizedManual_inPerImpervAc]]&gt;0,UrbanBMPs[[#This Row],[treatmentDepthNormalizedManual_inPerImpervAc]],IFERROR(UrbanBMPs[[#This Row],[treatmentDepthNormalized_inPerImpervAc]],NA()))</f>
        <v>2.5</v>
      </c>
      <c r="T13" s="260">
        <f>IF(UrbanBMPs[[#This Row],[BMP_type]]="Stream Restoration",NA(),IFERROR(INDEX(Impervious[#All],MATCH(UrbanBMPs[[#This Row],[drainageLandCoverClass]],Impervious[[#All],[Source]],0),4),NA()))</f>
        <v>0.15</v>
      </c>
      <c r="U13" s="261">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199110.67369177288</v>
      </c>
      <c r="V13" s="261">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54</v>
      </c>
      <c r="W13" s="261">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154.5</v>
      </c>
      <c r="X13" s="260">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0.78811874999999987</v>
      </c>
      <c r="Y13" s="260">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0.61997187499999973</v>
      </c>
      <c r="Z13" s="260">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0.39315000000000072</v>
      </c>
      <c r="AA13" s="261">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156922.85526161789</v>
      </c>
      <c r="AB13" s="399">
        <f>IFERROR(UrbanBMPs[[#This Row],[TSS_Reduction_lbPerY]]/2000,NA())</f>
        <v>78.461427630808942</v>
      </c>
      <c r="AC13" s="261">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33.478481249999987</v>
      </c>
      <c r="AD13" s="261">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60.741675000000114</v>
      </c>
    </row>
    <row r="14" spans="1:30" x14ac:dyDescent="0.25">
      <c r="A14" s="602" t="s">
        <v>602</v>
      </c>
      <c r="B14" s="614" t="s">
        <v>605</v>
      </c>
      <c r="C14" s="606" t="s">
        <v>608</v>
      </c>
      <c r="D14" s="606" t="s">
        <v>610</v>
      </c>
      <c r="E14" s="610">
        <v>2020</v>
      </c>
      <c r="F14" s="611"/>
      <c r="G14" s="526">
        <f>UrbanBMPs[[#This Row],[SquareFeet]]/43560</f>
        <v>0</v>
      </c>
      <c r="H14" s="611"/>
      <c r="I14" s="621" t="s">
        <v>46</v>
      </c>
      <c r="J14" s="621">
        <v>100</v>
      </c>
      <c r="K14" s="622">
        <v>2</v>
      </c>
      <c r="L14" s="623"/>
      <c r="M14" s="623"/>
      <c r="N14" s="259">
        <f>IFERROR(UrbanBMPs[[#This Row],[drainageArea_ac]]*UrbanBMPs[[#This Row],[impervFraction_percent]],NA())</f>
        <v>52</v>
      </c>
      <c r="O14" s="397" t="e">
        <f>IFERROR(UrbanBMPs[[#This Row],[impervArea_ac]]/UrbanBMPs[[#This Row],[Acres]],NA())</f>
        <v>#N/A</v>
      </c>
      <c r="P14" s="397" t="e">
        <f>IF(UrbanBMPs[[#This Row],[BMP_type]]="RR",NA(),IF(UrbanBMPs[[#This Row],[BMP_type]]="ST",NA(),
IF(ISNUMBER(UrbanBMPs[[#This Row],[LoadRatio1]]),NA(),
IFERROR(UrbanBMPs[[#This Row],[CubicFeet]]/(0.208*UrbanBMPs[[#This Row],[impervArea_ac]]*43560),NA()))))</f>
        <v>#N/A</v>
      </c>
      <c r="Q14" s="397">
        <f>IFERROR(MIN(UrbanBMPs[[#This Row],[treatmentDepth_in]]*UrbanBMPs[[#This Row],[drainageArea_ac]]/UrbanBMPs[[#This Row],[impervArea_ac]],2.5),NA())</f>
        <v>2.5</v>
      </c>
      <c r="R14" s="627"/>
      <c r="S14" s="397">
        <f>IF(UrbanBMPs[[#This Row],[treatmentDepthNormalizedManual_inPerImpervAc]]&gt;0,UrbanBMPs[[#This Row],[treatmentDepthNormalizedManual_inPerImpervAc]],IFERROR(UrbanBMPs[[#This Row],[treatmentDepthNormalized_inPerImpervAc]],NA()))</f>
        <v>2.5</v>
      </c>
      <c r="T14" s="260">
        <f>IF(UrbanBMPs[[#This Row],[BMP_type]]="Stream Restoration",NA(),IFERROR(INDEX(Impervious[#All],MATCH(UrbanBMPs[[#This Row],[drainageLandCoverClass]],Impervious[[#All],[Source]],0),4),NA()))</f>
        <v>0.52</v>
      </c>
      <c r="U14" s="261">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218890.18505802166</v>
      </c>
      <c r="V14" s="261">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67</v>
      </c>
      <c r="W14" s="261">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308</v>
      </c>
      <c r="X14" s="260">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0.78811874999999987</v>
      </c>
      <c r="Y14" s="260">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0.61997187499999973</v>
      </c>
      <c r="Z14" s="260">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0.39315000000000072</v>
      </c>
      <c r="AA14" s="261">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172511.45903519666</v>
      </c>
      <c r="AB14" s="399">
        <f>IFERROR(UrbanBMPs[[#This Row],[TSS_Reduction_lbPerY]]/2000,NA())</f>
        <v>86.255729517598326</v>
      </c>
      <c r="AC14" s="261">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41.538115624999982</v>
      </c>
      <c r="AD14" s="261">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121.09020000000022</v>
      </c>
    </row>
    <row r="15" spans="1:30" x14ac:dyDescent="0.25">
      <c r="A15" s="603" t="s">
        <v>602</v>
      </c>
      <c r="B15" s="614" t="s">
        <v>606</v>
      </c>
      <c r="C15" s="606" t="s">
        <v>608</v>
      </c>
      <c r="D15" s="606" t="s">
        <v>610</v>
      </c>
      <c r="E15" s="610">
        <v>2020</v>
      </c>
      <c r="F15" s="611"/>
      <c r="G15" s="526">
        <f>UrbanBMPs[[#This Row],[SquareFeet]]/43560</f>
        <v>0</v>
      </c>
      <c r="H15" s="611"/>
      <c r="I15" s="621" t="s">
        <v>35</v>
      </c>
      <c r="J15" s="621">
        <v>85</v>
      </c>
      <c r="K15" s="622"/>
      <c r="L15" s="623"/>
      <c r="M15" s="623"/>
      <c r="N15" s="259">
        <f>IFERROR(UrbanBMPs[[#This Row],[drainageArea_ac]]*UrbanBMPs[[#This Row],[impervFraction_percent]],NA())</f>
        <v>0</v>
      </c>
      <c r="O15" s="259" t="e">
        <f>IFERROR(UrbanBMPs[[#This Row],[impervArea_ac]]/UrbanBMPs[[#This Row],[Acres]],NA())</f>
        <v>#N/A</v>
      </c>
      <c r="P15" s="259" t="e">
        <f>IF(UrbanBMPs[[#This Row],[BMP_type]]="RR",NA(),IF(UrbanBMPs[[#This Row],[BMP_type]]="ST",NA(),
IF(ISNUMBER(UrbanBMPs[[#This Row],[LoadRatio1]]),NA(),
IFERROR(UrbanBMPs[[#This Row],[CubicFeet]]/(0.208*UrbanBMPs[[#This Row],[impervArea_ac]]*43560),NA()))))</f>
        <v>#N/A</v>
      </c>
      <c r="Q15" s="259" t="e">
        <f>IFERROR(MIN(UrbanBMPs[[#This Row],[treatmentDepth_in]]*UrbanBMPs[[#This Row],[drainageArea_ac]]/UrbanBMPs[[#This Row],[impervArea_ac]],2.5),NA())</f>
        <v>#N/A</v>
      </c>
      <c r="R15" s="627">
        <v>1</v>
      </c>
      <c r="S15" s="397">
        <f>IF(UrbanBMPs[[#This Row],[treatmentDepthNormalizedManual_inPerImpervAc]]&gt;0,UrbanBMPs[[#This Row],[treatmentDepthNormalizedManual_inPerImpervAc]],IFERROR(UrbanBMPs[[#This Row],[treatmentDepthNormalized_inPerImpervAc]],NA()))</f>
        <v>1</v>
      </c>
      <c r="T15" s="260">
        <f>IF(UrbanBMPs[[#This Row],[BMP_type]]="Stream Restoration",NA(),IFERROR(INDEX(Impervious[#All],MATCH(UrbanBMPs[[#This Row],[drainageLandCoverClass]],Impervious[[#All],[Source]],0),4),NA()))</f>
        <v>0</v>
      </c>
      <c r="U15" s="261">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193385.40466525996</v>
      </c>
      <c r="V15" s="261">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217.6</v>
      </c>
      <c r="W15" s="261">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799</v>
      </c>
      <c r="X15" s="260">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0.69900000000000007</v>
      </c>
      <c r="Y15" s="260">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0.54920000000000002</v>
      </c>
      <c r="Z15" s="260">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0.34950000000000003</v>
      </c>
      <c r="AA15" s="261">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135176.39786101674</v>
      </c>
      <c r="AB15" s="399">
        <f>IFERROR(UrbanBMPs[[#This Row],[TSS_Reduction_lbPerY]]/2000,NA())</f>
        <v>67.588198930508369</v>
      </c>
      <c r="AC15" s="261">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119.50592</v>
      </c>
      <c r="AD15" s="261">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279.25050000000005</v>
      </c>
    </row>
    <row r="16" spans="1:30" x14ac:dyDescent="0.25">
      <c r="A16" s="602" t="s">
        <v>603</v>
      </c>
      <c r="B16" s="609" t="s">
        <v>345</v>
      </c>
      <c r="C16" s="606" t="s">
        <v>609</v>
      </c>
      <c r="D16" s="606" t="s">
        <v>610</v>
      </c>
      <c r="E16" s="610">
        <v>2021</v>
      </c>
      <c r="F16" s="611"/>
      <c r="G16" s="526">
        <f>UrbanBMPs[[#This Row],[SquareFeet]]/43560</f>
        <v>0</v>
      </c>
      <c r="H16" s="611"/>
      <c r="I16" s="621"/>
      <c r="J16" s="621"/>
      <c r="K16" s="622"/>
      <c r="L16" s="623">
        <v>800</v>
      </c>
      <c r="M16" s="623"/>
      <c r="N16" s="259" t="e">
        <f>IFERROR(UrbanBMPs[[#This Row],[drainageArea_ac]]*UrbanBMPs[[#This Row],[impervFraction_percent]],NA())</f>
        <v>#N/A</v>
      </c>
      <c r="O16" s="397" t="e">
        <f>IFERROR(UrbanBMPs[[#This Row],[impervArea_ac]]/UrbanBMPs[[#This Row],[Acres]],NA())</f>
        <v>#N/A</v>
      </c>
      <c r="P16" s="397" t="e">
        <f>IF(UrbanBMPs[[#This Row],[BMP_type]]="RR",NA(),IF(UrbanBMPs[[#This Row],[BMP_type]]="ST",NA(),
IF(ISNUMBER(UrbanBMPs[[#This Row],[LoadRatio1]]),NA(),
IFERROR(UrbanBMPs[[#This Row],[CubicFeet]]/(0.208*UrbanBMPs[[#This Row],[impervArea_ac]]*43560),NA()))))</f>
        <v>#N/A</v>
      </c>
      <c r="Q16" s="397" t="e">
        <f>IFERROR(MIN(UrbanBMPs[[#This Row],[treatmentDepth_in]]*UrbanBMPs[[#This Row],[drainageArea_ac]]/UrbanBMPs[[#This Row],[impervArea_ac]],2.5),NA())</f>
        <v>#N/A</v>
      </c>
      <c r="R16" s="627"/>
      <c r="S16" s="397" t="e">
        <f>IF(UrbanBMPs[[#This Row],[treatmentDepthNormalizedManual_inPerImpervAc]]&gt;0,UrbanBMPs[[#This Row],[treatmentDepthNormalizedManual_inPerImpervAc]],IFERROR(UrbanBMPs[[#This Row],[treatmentDepthNormalized_inPerImpervAc]],NA()))</f>
        <v>#N/A</v>
      </c>
      <c r="T16" s="260" t="e">
        <f>IF(UrbanBMPs[[#This Row],[BMP_type]]="Stream Restoration",NA(),IFERROR(INDEX(Impervious[#All],MATCH(UrbanBMPs[[#This Row],[drainageLandCoverClass]],Impervious[[#All],[Source]],0),4),NA()))</f>
        <v>#N/A</v>
      </c>
      <c r="U16" s="261"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16" s="261"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16" s="261"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16" s="260">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0</v>
      </c>
      <c r="Y16" s="260">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0</v>
      </c>
      <c r="Z16" s="260">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0</v>
      </c>
      <c r="AA16" s="261">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92000</v>
      </c>
      <c r="AB16" s="399">
        <f>IFERROR(UrbanBMPs[[#This Row],[TSS_Reduction_lbPerY]]/2000,NA())</f>
        <v>46</v>
      </c>
      <c r="AC16" s="261">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139.19999999999999</v>
      </c>
      <c r="AD16" s="261">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153.6</v>
      </c>
    </row>
    <row r="17" spans="1:30" x14ac:dyDescent="0.25">
      <c r="A17" s="604" t="s">
        <v>630</v>
      </c>
      <c r="B17" s="615" t="s">
        <v>631</v>
      </c>
      <c r="C17" s="606" t="s">
        <v>592</v>
      </c>
      <c r="D17" s="606" t="s">
        <v>610</v>
      </c>
      <c r="E17" s="610">
        <v>2022</v>
      </c>
      <c r="F17" s="611">
        <v>300000</v>
      </c>
      <c r="G17" s="526">
        <f>UrbanBMPs[[#This Row],[SquareFeet]]/43560</f>
        <v>6.887052341597796</v>
      </c>
      <c r="H17" s="611"/>
      <c r="I17" s="621" t="s">
        <v>46</v>
      </c>
      <c r="J17" s="621">
        <v>100</v>
      </c>
      <c r="K17" s="622"/>
      <c r="L17" s="623"/>
      <c r="M17" s="623"/>
      <c r="N17" s="259">
        <f>IFERROR(UrbanBMPs[[#This Row],[drainageArea_ac]]*UrbanBMPs[[#This Row],[impervFraction_percent]],NA())</f>
        <v>52</v>
      </c>
      <c r="O17" s="530">
        <f>IFERROR(UrbanBMPs[[#This Row],[impervArea_ac]]/UrbanBMPs[[#This Row],[Acres]],NA())</f>
        <v>7.5503999999999998</v>
      </c>
      <c r="P17" s="397" t="e">
        <f>IF(UrbanBMPs[[#This Row],[BMP_type]]="RR",NA(),IF(UrbanBMPs[[#This Row],[BMP_type]]="ST",NA(),
IF(ISNUMBER(UrbanBMPs[[#This Row],[LoadRatio1]]),NA(),
IFERROR(UrbanBMPs[[#This Row],[CubicFeet]]/(0.208*UrbanBMPs[[#This Row],[impervArea_ac]]*43560),NA()))))</f>
        <v>#N/A</v>
      </c>
      <c r="Q17" s="397">
        <f>IFERROR(MIN(UrbanBMPs[[#This Row],[treatmentDepth_in]]*UrbanBMPs[[#This Row],[drainageArea_ac]]/UrbanBMPs[[#This Row],[impervArea_ac]],2.5),NA())</f>
        <v>0</v>
      </c>
      <c r="R17" s="627"/>
      <c r="S17" s="397">
        <f>IF(UrbanBMPs[[#This Row],[treatmentDepthNormalizedManual_inPerImpervAc]]&gt;0,UrbanBMPs[[#This Row],[treatmentDepthNormalizedManual_inPerImpervAc]],IFERROR(UrbanBMPs[[#This Row],[treatmentDepthNormalized_inPerImpervAc]],NA()))</f>
        <v>0</v>
      </c>
      <c r="T17" s="260">
        <f>IF(UrbanBMPs[[#This Row],[BMP_type]]="Stream Restoration",NA(),IFERROR(INDEX(Impervious[#All],MATCH(UrbanBMPs[[#This Row],[drainageLandCoverClass]],Impervious[[#All],[Source]],0),4),NA()))</f>
        <v>0.52</v>
      </c>
      <c r="U17" s="261">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218890.18505802166</v>
      </c>
      <c r="V17" s="261">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67</v>
      </c>
      <c r="W17" s="261">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308</v>
      </c>
      <c r="X17" s="260">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0.85</v>
      </c>
      <c r="Y17" s="260">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0.8</v>
      </c>
      <c r="Z17" s="260">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0.75</v>
      </c>
      <c r="AA17" s="261">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186056.65729931841</v>
      </c>
      <c r="AB17" s="399">
        <f>IFERROR(UrbanBMPs[[#This Row],[TSS_Reduction_lbPerY]]/2000,NA())</f>
        <v>93.028328649659201</v>
      </c>
      <c r="AC17" s="261">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53.6</v>
      </c>
      <c r="AD17" s="261">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231</v>
      </c>
    </row>
    <row r="18" spans="1:30" x14ac:dyDescent="0.25">
      <c r="A18" s="604" t="s">
        <v>634</v>
      </c>
      <c r="B18" s="615" t="s">
        <v>631</v>
      </c>
      <c r="C18" s="606" t="s">
        <v>587</v>
      </c>
      <c r="D18" s="606" t="s">
        <v>610</v>
      </c>
      <c r="E18" s="610">
        <v>2022</v>
      </c>
      <c r="F18" s="611"/>
      <c r="G18" s="526">
        <f>UrbanBMPs[[#This Row],[SquareFeet]]/43560</f>
        <v>0</v>
      </c>
      <c r="H18" s="611">
        <v>530000</v>
      </c>
      <c r="I18" s="621" t="s">
        <v>47</v>
      </c>
      <c r="J18" s="621">
        <v>75</v>
      </c>
      <c r="K18" s="622"/>
      <c r="L18" s="623"/>
      <c r="M18" s="623"/>
      <c r="N18" s="259">
        <f>IFERROR(UrbanBMPs[[#This Row],[drainageArea_ac]]*UrbanBMPs[[#This Row],[impervFraction_percent]],NA())</f>
        <v>65.25</v>
      </c>
      <c r="O18" s="397" t="e">
        <f>IFERROR(UrbanBMPs[[#This Row],[impervArea_ac]]/UrbanBMPs[[#This Row],[Acres]],NA())</f>
        <v>#N/A</v>
      </c>
      <c r="P18" s="530">
        <f>IF(UrbanBMPs[[#This Row],[BMP_type]]="RR",NA(),IF(UrbanBMPs[[#This Row],[BMP_type]]="ST",NA(),
IF(ISNUMBER(UrbanBMPs[[#This Row],[LoadRatio1]]),NA(),
IFERROR(UrbanBMPs[[#This Row],[CubicFeet]]/(0.208*UrbanBMPs[[#This Row],[impervArea_ac]]*43560),NA()))))</f>
        <v>0.89648731237028001</v>
      </c>
      <c r="Q18" s="397">
        <f>IFERROR(MIN(UrbanBMPs[[#This Row],[treatmentDepth_in]]*UrbanBMPs[[#This Row],[drainageArea_ac]]/UrbanBMPs[[#This Row],[impervArea_ac]],2.5),NA())</f>
        <v>0</v>
      </c>
      <c r="R18" s="627"/>
      <c r="S18" s="397">
        <f>IF(UrbanBMPs[[#This Row],[treatmentDepthNormalizedManual_inPerImpervAc]]&gt;0,UrbanBMPs[[#This Row],[treatmentDepthNormalizedManual_inPerImpervAc]],IFERROR(UrbanBMPs[[#This Row],[treatmentDepthNormalized_inPerImpervAc]],NA()))</f>
        <v>0</v>
      </c>
      <c r="T18" s="260">
        <f>IF(UrbanBMPs[[#This Row],[BMP_type]]="Stream Restoration",NA(),IFERROR(INDEX(Impervious[#All],MATCH(UrbanBMPs[[#This Row],[drainageLandCoverClass]],Impervious[[#All],[Source]],0),4),NA()))</f>
        <v>0.87</v>
      </c>
      <c r="U18" s="261">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221512.00426790537</v>
      </c>
      <c r="V18" s="261">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64.5</v>
      </c>
      <c r="W18" s="261">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304.50000000000006</v>
      </c>
      <c r="X18" s="260">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0.6</v>
      </c>
      <c r="Y18" s="260">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0.2</v>
      </c>
      <c r="Z18" s="260">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0.2</v>
      </c>
      <c r="AA18" s="261">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132907.20256074323</v>
      </c>
      <c r="AB18" s="399">
        <f>IFERROR(UrbanBMPs[[#This Row],[TSS_Reduction_lbPerY]]/2000,NA())</f>
        <v>66.453601280371615</v>
      </c>
      <c r="AC18" s="261">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12.9</v>
      </c>
      <c r="AD18" s="261">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60.900000000000013</v>
      </c>
    </row>
    <row r="19" spans="1:30" x14ac:dyDescent="0.25">
      <c r="A19" s="605" t="s">
        <v>642</v>
      </c>
      <c r="B19" s="616" t="s">
        <v>631</v>
      </c>
      <c r="C19" s="608" t="s">
        <v>676</v>
      </c>
      <c r="D19" s="606" t="s">
        <v>600</v>
      </c>
      <c r="E19" s="610">
        <v>2022</v>
      </c>
      <c r="F19" s="611"/>
      <c r="G19" s="526">
        <f>UrbanBMPs[[#This Row],[SquareFeet]]/43560</f>
        <v>0</v>
      </c>
      <c r="H19" s="611"/>
      <c r="I19" s="621" t="s">
        <v>46</v>
      </c>
      <c r="J19" s="621"/>
      <c r="K19" s="622"/>
      <c r="L19" s="623"/>
      <c r="M19" s="623">
        <v>52000</v>
      </c>
      <c r="N19" s="259">
        <f>IFERROR(UrbanBMPs[[#This Row],[drainageArea_ac]]*UrbanBMPs[[#This Row],[impervFraction_percent]],NA())</f>
        <v>0</v>
      </c>
      <c r="O19" s="397" t="e">
        <f>IFERROR(UrbanBMPs[[#This Row],[impervArea_ac]]/UrbanBMPs[[#This Row],[Acres]],NA())</f>
        <v>#N/A</v>
      </c>
      <c r="P19" s="397" t="e">
        <f>IF(UrbanBMPs[[#This Row],[BMP_type]]="RR",NA(),IF(UrbanBMPs[[#This Row],[BMP_type]]="ST",NA(),
IF(ISNUMBER(UrbanBMPs[[#This Row],[LoadRatio1]]),NA(),
IFERROR(UrbanBMPs[[#This Row],[CubicFeet]]/(0.208*UrbanBMPs[[#This Row],[impervArea_ac]]*43560),NA()))))</f>
        <v>#N/A</v>
      </c>
      <c r="Q19" s="397" t="e">
        <f>IFERROR(MIN(UrbanBMPs[[#This Row],[treatmentDepth_in]]*UrbanBMPs[[#This Row],[drainageArea_ac]]/UrbanBMPs[[#This Row],[impervArea_ac]],2.5),NA())</f>
        <v>#N/A</v>
      </c>
      <c r="R19" s="627"/>
      <c r="S19" s="397" t="e">
        <f>IF(UrbanBMPs[[#This Row],[treatmentDepthNormalizedManual_inPerImpervAc]]&gt;0,UrbanBMPs[[#This Row],[treatmentDepthNormalizedManual_inPerImpervAc]],IFERROR(UrbanBMPs[[#This Row],[treatmentDepthNormalized_inPerImpervAc]],NA()))</f>
        <v>#N/A</v>
      </c>
      <c r="T19" s="260">
        <f>IF(UrbanBMPs[[#This Row],[BMP_type]]="Stream Restoration",NA(),IFERROR(INDEX(Impervious[#All],MATCH(UrbanBMPs[[#This Row],[drainageLandCoverClass]],Impervious[[#All],[Source]],0),4),NA()))</f>
        <v>0.52</v>
      </c>
      <c r="U19" s="261">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816.05498872787393</v>
      </c>
      <c r="V19" s="261">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1.7381083562901747</v>
      </c>
      <c r="W19" s="261">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16.512029384756659</v>
      </c>
      <c r="X19" s="260">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0.21</v>
      </c>
      <c r="Y19" s="260">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0.1</v>
      </c>
      <c r="Z19" s="260">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0.04</v>
      </c>
      <c r="AA19" s="261">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171.37154763285352</v>
      </c>
      <c r="AB19" s="399">
        <f>IFERROR(UrbanBMPs[[#This Row],[TSS_Reduction_lbPerY]]/2000,NA())</f>
        <v>8.5685773816426766E-2</v>
      </c>
      <c r="AC19" s="261">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0.17381083562901747</v>
      </c>
      <c r="AD19" s="261">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0.66048117539026641</v>
      </c>
    </row>
    <row r="20" spans="1:30" x14ac:dyDescent="0.25">
      <c r="A20" s="605" t="s">
        <v>646</v>
      </c>
      <c r="B20" s="616" t="s">
        <v>631</v>
      </c>
      <c r="C20" s="606" t="s">
        <v>644</v>
      </c>
      <c r="D20" s="606" t="s">
        <v>610</v>
      </c>
      <c r="E20" s="610">
        <v>2022</v>
      </c>
      <c r="F20" s="611">
        <v>12000</v>
      </c>
      <c r="G20" s="526">
        <f>UrbanBMPs[[#This Row],[SquareFeet]]/43560</f>
        <v>0.27548209366391185</v>
      </c>
      <c r="H20" s="611"/>
      <c r="I20" s="621" t="s">
        <v>46</v>
      </c>
      <c r="J20" s="621"/>
      <c r="K20" s="622"/>
      <c r="L20" s="623"/>
      <c r="M20" s="623"/>
      <c r="N20" s="259">
        <f>IFERROR(UrbanBMPs[[#This Row],[drainageArea_ac]]*UrbanBMPs[[#This Row],[impervFraction_percent]],NA())</f>
        <v>0</v>
      </c>
      <c r="O20" s="397">
        <f>IFERROR(UrbanBMPs[[#This Row],[impervArea_ac]]/UrbanBMPs[[#This Row],[Acres]],NA())</f>
        <v>0</v>
      </c>
      <c r="P20" s="397" t="e">
        <f>IF(UrbanBMPs[[#This Row],[BMP_type]]="RR",NA(),IF(UrbanBMPs[[#This Row],[BMP_type]]="ST",NA(),
IF(ISNUMBER(UrbanBMPs[[#This Row],[LoadRatio1]]),NA(),
IFERROR(UrbanBMPs[[#This Row],[CubicFeet]]/(0.208*UrbanBMPs[[#This Row],[impervArea_ac]]*43560),NA()))))</f>
        <v>#N/A</v>
      </c>
      <c r="Q20" s="397" t="e">
        <f>IFERROR(MIN(UrbanBMPs[[#This Row],[treatmentDepth_in]]*UrbanBMPs[[#This Row],[drainageArea_ac]]/UrbanBMPs[[#This Row],[impervArea_ac]],2.5),NA())</f>
        <v>#N/A</v>
      </c>
      <c r="R20" s="627"/>
      <c r="S20" s="397" t="e">
        <f>IF(UrbanBMPs[[#This Row],[treatmentDepthNormalizedManual_inPerImpervAc]]&gt;0,UrbanBMPs[[#This Row],[treatmentDepthNormalizedManual_inPerImpervAc]],IFERROR(UrbanBMPs[[#This Row],[treatmentDepthNormalized_inPerImpervAc]],NA()))</f>
        <v>#N/A</v>
      </c>
      <c r="T20" s="260">
        <f>IF(UrbanBMPs[[#This Row],[BMP_type]]="Stream Restoration",NA(),IFERROR(INDEX(Impervious[#All],MATCH(UrbanBMPs[[#This Row],[drainageLandCoverClass]],Impervious[[#All],[Source]],0),4),NA()))</f>
        <v>0.52</v>
      </c>
      <c r="U20" s="261">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36.215458079639376</v>
      </c>
      <c r="V20" s="261">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7.7134986225895333E-2</v>
      </c>
      <c r="W20" s="261">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1.4655647382920112</v>
      </c>
      <c r="X20" s="260">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0.5</v>
      </c>
      <c r="Y20" s="260">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0.5</v>
      </c>
      <c r="Z20" s="260">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0.25</v>
      </c>
      <c r="AA20" s="261">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18.107729039819688</v>
      </c>
      <c r="AB20" s="399">
        <f>IFERROR(UrbanBMPs[[#This Row],[TSS_Reduction_lbPerY]]/2000,NA())</f>
        <v>9.0538645199098444E-3</v>
      </c>
      <c r="AC20" s="261">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3.8567493112947666E-2</v>
      </c>
      <c r="AD20" s="261">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0.36639118457300279</v>
      </c>
    </row>
    <row r="21" spans="1:30" x14ac:dyDescent="0.25">
      <c r="A21" s="606"/>
      <c r="B21" s="617"/>
      <c r="C21" s="606"/>
      <c r="D21" s="606"/>
      <c r="E21" s="610"/>
      <c r="F21" s="611"/>
      <c r="G21" s="526">
        <f>UrbanBMPs[[#This Row],[SquareFeet]]/43560</f>
        <v>0</v>
      </c>
      <c r="H21" s="611"/>
      <c r="I21" s="621"/>
      <c r="J21" s="621"/>
      <c r="K21" s="622"/>
      <c r="L21" s="623"/>
      <c r="M21" s="623"/>
      <c r="N21" s="259" t="e">
        <f>IFERROR(UrbanBMPs[[#This Row],[drainageArea_ac]]*UrbanBMPs[[#This Row],[impervFraction_percent]],NA())</f>
        <v>#N/A</v>
      </c>
      <c r="O21" s="397" t="e">
        <f>IFERROR(UrbanBMPs[[#This Row],[impervArea_ac]]/UrbanBMPs[[#This Row],[Acres]],NA())</f>
        <v>#N/A</v>
      </c>
      <c r="P21" s="397" t="e">
        <f>IF(UrbanBMPs[[#This Row],[BMP_type]]="RR",NA(),IF(UrbanBMPs[[#This Row],[BMP_type]]="ST",NA(),
IF(ISNUMBER(UrbanBMPs[[#This Row],[LoadRatio1]]),NA(),
IFERROR(UrbanBMPs[[#This Row],[CubicFeet]]/(0.208*UrbanBMPs[[#This Row],[impervArea_ac]]*43560),NA()))))</f>
        <v>#N/A</v>
      </c>
      <c r="Q21" s="397" t="e">
        <f>IFERROR(MIN(UrbanBMPs[[#This Row],[treatmentDepth_in]]*UrbanBMPs[[#This Row],[drainageArea_ac]]/UrbanBMPs[[#This Row],[impervArea_ac]],2.5),NA())</f>
        <v>#N/A</v>
      </c>
      <c r="R21" s="627"/>
      <c r="S21" s="397" t="e">
        <f>IF(UrbanBMPs[[#This Row],[treatmentDepthNormalizedManual_inPerImpervAc]]&gt;0,UrbanBMPs[[#This Row],[treatmentDepthNormalizedManual_inPerImpervAc]],IFERROR(UrbanBMPs[[#This Row],[treatmentDepthNormalized_inPerImpervAc]],NA()))</f>
        <v>#N/A</v>
      </c>
      <c r="T21" s="260" t="e">
        <f>IF(UrbanBMPs[[#This Row],[BMP_type]]="Stream Restoration",NA(),IFERROR(INDEX(Impervious[#All],MATCH(UrbanBMPs[[#This Row],[drainageLandCoverClass]],Impervious[[#All],[Source]],0),4),NA()))</f>
        <v>#N/A</v>
      </c>
      <c r="U21" s="261"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21" s="261"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21" s="261"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21" s="260"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21" s="260"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21" s="260"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21" s="261"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21" s="399" t="e">
        <f>IFERROR(UrbanBMPs[[#This Row],[TSS_Reduction_lbPerY]]/2000,NA())</f>
        <v>#N/A</v>
      </c>
      <c r="AC21" s="261"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21" s="261"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22" spans="1:30" x14ac:dyDescent="0.25">
      <c r="A22" s="606"/>
      <c r="B22" s="617"/>
      <c r="C22" s="606"/>
      <c r="D22" s="606"/>
      <c r="E22" s="610"/>
      <c r="F22" s="611"/>
      <c r="G22" s="526">
        <f>UrbanBMPs[[#This Row],[SquareFeet]]/43560</f>
        <v>0</v>
      </c>
      <c r="H22" s="611"/>
      <c r="I22" s="621"/>
      <c r="J22" s="621"/>
      <c r="K22" s="622"/>
      <c r="L22" s="623"/>
      <c r="M22" s="623"/>
      <c r="N22" s="259" t="e">
        <f>IFERROR(UrbanBMPs[[#This Row],[drainageArea_ac]]*UrbanBMPs[[#This Row],[impervFraction_percent]],NA())</f>
        <v>#N/A</v>
      </c>
      <c r="O22" s="397" t="e">
        <f>IFERROR(UrbanBMPs[[#This Row],[impervArea_ac]]/UrbanBMPs[[#This Row],[Acres]],NA())</f>
        <v>#N/A</v>
      </c>
      <c r="P22" s="397" t="e">
        <f>IF(UrbanBMPs[[#This Row],[BMP_type]]="RR",NA(),IF(UrbanBMPs[[#This Row],[BMP_type]]="ST",NA(),
IF(ISNUMBER(UrbanBMPs[[#This Row],[LoadRatio1]]),NA(),
IFERROR(UrbanBMPs[[#This Row],[CubicFeet]]/(0.208*UrbanBMPs[[#This Row],[impervArea_ac]]*43560),NA()))))</f>
        <v>#N/A</v>
      </c>
      <c r="Q22" s="397" t="e">
        <f>IFERROR(MIN(UrbanBMPs[[#This Row],[treatmentDepth_in]]*UrbanBMPs[[#This Row],[drainageArea_ac]]/UrbanBMPs[[#This Row],[impervArea_ac]],2.5),NA())</f>
        <v>#N/A</v>
      </c>
      <c r="R22" s="627"/>
      <c r="S22" s="397" t="e">
        <f>IF(UrbanBMPs[[#This Row],[treatmentDepthNormalizedManual_inPerImpervAc]]&gt;0,UrbanBMPs[[#This Row],[treatmentDepthNormalizedManual_inPerImpervAc]],IFERROR(UrbanBMPs[[#This Row],[treatmentDepthNormalized_inPerImpervAc]],NA()))</f>
        <v>#N/A</v>
      </c>
      <c r="T22" s="260" t="e">
        <f>IF(UrbanBMPs[[#This Row],[BMP_type]]="Stream Restoration",NA(),IFERROR(INDEX(Impervious[#All],MATCH(UrbanBMPs[[#This Row],[drainageLandCoverClass]],Impervious[[#All],[Source]],0),4),NA()))</f>
        <v>#N/A</v>
      </c>
      <c r="U22" s="261"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22" s="261"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22" s="261"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22" s="260"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22" s="260"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22" s="260"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22" s="261"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22" s="399" t="e">
        <f>IFERROR(UrbanBMPs[[#This Row],[TSS_Reduction_lbPerY]]/2000,NA())</f>
        <v>#N/A</v>
      </c>
      <c r="AC22" s="261"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22" s="261"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23" spans="1:30" x14ac:dyDescent="0.25">
      <c r="A23" s="607"/>
      <c r="B23" s="618"/>
      <c r="C23" s="607"/>
      <c r="D23" s="607"/>
      <c r="E23" s="619"/>
      <c r="F23" s="620"/>
      <c r="G23" s="528">
        <f>UrbanBMPs[[#This Row],[SquareFeet]]/43560</f>
        <v>0</v>
      </c>
      <c r="H23" s="620"/>
      <c r="I23" s="624"/>
      <c r="J23" s="624"/>
      <c r="K23" s="625"/>
      <c r="L23" s="626"/>
      <c r="M23" s="626"/>
      <c r="N23" s="259" t="e">
        <f>IFERROR(UrbanBMPs[[#This Row],[drainageArea_ac]]*UrbanBMPs[[#This Row],[impervFraction_percent]],NA())</f>
        <v>#N/A</v>
      </c>
      <c r="O23" s="397" t="e">
        <f>IFERROR(UrbanBMPs[[#This Row],[impervArea_ac]]/UrbanBMPs[[#This Row],[Acres]],NA())</f>
        <v>#N/A</v>
      </c>
      <c r="P23" s="397" t="e">
        <f>IF(UrbanBMPs[[#This Row],[BMP_type]]="RR",NA(),IF(UrbanBMPs[[#This Row],[BMP_type]]="ST",NA(),
IF(ISNUMBER(UrbanBMPs[[#This Row],[LoadRatio1]]),NA(),
IFERROR(UrbanBMPs[[#This Row],[CubicFeet]]/(0.208*UrbanBMPs[[#This Row],[impervArea_ac]]*43560),NA()))))</f>
        <v>#N/A</v>
      </c>
      <c r="Q23" s="397" t="e">
        <f>IFERROR(MIN(UrbanBMPs[[#This Row],[treatmentDepth_in]]*UrbanBMPs[[#This Row],[drainageArea_ac]]/UrbanBMPs[[#This Row],[impervArea_ac]],2.5),NA())</f>
        <v>#N/A</v>
      </c>
      <c r="R23" s="627"/>
      <c r="S23" s="397" t="e">
        <f>IF(UrbanBMPs[[#This Row],[treatmentDepthNormalizedManual_inPerImpervAc]]&gt;0,UrbanBMPs[[#This Row],[treatmentDepthNormalizedManual_inPerImpervAc]],IFERROR(UrbanBMPs[[#This Row],[treatmentDepthNormalized_inPerImpervAc]],NA()))</f>
        <v>#N/A</v>
      </c>
      <c r="T23" s="260" t="e">
        <f>IF(UrbanBMPs[[#This Row],[BMP_type]]="Stream Restoration",NA(),IFERROR(INDEX(Impervious[#All],MATCH(UrbanBMPs[[#This Row],[drainageLandCoverClass]],Impervious[[#All],[Source]],0),4),NA()))</f>
        <v>#N/A</v>
      </c>
      <c r="U23" s="261" t="e">
        <f>IF(ISNUMBER(SEARCH("Street Sweeping",UrbanBMPs[[#This Row],[BMP_type]])),UrbanBMPs[[#This Row],[lengthTreatedRoad_ft2]]*Street_Sweeping[Road Width (ft)]/43560*INDEX(LoadRates[#All],MATCH(UrbanBMPs[[#This Row],[drainageLandCoverClass]],LoadRates[[#All],[Source]],0),(COLUMN(LoadRates[TSS_LoadRateLand_lbPerAcPerY])-1))*UrbanBMPs[[#This Row],[impervFraction_percent]],
IF(UrbanBMPs[[#This Row],[BMP_type]]="Stream Restoration",NA(),
IF(UrbanBMPs[[#This Row],[BMP_type]]="Forest Buffer",INDEX(LoadRates[#All], MATCH(UrbanBMPs[[#This Row],[drainageLandCoverClass]],LoadRates[[#All],[Source]],0),(COLUMN(LoadRates[TSS_LoadRateLand_lbPerAcPerY])-1))*(UrbanBMPs[[#This Row],[Acres]])*2,INDEX(LoadRates[#All],MATCH(UrbanBMPs[[#This Row],[drainageLandCoverClass]],LoadRates[[#All],[Source]],0), (COLUMN(LoadRates[TSS_LoadRate_lbPerAcPerY])-1))*
UrbanBMPs[[#This Row],[drainageArea_ac]])))</f>
        <v>#N/A</v>
      </c>
      <c r="V23" s="261" t="e">
        <f>IF(ISNUMBER(SEARCH("Street Sweeping",UrbanBMPs[[#This Row],[BMP_type]])),UrbanBMPs[[#This Row],[lengthTreatedRoad_ft2]]*Street_Sweeping[Road Width (ft)]/43560*INDEX(LoadRates[#All],MATCH(UrbanBMPs[[#This Row],[drainageLandCoverClass]],LoadRates[[#All],[Source]],0),(COLUMN(LoadRates[TP_LoadRateLand_lbPerAcPerY])-1))*UrbanBMPs[[#This Row],[impervFraction_percent]],
IF(UrbanBMPs[[#This Row],[BMP_type]]="Stream Restoration",NA(),
IF(UrbanBMPs[[#This Row],[BMP_type]]="Forest Buffer",INDEX(LoadRates[#All], MATCH(UrbanBMPs[[#This Row],[drainageLandCoverClass]],LoadRates[[#All],[Source]],0),(COLUMN(LoadRates[TP_LoadRateLand_lbPerAcPerY])-1))*(UrbanBMPs[[#This Row],[Acres]])*2,INDEX(LoadRates[#All],MATCH(UrbanBMPs[[#This Row],[drainageLandCoverClass]],LoadRates[[#All],[Source]],0), (COLUMN(LoadRates[TP_LoadRate_lbPerAcPerY])-1))*
UrbanBMPs[[#This Row],[drainageArea_ac]])))</f>
        <v>#N/A</v>
      </c>
      <c r="W23" s="261" t="e">
        <f>IF(ISNUMBER(SEARCH("Street Sweeping",UrbanBMPs[[#This Row],[BMP_type]])),UrbanBMPs[[#This Row],[lengthTreatedRoad_ft2]]*Street_Sweeping[Road Width (ft)]/43560*INDEX(LoadRates[#All],MATCH(UrbanBMPs[[#This Row],[drainageLandCoverClass]],LoadRates[[#All],[Source]],0),(COLUMN(LoadRates[TN_LoadRateLand_lbPerAcPerY])-1))*UrbanBMPs[[#This Row],[impervFraction_percent]],
IF(UrbanBMPs[[#This Row],[BMP_type]]="Stream Restoration",NA(),
IF(UrbanBMPs[[#This Row],[BMP_type]]="Forest Buffer",INDEX(LoadRates[#All], MATCH(UrbanBMPs[[#This Row],[drainageLandCoverClass]],LoadRates[[#All],[Source]],0),(COLUMN(LoadRates[TN_LoadRateLand_lbPerAcPerY])-1))*(UrbanBMPs[[#This Row],[Acres]])*4,INDEX(LoadRates[#All],MATCH(UrbanBMPs[[#This Row],[drainageLandCoverClass]],LoadRates[[#All],[Source]],0), (COLUMN(LoadRates[TN_LoadRate_lbPerAcPerY])-1))*
UrbanBMPs[[#This Row],[drainageArea_ac]])))</f>
        <v>#N/A</v>
      </c>
      <c r="X23" s="260" t="e">
        <f>_xlfn.IFNA(INDEX(UrbBMPCoeffs[#All], MATCH(UrbanBMPs[[#This Row],[BMP_type]],UrbBMPCoeffs[[#All],[Type]],0),3),
IF(UrbanBMPs[[#This Row],[BMP_type]]="RR",0.0326*UrbanBMPs[[#This Row],[treatmentDepthNormalizedEffective_inPerImpervAc]]^5-0.2806*UrbanBMPs[[#This Row],[treatmentDepthNormalizedEffective_inPerImpervAc]]^4+0.9816*UrbanBMPs[[#This Row],[treatmentDepthNormalizedEffective_inPerImpervAc]]^3-1.8039*UrbanBMPs[[#This Row],[treatmentDepthNormalizedEffective_inPerImpervAc]]^2+1.8292*UrbanBMPs[[#This Row],[treatmentDepthNormalizedEffective_inPerImpervAc]]-0.0098,
IF(UrbanBMPs[[#This Row],[BMP_type]]="ST",0.0304*UrbanBMPs[[#This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IF(OR(UrbanBMPs[[#This Row],[BMP_type]]="Other",UrbanBMPs[[#This Row],[BMP_type]]="Stream Restoration"),0,NA()))))</f>
        <v>#N/A</v>
      </c>
      <c r="Y23" s="260" t="e">
        <f>_xlfn.IFNA(INDEX(UrbBMPCoeffs[#All], MATCH(UrbanBMPs[[#This Row],[BMP_type]],UrbBMPCoeffs[[#All],[Type]],0),4),
IF(UrbanBMPs[[#This Row],[BMP_type]]="RR",0.0304*UrbanBMPs[[#This Row],[treatmentDepthNormalizedEffective_inPerImpervAc]]^5-0.2619*UrbanBMPs[[#This Row],[treatmentDepthNormalizedEffective_inPerImpervAc]]^4+0.9161*UrbanBMPs[[#This Row],[treatmentDepthNormalizedEffective_inPerImpervAc]]^3-1.6837*UrbanBMPs[[#This Row],[treatmentDepthNormalizedEffective_inPerImpervAc]]^2+1.7072*UrbanBMPs[[#This Row],[treatmentDepthNormalizedEffective_inPerImpervAc]]-0.0091,
IF(UrbanBMPs[[#This Row],[BMP_type]]="ST",0.0239*UrbanBMPs[[#This Row],[treatmentDepthNormalizedEffective_inPerImpervAc]]^5-0.2058*UrbanBMPs[[#This Row],[treatmentDepthNormalizedEffective_inPerImpervAc]]^4+0.7198*UrbanBMPs[[#This Row],[treatmentDepthNormalizedEffective_inPerImpervAc]]^3-1.3229*UrbanBMPs[[#This Row],[treatmentDepthNormalizedEffective_inPerImpervAc]]^2+1.3414*UrbanBMPs[[#This Row],[treatmentDepthNormalizedEffective_inPerImpervAc]]-0.0072,
IF(OR(UrbanBMPs[[#This Row],[BMP_type]]="Other",UrbanBMPs[[#This Row],[BMP_type]]="Stream Restoration"),0,NA()))))</f>
        <v>#N/A</v>
      </c>
      <c r="Z23" s="260" t="e">
        <f>_xlfn.IFNA(INDEX(UrbBMPCoeffs[#All], MATCH(UrbanBMPs[[#This Row],[BMP_type]],UrbBMPCoeffs[[#All],[Type]],0),5),
IF(UrbanBMPs[[#This Row],[BMP_type]]="RR",0.0308*UrbanBMPs[[#This Row],[treatmentDepthNormalizedEffective_inPerImpervAc]]^5-0.2562*UrbanBMPs[[#This Row],[treatmentDepthNormalizedEffective_inPerImpervAc]]^4+0.8634*UrbanBMPs[[#This Row],[treatmentDepthNormalizedEffective_inPerImpervAc]]^3-1.5285*UrbanBMPs[[#This Row],[treatmentDepthNormalizedEffective_inPerImpervAc]]^2+1.501*UrbanBMPs[[#This Row],[treatmentDepthNormalizedEffective_inPerImpervAc]]-0.013,IF(UrbanBMPs[[#This Row],[BMP_type]]="ST",0.0152*UrbanBMPs[[#This Row],[treatmentDepthNormalizedEffective_inPerImpervAc]]^5-0.131*UrbanBMPs[[#This Row],[treatmentDepthNormalizedEffective_inPerImpervAc]]^4+0.4581*UrbanBMPs[[#This Row],[treatmentDepthNormalizedEffective_inPerImpervAc]]^3-0.8418*UrbanBMPs[[#This Row],[treatmentDepthNormalizedEffective_inPerImpervAc]]^2+0.8536*UrbanBMPs[[#This Row],[treatmentDepthNormalizedEffective_inPerImpervAc]]-0.0046,
IF(OR(UrbanBMPs[[#This Row],[BMP_type]]="Other",UrbanBMPs[[#This Row],[BMP_type]]="Stream Restoration"),0,NA()))))</f>
        <v>#N/A</v>
      </c>
      <c r="AA23" s="261" t="e">
        <f>IF(UrbanBMPs[[#This Row],[TSS_ReductionEfficiency_percent]]&gt;0,UrbanBMPs[[#This Row],[TSS_Load_lbPerY]]*UrbanBMPs[[#This Row],[TSS_ReductionEfficiency_percent]],
IF(UrbanBMPs[[#This Row],[BMP_type]]="Stream Restoration",INDEX(Stream_Nutrients[#All], MATCH("Default",Stream_Nutrients[[#All],[Stream Restoration - Protocol 1]],0),(COLUMN(Stream_Nutrients[TSS (lbs/ft/yr)])-1))*UrbanBMPs[[#This Row],[lengthTreatedStream_ft]],NA()))</f>
        <v>#N/A</v>
      </c>
      <c r="AB23" s="399" t="e">
        <f>IFERROR(UrbanBMPs[[#This Row],[TSS_Reduction_lbPerY]]/2000,NA())</f>
        <v>#N/A</v>
      </c>
      <c r="AC23" s="261" t="e">
        <f>IF(UrbanBMPs[[#This Row],[TP_ReductionEfficiency_percent]]&gt;0,UrbanBMPs[[#This Row],[TP_Load_lbPerY]]*UrbanBMPs[[#This Row],[TP_ReductionEfficiency_percent]],
IF(UrbanBMPs[[#This Row],[BMP_type]]="Stream Restoration",INDEX(Stream_Nutrients[#All], MATCH("Default",Stream_Nutrients[[#All],[Stream Restoration - Protocol 1]],0),(COLUMN(Stream_Nutrients[TP (lbs/ft/yr)])-1))*UrbanBMPs[[#This Row],[lengthTreatedStream_ft]],NA()))</f>
        <v>#N/A</v>
      </c>
      <c r="AD23" s="261" t="e">
        <f>IF(UrbanBMPs[[#This Row],[TN_ReductionEfficiency_percent]]&gt;0,UrbanBMPs[[#This Row],[TN_Load_lbPerY]]*UrbanBMPs[[#This Row],[TN_ReductionEfficiency_percent]],
IF(UrbanBMPs[[#This Row],[BMP_type]]="Stream Restoration",INDEX(Stream_Nutrients[#All], MATCH("Default",Stream_Nutrients[[#All],[Stream Restoration - Protocol 1]],0),(COLUMN(Stream_Nutrients[TN (lbs/ft/yr)])-1))*UrbanBMPs[[#This Row],[lengthTreatedStream_ft]],NA()))</f>
        <v>#N/A</v>
      </c>
    </row>
    <row r="25" spans="1:30" ht="15.75" x14ac:dyDescent="0.25">
      <c r="A25" s="1" t="s">
        <v>373</v>
      </c>
      <c r="C25" s="329" t="s">
        <v>372</v>
      </c>
    </row>
    <row r="26" spans="1:30" ht="34.5" customHeight="1" x14ac:dyDescent="0.25">
      <c r="A26" s="1" t="s">
        <v>374</v>
      </c>
      <c r="N26" s="4" t="s">
        <v>718</v>
      </c>
      <c r="O26" s="4"/>
      <c r="P26" s="4"/>
      <c r="Z26" s="330" t="s">
        <v>351</v>
      </c>
      <c r="AA26" s="331">
        <f>SUMIF(AA$11:AA$23, "&lt;&gt;#N/A")</f>
        <v>972680.60582544247</v>
      </c>
      <c r="AB26" s="331">
        <f t="shared" ref="AB26:AD26" si="0">SUMIF(AB$11:AB$23, "&lt;&gt;#N/A")</f>
        <v>486.34030291272126</v>
      </c>
      <c r="AC26" s="331">
        <f t="shared" si="0"/>
        <v>426.7969593019024</v>
      </c>
      <c r="AD26" s="331">
        <f t="shared" si="0"/>
        <v>1018.8032200870692</v>
      </c>
    </row>
    <row r="28" spans="1:30" x14ac:dyDescent="0.25">
      <c r="N28" s="91" t="s">
        <v>90</v>
      </c>
      <c r="O28" s="471" t="s">
        <v>89</v>
      </c>
      <c r="Q28" s="1" t="s">
        <v>453</v>
      </c>
      <c r="R28" s="1" t="s">
        <v>455</v>
      </c>
      <c r="S28" s="1" t="s">
        <v>454</v>
      </c>
    </row>
    <row r="29" spans="1:30" x14ac:dyDescent="0.25">
      <c r="A29" s="400"/>
      <c r="B29" s="395" t="s">
        <v>435</v>
      </c>
      <c r="N29" s="91" t="s">
        <v>98</v>
      </c>
      <c r="O29" s="472">
        <f>+'MMW Output'!F85</f>
        <v>1150.6172839506173</v>
      </c>
      <c r="Q29" s="596" t="s">
        <v>456</v>
      </c>
      <c r="R29" s="596">
        <f>+'MMW Output'!N79</f>
        <v>21.6</v>
      </c>
      <c r="S29" s="647">
        <f>+'MMW Output'!O79</f>
        <v>70866.144000000015</v>
      </c>
      <c r="Z29" s="330" t="s">
        <v>375</v>
      </c>
      <c r="AA29" s="331">
        <f>SUMIFS(AA$11:AA$23, AA$11:AA$23, "&lt;&gt;#N/A", $D$11:$D$23, "Existing")</f>
        <v>49832.031834690009</v>
      </c>
      <c r="AB29" s="331">
        <f>SUMIFS(AB$11:AB$23, AB$11:AB$23, "&lt;&gt;#N/A", $D$11:$D$23, "Existing")</f>
        <v>24.916015917345007</v>
      </c>
      <c r="AC29" s="331">
        <f>SUMIFS(AC$11:AC$23, AC$11:AC$23, "&lt;&gt;#N/A", $D$11:$D$23, "Existing")</f>
        <v>13.635874933789502</v>
      </c>
      <c r="AD29" s="331">
        <f>SUMIFS(AD$11:AD$23, AD$11:AD$23, "&lt;&gt;#N/A", $D$11:$D$23, "Existing")</f>
        <v>55.014453902495838</v>
      </c>
    </row>
    <row r="30" spans="1:30" x14ac:dyDescent="0.25">
      <c r="A30" s="394"/>
      <c r="B30" s="646" t="s">
        <v>712</v>
      </c>
      <c r="N30" s="91" t="s">
        <v>35</v>
      </c>
      <c r="O30" s="472">
        <f>+'MMW Output'!F86</f>
        <v>296.2962962962963</v>
      </c>
      <c r="Q30" s="596" t="s">
        <v>457</v>
      </c>
      <c r="R30" s="596">
        <f>+'MMW Output'!N80</f>
        <v>4.2699999999999996</v>
      </c>
      <c r="S30" s="647">
        <f>+'MMW Output'!O80</f>
        <v>14009.186799999999</v>
      </c>
    </row>
    <row r="31" spans="1:30" x14ac:dyDescent="0.25">
      <c r="A31" s="396"/>
      <c r="B31" s="646" t="s">
        <v>713</v>
      </c>
      <c r="N31" s="91" t="s">
        <v>101</v>
      </c>
      <c r="O31" s="472">
        <f>+'MMW Output'!F80+'MMW Output'!F81+'MMW Output'!F82+'MMW Output'!F83</f>
        <v>560.49382716049377</v>
      </c>
      <c r="Q31" s="596" t="s">
        <v>458</v>
      </c>
      <c r="R31" s="596">
        <f>+'MMW Output'!N81</f>
        <v>17.329999999999998</v>
      </c>
      <c r="S31" s="647">
        <f>+'MMW Output'!O81</f>
        <v>56856.957199999997</v>
      </c>
      <c r="Z31" s="330" t="s">
        <v>376</v>
      </c>
      <c r="AA31" s="331">
        <f>SUMIFS(AA$11:AA$23, AA$11:AA$23, "&lt;&gt;#N/A", $D$11:$D$23, "Proposed")</f>
        <v>922848.57399075257</v>
      </c>
      <c r="AB31" s="331">
        <f>SUMIFS(AB$11:AB$23, AB$11:AB$23, "&lt;&gt;#N/A", $D$11:$D$23, "Proposed")</f>
        <v>461.42428699537629</v>
      </c>
      <c r="AC31" s="331">
        <f>SUMIFS(AC$11:AC$23, AC$11:AC$23, "&lt;&gt;#N/A", $D$11:$D$23, "Proposed")</f>
        <v>413.16108436811294</v>
      </c>
      <c r="AD31" s="331">
        <f>SUMIFS(AD$11:AD$23, AD$11:AD$23, "&lt;&gt;#N/A", $D$11:$D$23, "Proposed")</f>
        <v>963.78876618457332</v>
      </c>
    </row>
    <row r="32" spans="1:30" x14ac:dyDescent="0.25">
      <c r="A32" s="398"/>
      <c r="B32" s="395" t="s">
        <v>433</v>
      </c>
      <c r="N32" s="91" t="s">
        <v>103</v>
      </c>
      <c r="O32" s="472">
        <f>+'MMW Output'!F87+'MMW Output'!F88</f>
        <v>17.283950617283949</v>
      </c>
      <c r="Q32" s="596"/>
    </row>
    <row r="33" spans="1:30" x14ac:dyDescent="0.25">
      <c r="A33" s="401"/>
      <c r="B33" s="395" t="s">
        <v>434</v>
      </c>
      <c r="N33" s="91" t="s">
        <v>105</v>
      </c>
      <c r="O33" s="472">
        <f>+'MMW Output'!F84</f>
        <v>37.037037037037038</v>
      </c>
      <c r="Q33" s="596"/>
      <c r="Y33" s="445" t="s">
        <v>368</v>
      </c>
    </row>
    <row r="34" spans="1:30" x14ac:dyDescent="0.25">
      <c r="A34" s="444"/>
      <c r="B34" s="591" t="s">
        <v>699</v>
      </c>
      <c r="N34" s="91" t="s">
        <v>107</v>
      </c>
      <c r="O34" s="472">
        <f>+'MMW Output'!F79</f>
        <v>0</v>
      </c>
      <c r="Q34" s="596"/>
      <c r="Y34" s="446" t="s">
        <v>600</v>
      </c>
      <c r="Z34" s="330" t="s">
        <v>377</v>
      </c>
      <c r="AA34" s="331">
        <f t="shared" ref="AA34:AD41" si="1">SUMIFS(AA$11:AA$23, AA$11:AA$23, "&lt;&gt;#N/A", $A$11:$A$23, $Y34)</f>
        <v>49660.660287057159</v>
      </c>
      <c r="AB34" s="331">
        <f t="shared" si="1"/>
        <v>24.830330143528581</v>
      </c>
      <c r="AC34" s="331">
        <f t="shared" si="1"/>
        <v>13.462064098160484</v>
      </c>
      <c r="AD34" s="331">
        <f t="shared" si="1"/>
        <v>54.353972727105571</v>
      </c>
    </row>
    <row r="35" spans="1:30" x14ac:dyDescent="0.25">
      <c r="N35" s="91" t="s">
        <v>109</v>
      </c>
      <c r="O35" s="472">
        <f>+'MMW Output'!F75+'MMW Output'!F76</f>
        <v>1990.1234567901233</v>
      </c>
      <c r="Q35" s="596"/>
      <c r="Y35" s="1" t="s">
        <v>601</v>
      </c>
      <c r="Z35" s="330" t="s">
        <v>377</v>
      </c>
      <c r="AA35" s="331">
        <f t="shared" si="1"/>
        <v>204178.74950543771</v>
      </c>
      <c r="AB35" s="331">
        <f t="shared" si="1"/>
        <v>102.08937475271884</v>
      </c>
      <c r="AC35" s="331">
        <f t="shared" si="1"/>
        <v>46.378481249999986</v>
      </c>
      <c r="AD35" s="331">
        <f t="shared" si="1"/>
        <v>117.58167500000013</v>
      </c>
    </row>
    <row r="36" spans="1:30" s="4" customFormat="1" x14ac:dyDescent="0.25">
      <c r="A36" s="538" t="s">
        <v>640</v>
      </c>
      <c r="B36" s="538"/>
      <c r="C36" s="326"/>
      <c r="D36" s="326"/>
      <c r="E36" s="410" t="s">
        <v>671</v>
      </c>
      <c r="F36" s="565" t="s">
        <v>520</v>
      </c>
      <c r="G36" s="565" t="s">
        <v>394</v>
      </c>
      <c r="N36" s="91" t="s">
        <v>111</v>
      </c>
      <c r="O36" s="472">
        <f>+'MMW Output'!F77</f>
        <v>207.40740740740739</v>
      </c>
      <c r="Q36" s="596"/>
      <c r="Y36" s="442" t="s">
        <v>602</v>
      </c>
      <c r="Z36" s="330" t="s">
        <v>377</v>
      </c>
      <c r="AA36" s="331">
        <f t="shared" si="1"/>
        <v>307687.85689621337</v>
      </c>
      <c r="AB36" s="331">
        <f t="shared" si="1"/>
        <v>153.84392844810668</v>
      </c>
      <c r="AC36" s="331">
        <f t="shared" si="1"/>
        <v>161.04403562499999</v>
      </c>
      <c r="AD36" s="331">
        <f t="shared" si="1"/>
        <v>400.34070000000025</v>
      </c>
    </row>
    <row r="37" spans="1:30" ht="30" x14ac:dyDescent="0.25">
      <c r="A37" s="646" t="s">
        <v>715</v>
      </c>
      <c r="E37" s="574" t="s">
        <v>672</v>
      </c>
      <c r="F37" s="574">
        <f>+'MMW Output'!N18</f>
        <v>154.14681733346339</v>
      </c>
      <c r="G37" s="574">
        <f>+TechDocs!C34</f>
        <v>115</v>
      </c>
      <c r="N37" s="91" t="s">
        <v>113</v>
      </c>
      <c r="O37" s="472">
        <f>+'MMW Output'!F78</f>
        <v>49.382716049382715</v>
      </c>
      <c r="Q37" s="596"/>
      <c r="Y37" s="1" t="s">
        <v>603</v>
      </c>
      <c r="Z37" s="330" t="s">
        <v>377</v>
      </c>
      <c r="AA37" s="331">
        <f t="shared" si="1"/>
        <v>92000</v>
      </c>
      <c r="AB37" s="331">
        <f t="shared" si="1"/>
        <v>46</v>
      </c>
      <c r="AC37" s="331">
        <f t="shared" si="1"/>
        <v>139.19999999999999</v>
      </c>
      <c r="AD37" s="331">
        <f t="shared" si="1"/>
        <v>153.6</v>
      </c>
    </row>
    <row r="38" spans="1:30" ht="30" x14ac:dyDescent="0.25">
      <c r="A38" s="646" t="s">
        <v>714</v>
      </c>
      <c r="E38" s="574" t="s">
        <v>673</v>
      </c>
      <c r="F38" s="574">
        <f>+'MMW Output'!O18</f>
        <v>9.5971988140185302E-2</v>
      </c>
      <c r="G38" s="574">
        <f>+TechDocs!E34</f>
        <v>0.192</v>
      </c>
      <c r="Q38" s="596"/>
      <c r="Y38" s="1" t="s">
        <v>630</v>
      </c>
      <c r="Z38" s="330" t="s">
        <v>377</v>
      </c>
      <c r="AA38" s="331">
        <f t="shared" si="1"/>
        <v>186056.65729931841</v>
      </c>
      <c r="AB38" s="331">
        <f t="shared" si="1"/>
        <v>93.028328649659201</v>
      </c>
      <c r="AC38" s="331">
        <f t="shared" si="1"/>
        <v>53.6</v>
      </c>
      <c r="AD38" s="331">
        <f t="shared" si="1"/>
        <v>231</v>
      </c>
    </row>
    <row r="39" spans="1:30" ht="30" x14ac:dyDescent="0.25">
      <c r="A39" s="646" t="s">
        <v>716</v>
      </c>
      <c r="E39" s="574" t="s">
        <v>674</v>
      </c>
      <c r="F39" s="574">
        <f>+'MMW Output'!P18</f>
        <v>3.8368427146109371E-2</v>
      </c>
      <c r="G39" s="574">
        <f>+TechDocs!D34</f>
        <v>0.17399999999999999</v>
      </c>
      <c r="N39" s="471" t="s">
        <v>162</v>
      </c>
      <c r="O39" s="472">
        <f>SUM(O29:O37)</f>
        <v>4308.641975308642</v>
      </c>
      <c r="Y39" s="1" t="s">
        <v>634</v>
      </c>
      <c r="Z39" s="330" t="s">
        <v>377</v>
      </c>
      <c r="AA39" s="331">
        <f t="shared" si="1"/>
        <v>132907.20256074323</v>
      </c>
      <c r="AB39" s="331">
        <f t="shared" si="1"/>
        <v>66.453601280371615</v>
      </c>
      <c r="AC39" s="331">
        <f t="shared" si="1"/>
        <v>12.9</v>
      </c>
      <c r="AD39" s="331">
        <f t="shared" si="1"/>
        <v>60.900000000000013</v>
      </c>
    </row>
    <row r="40" spans="1:30" ht="26.25" customHeight="1" x14ac:dyDescent="0.25">
      <c r="A40" s="570" t="s">
        <v>690</v>
      </c>
      <c r="Y40" s="1" t="s">
        <v>642</v>
      </c>
      <c r="Z40" s="330" t="s">
        <v>377</v>
      </c>
      <c r="AA40" s="331">
        <f t="shared" si="1"/>
        <v>171.37154763285352</v>
      </c>
      <c r="AB40" s="331">
        <f t="shared" si="1"/>
        <v>8.5685773816426766E-2</v>
      </c>
      <c r="AC40" s="331">
        <f t="shared" si="1"/>
        <v>0.17381083562901747</v>
      </c>
      <c r="AD40" s="331">
        <f t="shared" si="1"/>
        <v>0.66048117539026641</v>
      </c>
    </row>
    <row r="41" spans="1:30" x14ac:dyDescent="0.25">
      <c r="Y41" s="1" t="s">
        <v>646</v>
      </c>
      <c r="Z41" s="330" t="s">
        <v>377</v>
      </c>
      <c r="AA41" s="331">
        <f t="shared" si="1"/>
        <v>18.107729039819688</v>
      </c>
      <c r="AB41" s="331">
        <f t="shared" si="1"/>
        <v>9.0538645199098444E-3</v>
      </c>
      <c r="AC41" s="331">
        <f t="shared" si="1"/>
        <v>3.8567493112947666E-2</v>
      </c>
      <c r="AD41" s="331">
        <f t="shared" si="1"/>
        <v>0.36639118457300279</v>
      </c>
    </row>
    <row r="44" spans="1:30" x14ac:dyDescent="0.25">
      <c r="A44" s="441">
        <f>+'MMW Output'!M20</f>
        <v>340912.08439999999</v>
      </c>
      <c r="B44" s="326" t="s">
        <v>460</v>
      </c>
    </row>
    <row r="45" spans="1:30" x14ac:dyDescent="0.25">
      <c r="A45" s="441">
        <f>+'MMW Output'!O81</f>
        <v>56856.957199999997</v>
      </c>
      <c r="B45" s="326" t="s">
        <v>461</v>
      </c>
    </row>
    <row r="47" spans="1:30" x14ac:dyDescent="0.25">
      <c r="B47" s="326" t="s">
        <v>474</v>
      </c>
    </row>
    <row r="48" spans="1:30" x14ac:dyDescent="0.25">
      <c r="B48" s="326" t="s">
        <v>475</v>
      </c>
    </row>
  </sheetData>
  <sheetProtection algorithmName="SHA-512" hashValue="UmTVXRQbAs7wUf0gAoKq1YzZgD/hpYnWk/ZWd+j54NVIZHSAJVj+wB3v3kM1creEiE8tty/KAZfogg0q4xXwpg==" saltValue="PYY1cYyl0AEzMgBKOZVrpA==" spinCount="100000" sheet="1" objects="1" scenarios="1"/>
  <conditionalFormatting sqref="I11:I17">
    <cfRule type="expression" dxfId="52" priority="21">
      <formula>OR($B11="Stream Restoration")</formula>
    </cfRule>
  </conditionalFormatting>
  <conditionalFormatting sqref="J11:K17 R11:R23">
    <cfRule type="expression" dxfId="51" priority="24">
      <formula>OR($B11="Stream Restoration",$B11="Street Sweeping")</formula>
    </cfRule>
  </conditionalFormatting>
  <conditionalFormatting sqref="L11:L17">
    <cfRule type="expression" dxfId="50" priority="23">
      <formula>OR($B11="RR",$B11="ST",$B11="Street Sweeping")</formula>
    </cfRule>
  </conditionalFormatting>
  <conditionalFormatting sqref="M11:M17">
    <cfRule type="expression" dxfId="49" priority="22">
      <formula>OR($B11="RR",$B11="ST",$B11="Stream Restoration")</formula>
    </cfRule>
  </conditionalFormatting>
  <conditionalFormatting sqref="J18:K18">
    <cfRule type="expression" dxfId="48" priority="20">
      <formula>OR($B18="Stream Restoration",$B18="Street Sweeping")</formula>
    </cfRule>
  </conditionalFormatting>
  <conditionalFormatting sqref="L18">
    <cfRule type="expression" dxfId="47" priority="19">
      <formula>OR($B18="RR",$B18="ST",$B18="Street Sweeping")</formula>
    </cfRule>
  </conditionalFormatting>
  <conditionalFormatting sqref="M18">
    <cfRule type="expression" dxfId="46" priority="18">
      <formula>OR($B18="RR",$B18="ST",$B18="Stream Restoration")</formula>
    </cfRule>
  </conditionalFormatting>
  <conditionalFormatting sqref="I19:I21 I23">
    <cfRule type="expression" dxfId="45" priority="13">
      <formula>OR($B19="Stream Restoration")</formula>
    </cfRule>
  </conditionalFormatting>
  <conditionalFormatting sqref="J19:K21 J23:K23">
    <cfRule type="expression" dxfId="44" priority="16">
      <formula>OR($B19="Stream Restoration",$B19="Street Sweeping")</formula>
    </cfRule>
  </conditionalFormatting>
  <conditionalFormatting sqref="L19:L23">
    <cfRule type="expression" dxfId="43" priority="15">
      <formula>OR($B19="RR",$B19="ST",$B19="Street Sweeping")</formula>
    </cfRule>
  </conditionalFormatting>
  <conditionalFormatting sqref="M19:M23">
    <cfRule type="expression" dxfId="42" priority="14">
      <formula>OR($B19="RR",$B19="ST",$B19="Stream Restoration")</formula>
    </cfRule>
  </conditionalFormatting>
  <conditionalFormatting sqref="I18">
    <cfRule type="expression" dxfId="41" priority="9">
      <formula>OR($B18="Stream Restoration")</formula>
    </cfRule>
  </conditionalFormatting>
  <conditionalFormatting sqref="I22">
    <cfRule type="expression" dxfId="40" priority="10">
      <formula>OR($B22="Stream Restoration")</formula>
    </cfRule>
  </conditionalFormatting>
  <conditionalFormatting sqref="J22:K22">
    <cfRule type="expression" dxfId="39" priority="11">
      <formula>OR($B22="Stream Restoration",$B22="Street Sweeping")</formula>
    </cfRule>
  </conditionalFormatting>
  <conditionalFormatting sqref="O11:O23">
    <cfRule type="cellIs" dxfId="38" priority="2" operator="greaterThan">
      <formula>5</formula>
    </cfRule>
    <cfRule type="cellIs" dxfId="37" priority="3" operator="greaterThan">
      <formula>6.24</formula>
    </cfRule>
    <cfRule type="cellIs" dxfId="36" priority="4" operator="greaterThan">
      <formula>5</formula>
    </cfRule>
  </conditionalFormatting>
  <conditionalFormatting sqref="P11:P23">
    <cfRule type="cellIs" dxfId="35" priority="1" operator="lessThan">
      <formula>1</formula>
    </cfRule>
  </conditionalFormatting>
  <dataValidations count="2">
    <dataValidation type="list" allowBlank="1" showInputMessage="1" showErrorMessage="1" sqref="D11:D23" xr:uid="{00000000-0002-0000-0600-000000000000}">
      <formula1>"Existing,Proposed"</formula1>
    </dataValidation>
    <dataValidation type="list" allowBlank="1" showInputMessage="1" showErrorMessage="1" sqref="Y34:Y42" xr:uid="{00000000-0002-0000-0600-000002000000}">
      <formula1>$A$11:$A$23</formula1>
    </dataValidation>
  </dataValidations>
  <hyperlinks>
    <hyperlink ref="C25" r:id="rId1" xr:uid="{00000000-0004-0000-0600-000000000000}"/>
  </hyperlinks>
  <pageMargins left="0.7" right="0.7" top="0.75" bottom="0.75" header="0.3" footer="0.3"/>
  <pageSetup orientation="portrait" r:id="rId2"/>
  <tableParts count="1">
    <tablePart r:id="rId3"/>
  </tablePart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3000000}">
          <x14:formula1>
            <xm:f>'Landcover Loading Rates'!$B$15:$B$30</xm:f>
          </x14:formula1>
          <xm:sqref>I11:I23</xm:sqref>
        </x14:dataValidation>
        <x14:dataValidation type="list" allowBlank="1" showInputMessage="1" showErrorMessage="1" xr:uid="{00000000-0002-0000-0600-000001000000}">
          <x14:formula1>
            <xm:f>TechDocs!$A$160:$A$192</xm:f>
          </x14:formula1>
          <xm:sqref>C11:C23</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W225"/>
  <sheetViews>
    <sheetView zoomScale="70" zoomScaleNormal="70" workbookViewId="0">
      <pane ySplit="1" topLeftCell="A2" activePane="bottomLeft" state="frozen"/>
      <selection pane="bottomLeft"/>
    </sheetView>
  </sheetViews>
  <sheetFormatPr defaultColWidth="9.125" defaultRowHeight="15" x14ac:dyDescent="0.25"/>
  <cols>
    <col min="1" max="1" width="21.375" style="265" customWidth="1"/>
    <col min="2" max="2" width="13" style="266" customWidth="1"/>
    <col min="3" max="3" width="16" style="266" customWidth="1"/>
    <col min="4" max="4" width="13.875" style="266" customWidth="1"/>
    <col min="5" max="5" width="14.875" style="266" customWidth="1"/>
    <col min="6" max="6" width="4.125" style="265" customWidth="1"/>
    <col min="7" max="7" width="18.5" style="266" customWidth="1"/>
    <col min="8" max="8" width="2.875" style="402" customWidth="1"/>
    <col min="9" max="9" width="43.5" style="265" customWidth="1"/>
    <col min="10" max="10" width="14.625" style="265" customWidth="1"/>
    <col min="11" max="11" width="14.125" style="265" customWidth="1"/>
    <col min="12" max="12" width="12.5" style="265" customWidth="1"/>
    <col min="13" max="13" width="5" style="402" customWidth="1"/>
    <col min="14" max="14" width="43.5" style="402" customWidth="1"/>
    <col min="15" max="15" width="13.875" style="402" customWidth="1"/>
    <col min="16" max="18" width="12.5" style="402" customWidth="1"/>
    <col min="19" max="19" width="51.25" style="265" customWidth="1"/>
    <col min="20" max="20" width="12.875" style="265" customWidth="1"/>
    <col min="21" max="16384" width="9.125" style="265"/>
  </cols>
  <sheetData>
    <row r="1" spans="1:19" s="402" customFormat="1" ht="39" customHeight="1" thickBot="1" x14ac:dyDescent="0.4">
      <c r="B1" s="266"/>
      <c r="C1" s="266"/>
      <c r="D1" s="266"/>
      <c r="E1" s="266"/>
      <c r="G1" s="266"/>
      <c r="I1" s="411" t="s">
        <v>441</v>
      </c>
      <c r="J1" s="412" t="s">
        <v>16</v>
      </c>
      <c r="K1" s="412" t="s">
        <v>316</v>
      </c>
      <c r="L1" s="412" t="s">
        <v>317</v>
      </c>
      <c r="N1" s="411" t="s">
        <v>442</v>
      </c>
      <c r="O1" s="412" t="s">
        <v>16</v>
      </c>
      <c r="P1" s="412" t="s">
        <v>316</v>
      </c>
      <c r="Q1" s="412" t="s">
        <v>317</v>
      </c>
      <c r="S1" s="414" t="s">
        <v>443</v>
      </c>
    </row>
    <row r="2" spans="1:19" ht="15.75" customHeight="1" thickBot="1" x14ac:dyDescent="0.3">
      <c r="A2" s="709" t="s">
        <v>314</v>
      </c>
      <c r="B2" s="710"/>
      <c r="C2" s="710"/>
      <c r="D2" s="710"/>
      <c r="E2" s="711"/>
      <c r="I2" s="267" t="s">
        <v>315</v>
      </c>
      <c r="J2" s="410"/>
      <c r="K2" s="410"/>
      <c r="L2" s="410"/>
      <c r="N2" s="267" t="s">
        <v>315</v>
      </c>
      <c r="O2" s="410"/>
      <c r="P2" s="410"/>
      <c r="Q2" s="410"/>
      <c r="S2" s="482" t="s">
        <v>568</v>
      </c>
    </row>
    <row r="3" spans="1:19" ht="34.5" customHeight="1" x14ac:dyDescent="0.25">
      <c r="A3" s="268" t="s">
        <v>12</v>
      </c>
      <c r="B3" s="269" t="s">
        <v>134</v>
      </c>
      <c r="C3" s="270" t="s">
        <v>318</v>
      </c>
      <c r="D3" s="269" t="s">
        <v>319</v>
      </c>
      <c r="E3" s="271" t="s">
        <v>320</v>
      </c>
      <c r="G3" s="272" t="s">
        <v>321</v>
      </c>
      <c r="I3" s="265" t="s">
        <v>322</v>
      </c>
      <c r="J3" s="280">
        <f>B5</f>
        <v>491.35802469135797</v>
      </c>
      <c r="K3" s="438"/>
      <c r="L3" s="438"/>
      <c r="M3" s="438"/>
      <c r="N3" s="438" t="s">
        <v>322</v>
      </c>
      <c r="O3" s="447">
        <f>B5-J4</f>
        <v>451.35802469135797</v>
      </c>
    </row>
    <row r="4" spans="1:19" ht="17.25" customHeight="1" x14ac:dyDescent="0.25">
      <c r="A4" s="274" t="s">
        <v>34</v>
      </c>
      <c r="B4" s="275">
        <f>+'MMW Output'!C20</f>
        <v>1666.6666666666665</v>
      </c>
      <c r="C4" s="275">
        <f>+'MMW Output'!D20</f>
        <v>136.61540549999998</v>
      </c>
      <c r="D4" s="275">
        <f>+'MMW Output'!E20</f>
        <v>1861.4610000000002</v>
      </c>
      <c r="E4" s="276">
        <f>+'MMW Output'!F20</f>
        <v>687.51900000000001</v>
      </c>
      <c r="F4" s="277"/>
      <c r="G4" s="278">
        <f t="shared" ref="G4:G19" si="0">C4*2000</f>
        <v>273230.81099999999</v>
      </c>
      <c r="I4" s="265" t="s">
        <v>323</v>
      </c>
      <c r="J4" s="628">
        <v>40</v>
      </c>
      <c r="K4" s="438"/>
      <c r="L4" s="438"/>
      <c r="M4" s="438"/>
      <c r="N4" s="438" t="s">
        <v>323</v>
      </c>
      <c r="O4" s="631">
        <v>150</v>
      </c>
    </row>
    <row r="5" spans="1:19" x14ac:dyDescent="0.25">
      <c r="A5" s="279" t="s">
        <v>35</v>
      </c>
      <c r="B5" s="280">
        <f>+'MMW Output'!C21</f>
        <v>491.35802469135797</v>
      </c>
      <c r="C5" s="280">
        <f>+'MMW Output'!D21</f>
        <v>316.40658524999998</v>
      </c>
      <c r="D5" s="280">
        <f>+'MMW Output'!E21</f>
        <v>3203.424</v>
      </c>
      <c r="E5" s="281">
        <f>+'MMW Output'!F21</f>
        <v>838.12050000000011</v>
      </c>
      <c r="G5" s="282">
        <f t="shared" si="0"/>
        <v>632813.17050000001</v>
      </c>
      <c r="I5" s="265" t="s">
        <v>324</v>
      </c>
      <c r="J5" s="508">
        <v>0.1</v>
      </c>
      <c r="K5" s="508">
        <v>0.22</v>
      </c>
      <c r="L5" s="508">
        <v>0.04</v>
      </c>
      <c r="N5" s="402" t="s">
        <v>324</v>
      </c>
      <c r="O5" s="402">
        <v>0.1</v>
      </c>
      <c r="P5" s="402">
        <v>0.22</v>
      </c>
      <c r="Q5" s="402">
        <v>0.04</v>
      </c>
    </row>
    <row r="6" spans="1:19" x14ac:dyDescent="0.25">
      <c r="A6" s="279" t="s">
        <v>36</v>
      </c>
      <c r="B6" s="280">
        <f>+'MMW Output'!C22</f>
        <v>9730.8641975308637</v>
      </c>
      <c r="C6" s="280">
        <f>+'MMW Output'!D22</f>
        <v>7.9434022500000001</v>
      </c>
      <c r="D6" s="280">
        <f>+'MMW Output'!E22</f>
        <v>1136.8980000000001</v>
      </c>
      <c r="E6" s="281">
        <f>+'MMW Output'!F22</f>
        <v>73.647000000000006</v>
      </c>
      <c r="G6" s="282">
        <f t="shared" si="0"/>
        <v>15886.8045</v>
      </c>
      <c r="I6" s="273" t="s">
        <v>325</v>
      </c>
      <c r="J6" s="413">
        <f>(J4/J3)*G5*J5</f>
        <v>5151.544403065328</v>
      </c>
      <c r="K6" s="413">
        <f>(J4/J3)*D5*K5</f>
        <v>57.371875055276391</v>
      </c>
      <c r="L6" s="413">
        <f>(J4/J3)*E5*L5</f>
        <v>2.7291562010050261</v>
      </c>
      <c r="M6" s="273"/>
      <c r="N6" s="273" t="s">
        <v>325</v>
      </c>
      <c r="O6" s="413">
        <f>(O4/B5)*G5*O5</f>
        <v>19318.291511494976</v>
      </c>
      <c r="P6" s="273">
        <f>(O4/B5)*D5*P5</f>
        <v>215.14453145728646</v>
      </c>
      <c r="Q6" s="413">
        <f>(O4/B5)*E5*Q5</f>
        <v>10.234335753768846</v>
      </c>
      <c r="R6" s="273"/>
    </row>
    <row r="7" spans="1:19" ht="18.75" customHeight="1" x14ac:dyDescent="0.25">
      <c r="A7" s="279" t="s">
        <v>38</v>
      </c>
      <c r="B7" s="280">
        <f>+'MMW Output'!C23</f>
        <v>656.79012345679007</v>
      </c>
      <c r="C7" s="280">
        <f>+'MMW Output'!D23</f>
        <v>0.72522449999999994</v>
      </c>
      <c r="D7" s="280">
        <f>+'MMW Output'!E23</f>
        <v>254.45700000000002</v>
      </c>
      <c r="E7" s="281">
        <f>+'MMW Output'!F23</f>
        <v>14.552999999999999</v>
      </c>
      <c r="G7" s="282">
        <f t="shared" si="0"/>
        <v>1450.4489999999998</v>
      </c>
    </row>
    <row r="8" spans="1:19" x14ac:dyDescent="0.25">
      <c r="A8" s="279" t="s">
        <v>39</v>
      </c>
      <c r="B8" s="280">
        <f>+'MMW Output'!C24</f>
        <v>0</v>
      </c>
      <c r="C8" s="280">
        <f>+'MMW Output'!D24</f>
        <v>0</v>
      </c>
      <c r="D8" s="280">
        <f>+'MMW Output'!E24</f>
        <v>0</v>
      </c>
      <c r="E8" s="281">
        <f>+'MMW Output'!F24</f>
        <v>0</v>
      </c>
      <c r="G8" s="282">
        <f t="shared" si="0"/>
        <v>0</v>
      </c>
      <c r="I8" s="267" t="s">
        <v>555</v>
      </c>
      <c r="N8" s="267" t="s">
        <v>555</v>
      </c>
      <c r="S8" s="482" t="s">
        <v>565</v>
      </c>
    </row>
    <row r="9" spans="1:19" x14ac:dyDescent="0.25">
      <c r="A9" s="279" t="s">
        <v>40</v>
      </c>
      <c r="B9" s="280">
        <f>+'MMW Output'!C25</f>
        <v>0</v>
      </c>
      <c r="C9" s="280">
        <f>+'MMW Output'!D25</f>
        <v>0</v>
      </c>
      <c r="D9" s="280">
        <f>+'MMW Output'!E25</f>
        <v>0</v>
      </c>
      <c r="E9" s="281">
        <f>+'MMW Output'!F25</f>
        <v>0</v>
      </c>
      <c r="G9" s="282">
        <f t="shared" si="0"/>
        <v>0</v>
      </c>
      <c r="I9" s="265" t="s">
        <v>322</v>
      </c>
      <c r="J9" s="280">
        <f>B5</f>
        <v>491.35802469135797</v>
      </c>
      <c r="K9" s="438"/>
      <c r="L9" s="438"/>
      <c r="M9" s="438"/>
      <c r="N9" s="438" t="s">
        <v>322</v>
      </c>
      <c r="O9" s="447">
        <f>B5-J10</f>
        <v>461.35802469135797</v>
      </c>
    </row>
    <row r="10" spans="1:19" x14ac:dyDescent="0.25">
      <c r="A10" s="279" t="s">
        <v>41</v>
      </c>
      <c r="B10" s="280">
        <f>+'MMW Output'!C26</f>
        <v>66.666666666666657</v>
      </c>
      <c r="C10" s="280">
        <f>+'MMW Output'!D26</f>
        <v>1.7845065</v>
      </c>
      <c r="D10" s="280">
        <f>+'MMW Output'!E26</f>
        <v>67.6935</v>
      </c>
      <c r="E10" s="281">
        <f>+'MMW Output'!F26</f>
        <v>4.6305000000000005</v>
      </c>
      <c r="G10" s="282">
        <f t="shared" si="0"/>
        <v>3569.0129999999999</v>
      </c>
      <c r="I10" s="265" t="s">
        <v>323</v>
      </c>
      <c r="J10" s="628">
        <v>30</v>
      </c>
      <c r="K10" s="438"/>
      <c r="L10" s="438"/>
      <c r="M10" s="438"/>
      <c r="N10" s="438" t="s">
        <v>323</v>
      </c>
      <c r="O10" s="631">
        <v>40</v>
      </c>
    </row>
    <row r="11" spans="1:19" ht="15.75" customHeight="1" x14ac:dyDescent="0.25">
      <c r="A11" s="279" t="s">
        <v>42</v>
      </c>
      <c r="B11" s="280">
        <f>+'MMW Output'!C27</f>
        <v>222.2222222222222</v>
      </c>
      <c r="C11" s="280">
        <f>+'MMW Output'!D27</f>
        <v>5.4794250000000003E-2</v>
      </c>
      <c r="D11" s="280">
        <f>+'MMW Output'!E27</f>
        <v>117.08550000000001</v>
      </c>
      <c r="E11" s="281">
        <f>+'MMW Output'!F27</f>
        <v>3.9690000000000003</v>
      </c>
      <c r="G11" s="282">
        <f t="shared" si="0"/>
        <v>109.58850000000001</v>
      </c>
      <c r="I11" s="265" t="s">
        <v>324</v>
      </c>
      <c r="J11" s="508">
        <v>0.18</v>
      </c>
      <c r="K11" s="508">
        <v>0.05</v>
      </c>
      <c r="L11" s="508">
        <v>0.08</v>
      </c>
      <c r="N11" s="402" t="s">
        <v>324</v>
      </c>
      <c r="O11" s="402">
        <v>0.18</v>
      </c>
      <c r="P11" s="402">
        <v>0.05</v>
      </c>
      <c r="Q11" s="402">
        <v>0.08</v>
      </c>
    </row>
    <row r="12" spans="1:19" x14ac:dyDescent="0.25">
      <c r="A12" s="279" t="s">
        <v>43</v>
      </c>
      <c r="B12" s="280">
        <f>+'MMW Output'!C28</f>
        <v>0</v>
      </c>
      <c r="C12" s="280">
        <f>+'MMW Output'!D28</f>
        <v>0</v>
      </c>
      <c r="D12" s="280">
        <f>+'MMW Output'!E28</f>
        <v>0</v>
      </c>
      <c r="E12" s="281">
        <f>+'MMW Output'!F28</f>
        <v>0</v>
      </c>
      <c r="G12" s="282">
        <f t="shared" si="0"/>
        <v>0</v>
      </c>
      <c r="I12" s="273" t="s">
        <v>325</v>
      </c>
      <c r="J12" s="413">
        <f>(J10/B5)*G5*J11</f>
        <v>6954.5849441381924</v>
      </c>
      <c r="K12" s="413">
        <f>(J10/B5)*D5*K11</f>
        <v>9.7792968844221129</v>
      </c>
      <c r="L12" s="413">
        <f>(J10/B5)*E5*L11</f>
        <v>4.0937343015075394</v>
      </c>
      <c r="M12" s="273"/>
      <c r="N12" s="273" t="s">
        <v>325</v>
      </c>
      <c r="O12" s="413">
        <f>(O10/B5)*G5*O11</f>
        <v>9272.7799255175905</v>
      </c>
      <c r="P12" s="413">
        <f>(O10/B5)*D5*P11</f>
        <v>13.039062512562817</v>
      </c>
      <c r="Q12" s="413">
        <f>(O10/B5)*E5*Q11</f>
        <v>5.4583124020100522</v>
      </c>
      <c r="R12" s="273"/>
    </row>
    <row r="13" spans="1:19" x14ac:dyDescent="0.25">
      <c r="A13" s="283" t="s">
        <v>44</v>
      </c>
      <c r="B13" s="280">
        <f>+'MMW Output'!C29</f>
        <v>0</v>
      </c>
      <c r="C13" s="280">
        <f>+'MMW Output'!D29</f>
        <v>0</v>
      </c>
      <c r="D13" s="280">
        <f>+'MMW Output'!E29</f>
        <v>0</v>
      </c>
      <c r="E13" s="284">
        <f>+'MMW Output'!F29</f>
        <v>0</v>
      </c>
      <c r="F13" s="285"/>
      <c r="G13" s="286">
        <f t="shared" si="0"/>
        <v>0</v>
      </c>
    </row>
    <row r="14" spans="1:19" ht="19.5" customHeight="1" x14ac:dyDescent="0.25">
      <c r="A14" s="274" t="s">
        <v>45</v>
      </c>
      <c r="B14" s="275">
        <f>+'MMW Output'!C30</f>
        <v>23372.839506172837</v>
      </c>
      <c r="C14" s="275">
        <f>+'MMW Output'!D30</f>
        <v>146.01917925000001</v>
      </c>
      <c r="D14" s="275">
        <f>+'MMW Output'!E30</f>
        <v>7171.9830000000002</v>
      </c>
      <c r="E14" s="281">
        <f>+'MMW Output'!F30</f>
        <v>771.75</v>
      </c>
      <c r="F14" s="277"/>
      <c r="G14" s="278">
        <f t="shared" si="0"/>
        <v>292038.35850000003</v>
      </c>
      <c r="I14" s="267" t="s">
        <v>556</v>
      </c>
      <c r="J14" s="508"/>
      <c r="K14" s="508"/>
      <c r="L14" s="508"/>
      <c r="M14" s="508"/>
      <c r="N14" s="267" t="s">
        <v>556</v>
      </c>
      <c r="O14" s="508"/>
      <c r="P14" s="508"/>
      <c r="Q14" s="508"/>
      <c r="S14" s="482" t="s">
        <v>566</v>
      </c>
    </row>
    <row r="15" spans="1:19" ht="22.5" customHeight="1" x14ac:dyDescent="0.25">
      <c r="A15" s="279" t="s">
        <v>46</v>
      </c>
      <c r="B15" s="280">
        <f>+'MMW Output'!C31</f>
        <v>3395.0617283950614</v>
      </c>
      <c r="C15" s="280">
        <f>+'MMW Output'!D31</f>
        <v>111.58049700000001</v>
      </c>
      <c r="D15" s="280">
        <f>+'MMW Output'!E31</f>
        <v>4522.6755000000003</v>
      </c>
      <c r="E15" s="281">
        <f>+'MMW Output'!F31</f>
        <v>462.82950000000005</v>
      </c>
      <c r="G15" s="282">
        <f t="shared" si="0"/>
        <v>223160.99400000001</v>
      </c>
      <c r="I15" s="508" t="s">
        <v>322</v>
      </c>
      <c r="J15" s="280">
        <f>B5</f>
        <v>491.35802469135797</v>
      </c>
      <c r="K15" s="508"/>
      <c r="L15" s="508"/>
      <c r="M15" s="508"/>
      <c r="N15" s="508" t="s">
        <v>322</v>
      </c>
      <c r="O15" s="447">
        <f>B5-J16</f>
        <v>441.35802469135797</v>
      </c>
      <c r="P15" s="508"/>
      <c r="Q15" s="508"/>
    </row>
    <row r="16" spans="1:19" ht="15.75" customHeight="1" x14ac:dyDescent="0.25">
      <c r="A16" s="279" t="s">
        <v>47</v>
      </c>
      <c r="B16" s="280">
        <f>+'MMW Output'!C32</f>
        <v>965.43209876543199</v>
      </c>
      <c r="C16" s="280">
        <f>+'MMW Output'!D32</f>
        <v>31.739211000000005</v>
      </c>
      <c r="D16" s="280">
        <f>+'MMW Output'!E32</f>
        <v>1286.3969999999999</v>
      </c>
      <c r="E16" s="281">
        <f>+'MMW Output'!F32</f>
        <v>131.63850000000002</v>
      </c>
      <c r="G16" s="282">
        <f t="shared" si="0"/>
        <v>63478.422000000006</v>
      </c>
      <c r="I16" s="508" t="s">
        <v>323</v>
      </c>
      <c r="J16" s="628">
        <v>50</v>
      </c>
      <c r="K16" s="508"/>
      <c r="L16" s="508"/>
      <c r="M16" s="508"/>
      <c r="N16" s="508" t="s">
        <v>323</v>
      </c>
      <c r="O16" s="631">
        <v>40</v>
      </c>
      <c r="P16" s="508"/>
      <c r="Q16" s="508"/>
    </row>
    <row r="17" spans="1:23" x14ac:dyDescent="0.25">
      <c r="A17" s="279" t="s">
        <v>48</v>
      </c>
      <c r="B17" s="280">
        <f>+'MMW Output'!C33</f>
        <v>0</v>
      </c>
      <c r="C17" s="280">
        <f>+'MMW Output'!D33</f>
        <v>0</v>
      </c>
      <c r="D17" s="280">
        <f>+'MMW Output'!E33</f>
        <v>0</v>
      </c>
      <c r="E17" s="281">
        <f>+'MMW Output'!F33</f>
        <v>0</v>
      </c>
      <c r="G17" s="282">
        <f t="shared" si="0"/>
        <v>0</v>
      </c>
      <c r="I17" s="508" t="s">
        <v>324</v>
      </c>
      <c r="J17" s="508">
        <v>0.41</v>
      </c>
      <c r="K17" s="508">
        <v>0.1</v>
      </c>
      <c r="L17" s="508">
        <v>0.36</v>
      </c>
      <c r="M17" s="508"/>
      <c r="N17" s="508" t="s">
        <v>324</v>
      </c>
      <c r="O17" s="508">
        <v>0.41</v>
      </c>
      <c r="P17" s="508">
        <v>0.1</v>
      </c>
      <c r="Q17" s="508">
        <v>0.36</v>
      </c>
    </row>
    <row r="18" spans="1:23" x14ac:dyDescent="0.25">
      <c r="A18" s="279" t="s">
        <v>49</v>
      </c>
      <c r="B18" s="280">
        <f>+'MMW Output'!C34</f>
        <v>0</v>
      </c>
      <c r="C18" s="280">
        <f>+'MMW Output'!D34</f>
        <v>0</v>
      </c>
      <c r="D18" s="280">
        <f>+'MMW Output'!E34</f>
        <v>0</v>
      </c>
      <c r="E18" s="281">
        <f>+'MMW Output'!F34</f>
        <v>0</v>
      </c>
      <c r="G18" s="282">
        <f t="shared" si="0"/>
        <v>0</v>
      </c>
      <c r="I18" s="273" t="s">
        <v>325</v>
      </c>
      <c r="J18" s="413">
        <f>(J16/B5)*G5*J17</f>
        <v>26401.6650657098</v>
      </c>
      <c r="K18" s="413">
        <f>(J16/B5)*D5*K17</f>
        <v>32.597656281407041</v>
      </c>
      <c r="L18" s="413">
        <f>(J16/B5)*E5*L17</f>
        <v>30.703007261306539</v>
      </c>
      <c r="M18" s="273"/>
      <c r="N18" s="273" t="s">
        <v>325</v>
      </c>
      <c r="O18" s="413">
        <f>(O16/B5)*G5*O17</f>
        <v>21121.332052567843</v>
      </c>
      <c r="P18" s="413">
        <f>(O16/B5)*D5*P17</f>
        <v>26.078125025125633</v>
      </c>
      <c r="Q18" s="413">
        <f>(O16/B5)*E5*Q17</f>
        <v>24.562405809045234</v>
      </c>
    </row>
    <row r="19" spans="1:23" x14ac:dyDescent="0.25">
      <c r="A19" s="283" t="s">
        <v>50</v>
      </c>
      <c r="B19" s="280">
        <f>+'MMW Output'!C35</f>
        <v>0</v>
      </c>
      <c r="C19" s="280">
        <f>+'MMW Output'!D35</f>
        <v>0</v>
      </c>
      <c r="D19" s="280">
        <f>+'MMW Output'!E35</f>
        <v>0</v>
      </c>
      <c r="E19" s="284">
        <f>+'MMW Output'!F35</f>
        <v>0</v>
      </c>
      <c r="F19" s="285"/>
      <c r="G19" s="286">
        <f t="shared" si="0"/>
        <v>0</v>
      </c>
    </row>
    <row r="20" spans="1:23" ht="15" customHeight="1" x14ac:dyDescent="0.25">
      <c r="A20" s="274" t="s">
        <v>52</v>
      </c>
      <c r="B20" s="287" t="s">
        <v>64</v>
      </c>
      <c r="C20" s="275">
        <f>+'MMW Output'!D36</f>
        <v>0</v>
      </c>
      <c r="D20" s="275">
        <f>+'MMW Output'!E36</f>
        <v>4895.7615000000005</v>
      </c>
      <c r="E20" s="281">
        <f>+'MMW Output'!F36</f>
        <v>1294.1144999999999</v>
      </c>
      <c r="F20" s="277"/>
      <c r="G20" s="278"/>
      <c r="I20" s="267" t="s">
        <v>557</v>
      </c>
      <c r="J20" s="508"/>
      <c r="K20" s="508"/>
      <c r="L20" s="508"/>
      <c r="M20" s="508"/>
      <c r="N20" s="267" t="s">
        <v>557</v>
      </c>
      <c r="O20" s="508"/>
      <c r="P20" s="508"/>
      <c r="Q20" s="508"/>
      <c r="R20" s="508"/>
      <c r="S20" s="482" t="s">
        <v>567</v>
      </c>
    </row>
    <row r="21" spans="1:23" ht="15" customHeight="1" x14ac:dyDescent="0.25">
      <c r="A21" s="279" t="s">
        <v>53</v>
      </c>
      <c r="B21" s="288" t="s">
        <v>64</v>
      </c>
      <c r="C21" s="280">
        <f>+'MMW Output'!D37</f>
        <v>0</v>
      </c>
      <c r="D21" s="280">
        <f>+'MMW Output'!E37</f>
        <v>0</v>
      </c>
      <c r="E21" s="281">
        <f>+'MMW Output'!F37</f>
        <v>0</v>
      </c>
      <c r="G21" s="282">
        <f>C21*2000</f>
        <v>0</v>
      </c>
      <c r="I21" s="508" t="s">
        <v>322</v>
      </c>
      <c r="J21" s="280">
        <f>B5</f>
        <v>491.35802469135797</v>
      </c>
      <c r="K21" s="508"/>
      <c r="L21" s="508"/>
      <c r="M21" s="508"/>
      <c r="N21" s="508" t="s">
        <v>322</v>
      </c>
      <c r="O21" s="447">
        <f>B5-J22</f>
        <v>471.35802469135797</v>
      </c>
      <c r="P21" s="508"/>
      <c r="Q21" s="508"/>
      <c r="R21" s="508"/>
    </row>
    <row r="22" spans="1:23" s="291" customFormat="1" ht="15" customHeight="1" x14ac:dyDescent="0.25">
      <c r="A22" s="289" t="s">
        <v>327</v>
      </c>
      <c r="B22" s="290" t="s">
        <v>64</v>
      </c>
      <c r="C22" s="280">
        <f>+'MMW Output'!D38</f>
        <v>26700.070477499998</v>
      </c>
      <c r="D22" s="280">
        <f>+'MMW Output'!E38</f>
        <v>33246.99</v>
      </c>
      <c r="E22" s="281">
        <f>+'MMW Output'!F38</f>
        <v>13291.74</v>
      </c>
      <c r="G22" s="292">
        <f>C22*2000</f>
        <v>53400140.954999998</v>
      </c>
      <c r="H22" s="403"/>
      <c r="I22" s="508" t="s">
        <v>323</v>
      </c>
      <c r="J22" s="628">
        <v>20</v>
      </c>
      <c r="K22" s="508"/>
      <c r="L22" s="508"/>
      <c r="M22" s="508"/>
      <c r="N22" s="508" t="s">
        <v>323</v>
      </c>
      <c r="O22" s="631">
        <v>20</v>
      </c>
      <c r="P22" s="508"/>
      <c r="Q22" s="508"/>
      <c r="R22" s="508"/>
      <c r="T22" s="265"/>
      <c r="U22" s="265"/>
      <c r="V22" s="265"/>
      <c r="W22" s="265"/>
    </row>
    <row r="23" spans="1:23" s="291" customFormat="1" ht="15" customHeight="1" x14ac:dyDescent="0.25">
      <c r="A23" s="289" t="s">
        <v>54</v>
      </c>
      <c r="B23" s="290"/>
      <c r="C23" s="280">
        <f>+'MMW Output'!D39</f>
        <v>0</v>
      </c>
      <c r="D23" s="280">
        <f>+'MMW Output'!E39</f>
        <v>132221.06099999999</v>
      </c>
      <c r="E23" s="281">
        <f>+'MMW Output'!F39</f>
        <v>2404.5525000000002</v>
      </c>
      <c r="G23" s="292"/>
      <c r="H23" s="403"/>
      <c r="I23" s="508" t="s">
        <v>324</v>
      </c>
      <c r="J23" s="508">
        <v>0.79</v>
      </c>
      <c r="K23" s="508">
        <v>0.14000000000000001</v>
      </c>
      <c r="L23" s="508">
        <v>0.55000000000000004</v>
      </c>
      <c r="M23" s="508"/>
      <c r="N23" s="508" t="s">
        <v>324</v>
      </c>
      <c r="O23" s="508">
        <v>0.79</v>
      </c>
      <c r="P23" s="508">
        <v>0.14000000000000001</v>
      </c>
      <c r="Q23" s="508">
        <v>0.55000000000000004</v>
      </c>
      <c r="R23" s="508"/>
      <c r="T23" s="265"/>
      <c r="U23" s="265"/>
      <c r="V23" s="265"/>
      <c r="W23" s="265"/>
    </row>
    <row r="24" spans="1:23" s="291" customFormat="1" ht="15" customHeight="1" x14ac:dyDescent="0.25">
      <c r="A24" s="289" t="s">
        <v>55</v>
      </c>
      <c r="B24" s="290"/>
      <c r="C24" s="280">
        <f>+'MMW Output'!D40</f>
        <v>0</v>
      </c>
      <c r="D24" s="280">
        <f>+'MMW Output'!E40</f>
        <v>121109.625</v>
      </c>
      <c r="E24" s="281">
        <f>+'MMW Output'!F40</f>
        <v>67820.949000000008</v>
      </c>
      <c r="G24" s="292"/>
      <c r="H24" s="403"/>
      <c r="I24" s="273" t="s">
        <v>325</v>
      </c>
      <c r="J24" s="413">
        <f>(J22/B5)*G5*J23</f>
        <v>20348.600392108045</v>
      </c>
      <c r="K24" s="413">
        <f>(J22/B5)*D5*K23</f>
        <v>18.254687517587943</v>
      </c>
      <c r="L24" s="413">
        <f>(J22/B5)*E5*L23</f>
        <v>18.762948881909558</v>
      </c>
      <c r="M24" s="273"/>
      <c r="N24" s="273" t="s">
        <v>325</v>
      </c>
      <c r="O24" s="413">
        <f>(O22/B5)*G17*O23</f>
        <v>0</v>
      </c>
      <c r="P24" s="413">
        <f>(O22/B5)*D17*P23</f>
        <v>0</v>
      </c>
      <c r="Q24" s="413">
        <f>(O22/B5)*E17*Q23</f>
        <v>0</v>
      </c>
      <c r="R24" s="508"/>
      <c r="U24" s="265"/>
      <c r="V24" s="265"/>
      <c r="W24" s="265"/>
    </row>
    <row r="25" spans="1:23" s="291" customFormat="1" ht="15" customHeight="1" thickBot="1" x14ac:dyDescent="0.3">
      <c r="A25" s="289" t="s">
        <v>56</v>
      </c>
      <c r="B25" s="290"/>
      <c r="C25" s="280">
        <f>+'MMW Output'!D41</f>
        <v>0</v>
      </c>
      <c r="D25" s="280">
        <f>+'MMW Output'!E41</f>
        <v>10658.308499999999</v>
      </c>
      <c r="E25" s="284">
        <f>+'MMW Output'!F41</f>
        <v>0</v>
      </c>
      <c r="G25" s="292"/>
      <c r="H25" s="403"/>
      <c r="U25" s="265"/>
      <c r="V25" s="265"/>
      <c r="W25" s="265"/>
    </row>
    <row r="26" spans="1:23" s="291" customFormat="1" ht="15" customHeight="1" thickBot="1" x14ac:dyDescent="0.3">
      <c r="A26" s="295" t="s">
        <v>329</v>
      </c>
      <c r="B26" s="296">
        <f>SUM(B4:B22)</f>
        <v>40567.9012345679</v>
      </c>
      <c r="C26" s="296">
        <f t="shared" ref="C26" si="1">SUM(C4:C22)</f>
        <v>27452.939282999996</v>
      </c>
      <c r="D26" s="296">
        <f>SUM(D4:D25)</f>
        <v>321753.82049999997</v>
      </c>
      <c r="E26" s="297">
        <f>SUM(E4:E25)</f>
        <v>87800.013000000006</v>
      </c>
      <c r="F26" s="298"/>
      <c r="G26" s="299">
        <f>SUM(G4:G22)</f>
        <v>54905878.566</v>
      </c>
      <c r="H26" s="403"/>
      <c r="I26" s="267" t="s">
        <v>504</v>
      </c>
      <c r="J26" s="265"/>
      <c r="K26" s="265"/>
      <c r="L26" s="265"/>
      <c r="M26" s="402"/>
      <c r="N26" s="267" t="s">
        <v>504</v>
      </c>
      <c r="O26" s="402"/>
      <c r="P26" s="402"/>
      <c r="Q26" s="402"/>
      <c r="R26" s="402"/>
      <c r="S26" s="482" t="s">
        <v>506</v>
      </c>
      <c r="T26" s="265"/>
      <c r="U26" s="265"/>
      <c r="V26" s="265"/>
      <c r="W26" s="265"/>
    </row>
    <row r="27" spans="1:23" ht="15" customHeight="1" x14ac:dyDescent="0.25">
      <c r="A27" s="712" t="s">
        <v>331</v>
      </c>
      <c r="B27" s="713"/>
      <c r="C27" s="713"/>
      <c r="I27" s="265" t="s">
        <v>322</v>
      </c>
      <c r="J27" s="443">
        <f>B5</f>
        <v>491.35802469135797</v>
      </c>
      <c r="K27" s="438"/>
      <c r="L27" s="438"/>
      <c r="M27" s="438"/>
      <c r="N27" s="438" t="s">
        <v>322</v>
      </c>
      <c r="O27" s="509">
        <f>B5-(J29+J30)</f>
        <v>476.35802469135797</v>
      </c>
      <c r="S27" s="273" t="s">
        <v>572</v>
      </c>
    </row>
    <row r="28" spans="1:23" s="291" customFormat="1" ht="15" customHeight="1" x14ac:dyDescent="0.25">
      <c r="A28" s="714" t="s">
        <v>332</v>
      </c>
      <c r="B28" s="715"/>
      <c r="C28" s="715"/>
      <c r="D28" s="301"/>
      <c r="E28" s="301"/>
      <c r="G28" s="301"/>
      <c r="H28" s="403"/>
      <c r="I28" s="265" t="s">
        <v>704</v>
      </c>
      <c r="J28" s="629">
        <v>2000</v>
      </c>
      <c r="K28" s="438"/>
      <c r="L28" s="438"/>
      <c r="M28" s="438"/>
      <c r="N28" s="438" t="s">
        <v>704</v>
      </c>
      <c r="O28" s="629">
        <v>1000</v>
      </c>
      <c r="P28" s="402"/>
      <c r="Q28" s="402"/>
      <c r="R28" s="402"/>
      <c r="S28" s="273"/>
      <c r="T28" s="265"/>
    </row>
    <row r="29" spans="1:23" s="291" customFormat="1" ht="15" customHeight="1" thickBot="1" x14ac:dyDescent="0.3">
      <c r="A29" s="302" t="s">
        <v>334</v>
      </c>
      <c r="B29" s="302" t="s">
        <v>335</v>
      </c>
      <c r="C29" s="301"/>
      <c r="D29" s="301"/>
      <c r="E29" s="301"/>
      <c r="G29" s="301"/>
      <c r="H29" s="403"/>
      <c r="I29" s="265" t="s">
        <v>326</v>
      </c>
      <c r="J29" s="485">
        <v>5</v>
      </c>
      <c r="K29" s="265"/>
      <c r="L29" s="265"/>
      <c r="M29" s="402"/>
      <c r="N29" s="402" t="s">
        <v>326</v>
      </c>
      <c r="O29" s="485">
        <v>2.2999999999999998</v>
      </c>
      <c r="P29" s="402"/>
      <c r="Q29" s="402"/>
      <c r="R29" s="402"/>
      <c r="S29" s="265"/>
      <c r="T29" s="265"/>
    </row>
    <row r="30" spans="1:23" s="291" customFormat="1" ht="29.25" customHeight="1" thickBot="1" x14ac:dyDescent="0.3">
      <c r="A30" s="303" t="s">
        <v>336</v>
      </c>
      <c r="B30" s="304">
        <f>SUM(B31:B40)</f>
        <v>12834.567901234568</v>
      </c>
      <c r="C30" s="305" t="s">
        <v>337</v>
      </c>
      <c r="D30" s="305" t="s">
        <v>338</v>
      </c>
      <c r="E30" s="305" t="s">
        <v>339</v>
      </c>
      <c r="F30" s="306"/>
      <c r="G30" s="485" t="s">
        <v>512</v>
      </c>
      <c r="H30" s="403"/>
      <c r="I30" s="265" t="s">
        <v>323</v>
      </c>
      <c r="J30" s="265">
        <f>J29*2</f>
        <v>10</v>
      </c>
      <c r="K30" s="265">
        <f>J29*4</f>
        <v>20</v>
      </c>
      <c r="L30" s="265">
        <f>J29*2</f>
        <v>10</v>
      </c>
      <c r="M30" s="402"/>
      <c r="N30" s="402" t="s">
        <v>323</v>
      </c>
      <c r="O30" s="402">
        <f>O29*2</f>
        <v>4.5999999999999996</v>
      </c>
      <c r="P30" s="402">
        <f>O29*4</f>
        <v>9.1999999999999993</v>
      </c>
      <c r="Q30" s="402">
        <f>O29*2</f>
        <v>4.5999999999999996</v>
      </c>
      <c r="R30" s="402"/>
      <c r="S30" s="265"/>
    </row>
    <row r="31" spans="1:23" s="291" customFormat="1" ht="15" customHeight="1" x14ac:dyDescent="0.25">
      <c r="A31" s="307" t="s">
        <v>34</v>
      </c>
      <c r="B31" s="308">
        <f t="shared" ref="B31:B40" si="2">B4</f>
        <v>1666.6666666666665</v>
      </c>
      <c r="C31" s="291">
        <f t="shared" ref="C31:C40" si="3">IFERROR(G4/B31,NA())</f>
        <v>163.9384866</v>
      </c>
      <c r="D31" s="291">
        <f t="shared" ref="D31:D40" si="4">IFERROR(D4/B31,NA())</f>
        <v>1.1168766000000003</v>
      </c>
      <c r="E31" s="291">
        <f t="shared" ref="E31:E40" si="5">IFERROR(E4/B31,NA())</f>
        <v>0.41251140000000003</v>
      </c>
      <c r="G31" s="301"/>
      <c r="H31" s="403"/>
      <c r="I31" s="508" t="s">
        <v>324</v>
      </c>
      <c r="J31" s="509">
        <v>0.49</v>
      </c>
      <c r="K31" s="509">
        <v>0.45</v>
      </c>
      <c r="L31" s="509">
        <v>0.36</v>
      </c>
      <c r="M31" s="402"/>
      <c r="N31" s="402" t="s">
        <v>324</v>
      </c>
      <c r="O31" s="402">
        <v>0.49</v>
      </c>
      <c r="P31" s="402">
        <v>0.45</v>
      </c>
      <c r="Q31" s="402">
        <v>0.36</v>
      </c>
      <c r="R31" s="402"/>
      <c r="S31" s="265"/>
    </row>
    <row r="32" spans="1:23" s="291" customFormat="1" x14ac:dyDescent="0.25">
      <c r="A32" s="307" t="s">
        <v>35</v>
      </c>
      <c r="B32" s="308">
        <f t="shared" si="2"/>
        <v>491.35802469135797</v>
      </c>
      <c r="C32" s="291">
        <f t="shared" si="3"/>
        <v>1287.8861007663318</v>
      </c>
      <c r="D32" s="291">
        <f t="shared" si="4"/>
        <v>6.5195312562814074</v>
      </c>
      <c r="E32" s="291">
        <f t="shared" si="5"/>
        <v>1.705722625628141</v>
      </c>
      <c r="G32" s="301"/>
      <c r="H32" s="403"/>
      <c r="I32" s="273" t="s">
        <v>325</v>
      </c>
      <c r="J32" s="413">
        <f>(J30*J31*C32)</f>
        <v>6310.6418937550261</v>
      </c>
      <c r="K32" s="273">
        <f>(K30*K31*D32)</f>
        <v>58.67578130653267</v>
      </c>
      <c r="L32" s="273">
        <f>(L30*L31*E32)</f>
        <v>6.1406014522613068</v>
      </c>
      <c r="M32" s="273"/>
      <c r="N32" s="273" t="s">
        <v>325</v>
      </c>
      <c r="O32" s="413">
        <f>(O30*O31*C32)+(O29*(C32-C33))</f>
        <v>5861.2782766549726</v>
      </c>
      <c r="P32" s="273">
        <f>(P30*P31*D32)+(O29*(D32-D33))</f>
        <v>41.717062567539294</v>
      </c>
      <c r="Q32" s="273">
        <f>(Q30*Q31*E32)+(O29*(E32-E33))</f>
        <v>6.7304314041430073</v>
      </c>
      <c r="R32" s="273"/>
      <c r="S32" s="265"/>
    </row>
    <row r="33" spans="1:23" s="291" customFormat="1" ht="15" customHeight="1" x14ac:dyDescent="0.25">
      <c r="A33" s="307" t="s">
        <v>36</v>
      </c>
      <c r="B33" s="308">
        <f t="shared" si="2"/>
        <v>9730.8641975308637</v>
      </c>
      <c r="C33" s="291">
        <f t="shared" si="3"/>
        <v>1.6326201021314388</v>
      </c>
      <c r="D33" s="291">
        <f t="shared" si="4"/>
        <v>0.1168342273534636</v>
      </c>
      <c r="E33" s="291">
        <f t="shared" si="5"/>
        <v>7.568392539964477E-3</v>
      </c>
      <c r="G33" s="301"/>
      <c r="H33" s="403"/>
      <c r="M33" s="403"/>
      <c r="N33" s="403"/>
      <c r="O33" s="403"/>
      <c r="P33" s="403"/>
      <c r="Q33" s="403"/>
      <c r="R33" s="403"/>
      <c r="U33" s="265"/>
      <c r="V33" s="265"/>
      <c r="W33" s="265"/>
    </row>
    <row r="34" spans="1:23" s="291" customFormat="1" ht="15" customHeight="1" x14ac:dyDescent="0.25">
      <c r="A34" s="307" t="s">
        <v>38</v>
      </c>
      <c r="B34" s="308">
        <f t="shared" si="2"/>
        <v>656.79012345679007</v>
      </c>
      <c r="C34" s="291">
        <f t="shared" si="3"/>
        <v>2.208390394736842</v>
      </c>
      <c r="D34" s="291">
        <f t="shared" si="4"/>
        <v>0.38742513157894742</v>
      </c>
      <c r="E34" s="291">
        <f t="shared" si="5"/>
        <v>2.2157763157894736E-2</v>
      </c>
      <c r="G34" s="301"/>
      <c r="H34" s="403"/>
      <c r="I34" s="267" t="s">
        <v>558</v>
      </c>
      <c r="J34" s="508"/>
      <c r="K34" s="508"/>
      <c r="L34" s="508"/>
      <c r="M34" s="508"/>
      <c r="N34" s="267" t="s">
        <v>558</v>
      </c>
      <c r="O34" s="508"/>
      <c r="P34" s="508"/>
      <c r="Q34" s="508"/>
      <c r="R34" s="508"/>
      <c r="S34" s="482" t="s">
        <v>506</v>
      </c>
    </row>
    <row r="35" spans="1:23" s="291" customFormat="1" ht="15" customHeight="1" x14ac:dyDescent="0.25">
      <c r="A35" s="307" t="s">
        <v>39</v>
      </c>
      <c r="B35" s="308">
        <f t="shared" si="2"/>
        <v>0</v>
      </c>
      <c r="C35" s="291" t="e">
        <f t="shared" si="3"/>
        <v>#N/A</v>
      </c>
      <c r="D35" s="291" t="e">
        <f t="shared" si="4"/>
        <v>#N/A</v>
      </c>
      <c r="E35" s="291" t="e">
        <f t="shared" si="5"/>
        <v>#N/A</v>
      </c>
      <c r="G35" s="301"/>
      <c r="H35" s="403"/>
      <c r="I35" s="508" t="s">
        <v>322</v>
      </c>
      <c r="J35" s="508">
        <f>B5</f>
        <v>491.35802469135797</v>
      </c>
      <c r="K35" s="508"/>
      <c r="L35" s="508"/>
      <c r="M35" s="508"/>
      <c r="N35" s="508" t="s">
        <v>322</v>
      </c>
      <c r="O35" s="514">
        <f>B5-(J37+J38)</f>
        <v>473.35802469135797</v>
      </c>
      <c r="P35" s="508"/>
      <c r="Q35" s="508"/>
      <c r="R35" s="508"/>
      <c r="S35" s="273" t="s">
        <v>571</v>
      </c>
    </row>
    <row r="36" spans="1:23" s="291" customFormat="1" ht="15" customHeight="1" x14ac:dyDescent="0.25">
      <c r="A36" s="307" t="s">
        <v>40</v>
      </c>
      <c r="B36" s="308">
        <f t="shared" si="2"/>
        <v>0</v>
      </c>
      <c r="C36" s="291" t="e">
        <f t="shared" si="3"/>
        <v>#N/A</v>
      </c>
      <c r="D36" s="291" t="e">
        <f t="shared" si="4"/>
        <v>#N/A</v>
      </c>
      <c r="E36" s="291" t="e">
        <f t="shared" si="5"/>
        <v>#N/A</v>
      </c>
      <c r="G36" s="301"/>
      <c r="H36" s="403"/>
      <c r="I36" s="508" t="s">
        <v>704</v>
      </c>
      <c r="J36" s="629">
        <v>2000</v>
      </c>
      <c r="K36" s="508"/>
      <c r="L36" s="508"/>
      <c r="M36" s="508"/>
      <c r="N36" s="508" t="s">
        <v>704</v>
      </c>
      <c r="O36" s="629">
        <v>1000</v>
      </c>
      <c r="P36" s="508"/>
      <c r="Q36" s="508"/>
      <c r="R36" s="508"/>
      <c r="S36" s="273"/>
    </row>
    <row r="37" spans="1:23" s="291" customFormat="1" ht="15" customHeight="1" x14ac:dyDescent="0.25">
      <c r="A37" s="307" t="s">
        <v>41</v>
      </c>
      <c r="B37" s="308">
        <f t="shared" si="2"/>
        <v>66.666666666666657</v>
      </c>
      <c r="C37" s="291">
        <f t="shared" si="3"/>
        <v>53.535195000000009</v>
      </c>
      <c r="D37" s="291">
        <f t="shared" si="4"/>
        <v>1.0154025000000002</v>
      </c>
      <c r="E37" s="291">
        <f t="shared" si="5"/>
        <v>6.9457500000000019E-2</v>
      </c>
      <c r="G37" s="301"/>
      <c r="H37" s="403"/>
      <c r="I37" s="508" t="s">
        <v>326</v>
      </c>
      <c r="J37" s="485">
        <v>6</v>
      </c>
      <c r="K37" s="508"/>
      <c r="L37" s="508"/>
      <c r="M37" s="508"/>
      <c r="N37" s="508" t="s">
        <v>326</v>
      </c>
      <c r="O37" s="485">
        <v>2.2999999999999998</v>
      </c>
      <c r="P37" s="508"/>
      <c r="Q37" s="508"/>
      <c r="R37" s="508"/>
      <c r="S37" s="508"/>
    </row>
    <row r="38" spans="1:23" s="291" customFormat="1" ht="15" customHeight="1" x14ac:dyDescent="0.25">
      <c r="A38" s="307" t="s">
        <v>42</v>
      </c>
      <c r="B38" s="308">
        <f t="shared" si="2"/>
        <v>222.2222222222222</v>
      </c>
      <c r="C38" s="291">
        <f t="shared" si="3"/>
        <v>0.49314825000000012</v>
      </c>
      <c r="D38" s="291">
        <f t="shared" si="4"/>
        <v>0.52688475000000012</v>
      </c>
      <c r="E38" s="291">
        <f t="shared" si="5"/>
        <v>1.7860500000000005E-2</v>
      </c>
      <c r="G38" s="301"/>
      <c r="H38" s="403"/>
      <c r="I38" s="508" t="s">
        <v>323</v>
      </c>
      <c r="J38" s="508">
        <f>J37*2</f>
        <v>12</v>
      </c>
      <c r="K38" s="508">
        <f>J37*4</f>
        <v>24</v>
      </c>
      <c r="L38" s="508">
        <f>J37*2</f>
        <v>12</v>
      </c>
      <c r="M38" s="508"/>
      <c r="N38" s="508" t="s">
        <v>323</v>
      </c>
      <c r="O38" s="508">
        <f>O37*2</f>
        <v>4.5999999999999996</v>
      </c>
      <c r="P38" s="508">
        <f>O37*4</f>
        <v>9.1999999999999993</v>
      </c>
      <c r="Q38" s="508">
        <f>O37*2</f>
        <v>4.5999999999999996</v>
      </c>
      <c r="R38" s="508"/>
      <c r="S38" s="508"/>
    </row>
    <row r="39" spans="1:23" s="291" customFormat="1" ht="15" customHeight="1" x14ac:dyDescent="0.25">
      <c r="A39" s="307" t="s">
        <v>43</v>
      </c>
      <c r="B39" s="308">
        <f t="shared" si="2"/>
        <v>0</v>
      </c>
      <c r="C39" s="291" t="e">
        <f t="shared" si="3"/>
        <v>#N/A</v>
      </c>
      <c r="D39" s="291" t="e">
        <f t="shared" si="4"/>
        <v>#N/A</v>
      </c>
      <c r="E39" s="291" t="e">
        <f t="shared" si="5"/>
        <v>#N/A</v>
      </c>
      <c r="G39" s="301"/>
      <c r="H39" s="403"/>
      <c r="I39" s="508" t="s">
        <v>324</v>
      </c>
      <c r="J39" s="509">
        <v>0.49</v>
      </c>
      <c r="K39" s="509">
        <v>0.31</v>
      </c>
      <c r="L39" s="509">
        <v>0.36</v>
      </c>
      <c r="M39" s="508"/>
      <c r="N39" s="508" t="s">
        <v>324</v>
      </c>
      <c r="O39" s="508">
        <v>0.49</v>
      </c>
      <c r="P39" s="508">
        <v>0.31</v>
      </c>
      <c r="Q39" s="508">
        <v>0.36</v>
      </c>
      <c r="R39" s="508"/>
      <c r="S39" s="508"/>
    </row>
    <row r="40" spans="1:23" ht="15.75" thickBot="1" x14ac:dyDescent="0.3">
      <c r="A40" s="307" t="s">
        <v>44</v>
      </c>
      <c r="B40" s="310">
        <f t="shared" si="2"/>
        <v>0</v>
      </c>
      <c r="C40" s="291" t="e">
        <f t="shared" si="3"/>
        <v>#N/A</v>
      </c>
      <c r="D40" s="291" t="e">
        <f t="shared" si="4"/>
        <v>#N/A</v>
      </c>
      <c r="E40" s="291" t="e">
        <f t="shared" si="5"/>
        <v>#N/A</v>
      </c>
      <c r="I40" s="273" t="s">
        <v>325</v>
      </c>
      <c r="J40" s="413">
        <f>(J38*J39*C32)</f>
        <v>7572.7702725060308</v>
      </c>
      <c r="K40" s="273">
        <f>(K38*K39*D32)</f>
        <v>48.50531254673367</v>
      </c>
      <c r="L40" s="273">
        <f>(L38*L39*E32)</f>
        <v>7.3687217427135696</v>
      </c>
      <c r="M40" s="273"/>
      <c r="N40" s="273" t="s">
        <v>325</v>
      </c>
      <c r="O40" s="413">
        <f>(O38*O39*C32)+(O37*(C32-C37))</f>
        <v>5741.9023543898747</v>
      </c>
      <c r="P40" s="273">
        <f>(P38*P39*D32)+(O37*(D32-D37))</f>
        <v>31.253199282361809</v>
      </c>
      <c r="Q40" s="273">
        <f>(Q38*Q39*E32)+(O37*(E32-E37))</f>
        <v>6.5880864569849251</v>
      </c>
      <c r="R40" s="273"/>
      <c r="S40" s="508"/>
      <c r="U40" s="291"/>
      <c r="V40" s="291"/>
      <c r="W40" s="291"/>
    </row>
    <row r="41" spans="1:23" ht="18.75" customHeight="1" x14ac:dyDescent="0.25">
      <c r="A41" s="311"/>
      <c r="B41" s="291"/>
      <c r="U41" s="291"/>
      <c r="V41" s="291"/>
      <c r="W41" s="291"/>
    </row>
    <row r="42" spans="1:23" x14ac:dyDescent="0.25">
      <c r="A42" s="410" t="s">
        <v>671</v>
      </c>
      <c r="B42" s="565" t="s">
        <v>520</v>
      </c>
      <c r="C42" s="565" t="s">
        <v>394</v>
      </c>
      <c r="I42" s="267" t="s">
        <v>341</v>
      </c>
      <c r="J42" s="294"/>
      <c r="K42" s="294"/>
      <c r="L42" s="294"/>
      <c r="M42" s="294"/>
      <c r="N42" s="267" t="s">
        <v>341</v>
      </c>
      <c r="O42" s="294"/>
      <c r="P42" s="294"/>
      <c r="Q42" s="294"/>
      <c r="R42" s="403"/>
      <c r="S42" s="291"/>
      <c r="T42" s="291"/>
      <c r="U42" s="291"/>
      <c r="V42" s="291"/>
      <c r="W42" s="291"/>
    </row>
    <row r="43" spans="1:23" x14ac:dyDescent="0.25">
      <c r="A43" s="564" t="s">
        <v>672</v>
      </c>
      <c r="B43" s="265">
        <f>+'MMW Output'!N18</f>
        <v>154.14681733346339</v>
      </c>
      <c r="C43" s="564">
        <f>+TechDocs!C34</f>
        <v>115</v>
      </c>
      <c r="D43" s="273"/>
      <c r="E43" s="312"/>
      <c r="I43" s="265" t="s">
        <v>322</v>
      </c>
      <c r="J43" s="294">
        <f>B4</f>
        <v>1666.6666666666665</v>
      </c>
      <c r="K43" s="294"/>
      <c r="L43" s="294"/>
      <c r="M43" s="294"/>
      <c r="N43" s="438" t="s">
        <v>322</v>
      </c>
      <c r="O43" s="294">
        <f>B4-J44</f>
        <v>666.66666666666652</v>
      </c>
      <c r="P43" s="294"/>
      <c r="Q43" s="294"/>
      <c r="U43" s="291"/>
      <c r="V43" s="291"/>
      <c r="W43" s="291"/>
    </row>
    <row r="44" spans="1:23" x14ac:dyDescent="0.25">
      <c r="A44" s="564" t="s">
        <v>673</v>
      </c>
      <c r="B44" s="476">
        <f>+'MMW Output'!O18</f>
        <v>9.5971988140185302E-2</v>
      </c>
      <c r="C44" s="564">
        <f>+TechDocs!E34</f>
        <v>0.192</v>
      </c>
      <c r="D44" s="273"/>
      <c r="E44" s="312"/>
      <c r="I44" s="265" t="s">
        <v>323</v>
      </c>
      <c r="J44" s="630">
        <v>1000</v>
      </c>
      <c r="K44" s="294"/>
      <c r="L44" s="438"/>
      <c r="M44" s="294"/>
      <c r="N44" s="438" t="s">
        <v>323</v>
      </c>
      <c r="O44" s="630">
        <v>500</v>
      </c>
      <c r="P44" s="294"/>
      <c r="Q44" s="294"/>
      <c r="R44" s="294"/>
      <c r="T44" s="291"/>
      <c r="U44" s="291"/>
      <c r="V44" s="291"/>
      <c r="W44" s="291"/>
    </row>
    <row r="45" spans="1:23" x14ac:dyDescent="0.25">
      <c r="A45" s="564" t="s">
        <v>674</v>
      </c>
      <c r="B45" s="476">
        <f>+'MMW Output'!P18</f>
        <v>3.8368427146109371E-2</v>
      </c>
      <c r="C45" s="564">
        <f>+TechDocs!D34</f>
        <v>0.17399999999999999</v>
      </c>
      <c r="D45" s="273"/>
      <c r="E45" s="312"/>
      <c r="I45" s="265" t="s">
        <v>342</v>
      </c>
      <c r="J45" s="294">
        <v>0.3</v>
      </c>
      <c r="K45" s="294">
        <v>0.09</v>
      </c>
      <c r="L45" s="294">
        <v>0.24</v>
      </c>
      <c r="M45" s="294"/>
      <c r="N45" s="402" t="s">
        <v>342</v>
      </c>
      <c r="O45" s="294">
        <v>0.3</v>
      </c>
      <c r="P45" s="294">
        <v>0.09</v>
      </c>
      <c r="Q45" s="294">
        <v>0.24</v>
      </c>
      <c r="R45" s="294"/>
      <c r="T45" s="291"/>
      <c r="U45" s="291"/>
      <c r="V45" s="291"/>
      <c r="W45" s="291"/>
    </row>
    <row r="46" spans="1:23" x14ac:dyDescent="0.25">
      <c r="B46" s="265"/>
      <c r="C46" s="273"/>
      <c r="D46" s="273"/>
      <c r="I46" s="273" t="s">
        <v>325</v>
      </c>
      <c r="J46" s="309">
        <f>(J44/B4)*J45*G4</f>
        <v>49181.545980000003</v>
      </c>
      <c r="K46" s="309">
        <f>(J44/B4)*K45*D4</f>
        <v>100.51889400000003</v>
      </c>
      <c r="L46" s="309">
        <f>(J44/B4)*L45*E4</f>
        <v>99.002736000000013</v>
      </c>
      <c r="M46" s="309"/>
      <c r="N46" s="273" t="s">
        <v>325</v>
      </c>
      <c r="O46" s="309">
        <f>(O44/B4)*O45*G4</f>
        <v>24590.772990000001</v>
      </c>
      <c r="P46" s="309">
        <f>(O44/B4)*P45*D4</f>
        <v>50.259447000000016</v>
      </c>
      <c r="Q46" s="309">
        <f>(O44/B4)*Q45*E4</f>
        <v>49.501368000000006</v>
      </c>
      <c r="R46" s="300"/>
      <c r="T46" s="291"/>
    </row>
    <row r="47" spans="1:23" x14ac:dyDescent="0.25">
      <c r="B47" s="265"/>
      <c r="J47" s="294"/>
      <c r="K47" s="294"/>
      <c r="L47" s="294"/>
      <c r="M47" s="294"/>
      <c r="O47" s="294"/>
      <c r="P47" s="294"/>
      <c r="Q47" s="294"/>
      <c r="R47" s="294"/>
      <c r="T47" s="291"/>
    </row>
    <row r="48" spans="1:23" x14ac:dyDescent="0.25">
      <c r="A48" s="546"/>
      <c r="B48" s="291"/>
      <c r="I48" s="267" t="s">
        <v>343</v>
      </c>
      <c r="J48" s="294"/>
      <c r="K48" s="294"/>
      <c r="L48" s="294"/>
      <c r="M48" s="294"/>
      <c r="N48" s="267" t="s">
        <v>343</v>
      </c>
      <c r="O48" s="294"/>
      <c r="P48" s="294"/>
      <c r="Q48" s="294"/>
      <c r="R48" s="294"/>
      <c r="S48" s="482" t="s">
        <v>569</v>
      </c>
      <c r="T48" s="291"/>
    </row>
    <row r="49" spans="1:20" x14ac:dyDescent="0.25">
      <c r="A49" s="291"/>
      <c r="B49" s="291"/>
      <c r="I49" s="265" t="s">
        <v>322</v>
      </c>
      <c r="J49" s="294">
        <f>B5</f>
        <v>491.35802469135797</v>
      </c>
      <c r="K49" s="294"/>
      <c r="L49" s="294"/>
      <c r="M49" s="294"/>
      <c r="N49" s="402" t="s">
        <v>322</v>
      </c>
      <c r="O49" s="294">
        <f>B5-J50</f>
        <v>481.35802469135797</v>
      </c>
      <c r="P49" s="294"/>
      <c r="Q49" s="294"/>
      <c r="R49" s="403"/>
      <c r="S49" s="291"/>
      <c r="T49" s="291"/>
    </row>
    <row r="50" spans="1:20" x14ac:dyDescent="0.25">
      <c r="A50" s="291"/>
      <c r="B50" s="291"/>
      <c r="I50" s="265" t="s">
        <v>344</v>
      </c>
      <c r="J50" s="630">
        <v>10</v>
      </c>
      <c r="K50" s="294"/>
      <c r="L50" s="294"/>
      <c r="M50" s="294"/>
      <c r="N50" s="402" t="s">
        <v>344</v>
      </c>
      <c r="O50" s="630">
        <v>10</v>
      </c>
      <c r="P50" s="294"/>
      <c r="Q50" s="294"/>
      <c r="R50" s="403"/>
      <c r="S50" s="291"/>
      <c r="T50" s="291"/>
    </row>
    <row r="51" spans="1:20" x14ac:dyDescent="0.25">
      <c r="B51" s="291"/>
      <c r="I51" s="273" t="s">
        <v>325</v>
      </c>
      <c r="J51" s="309">
        <f>(C32-C37)*J50</f>
        <v>12343.509057663319</v>
      </c>
      <c r="K51" s="309">
        <f>(D32-D37)*J50</f>
        <v>55.04128756281407</v>
      </c>
      <c r="L51" s="309">
        <f>(E32-E37)*J50</f>
        <v>16.36265125628141</v>
      </c>
      <c r="M51" s="309"/>
      <c r="N51" s="273" t="s">
        <v>325</v>
      </c>
      <c r="O51" s="309">
        <f>(C32-C37)*O50</f>
        <v>12343.509057663319</v>
      </c>
      <c r="P51" s="309">
        <f>(D32-D37)*O50</f>
        <v>55.04128756281407</v>
      </c>
      <c r="Q51" s="309">
        <f>(E32-E37)*O50</f>
        <v>16.36265125628141</v>
      </c>
      <c r="R51" s="403"/>
      <c r="S51" s="291"/>
      <c r="T51" s="291"/>
    </row>
    <row r="52" spans="1:20" x14ac:dyDescent="0.25">
      <c r="B52" s="265"/>
      <c r="C52" s="265"/>
      <c r="D52" s="265"/>
      <c r="E52" s="265"/>
      <c r="G52" s="265"/>
      <c r="J52" s="294"/>
      <c r="K52" s="294"/>
      <c r="L52" s="294"/>
      <c r="M52" s="294"/>
      <c r="O52" s="294"/>
      <c r="P52" s="294"/>
      <c r="Q52" s="294"/>
      <c r="R52" s="403"/>
      <c r="S52" s="291"/>
      <c r="T52" s="291"/>
    </row>
    <row r="53" spans="1:20" x14ac:dyDescent="0.25">
      <c r="B53" s="265"/>
      <c r="C53" s="265"/>
      <c r="D53" s="265"/>
      <c r="E53" s="265"/>
      <c r="G53" s="265"/>
      <c r="I53" s="267" t="s">
        <v>345</v>
      </c>
      <c r="J53" s="294"/>
      <c r="K53" s="294"/>
      <c r="L53" s="294"/>
      <c r="M53" s="294"/>
      <c r="N53" s="267" t="s">
        <v>345</v>
      </c>
      <c r="O53" s="294"/>
      <c r="P53" s="294"/>
      <c r="Q53" s="294"/>
      <c r="R53" s="309"/>
      <c r="T53" s="291"/>
    </row>
    <row r="54" spans="1:20" x14ac:dyDescent="0.25">
      <c r="B54" s="265"/>
      <c r="C54" s="265"/>
      <c r="D54" s="265"/>
      <c r="E54" s="265"/>
      <c r="G54" s="265"/>
      <c r="I54" s="265" t="s">
        <v>346</v>
      </c>
      <c r="J54" s="510">
        <f>+'MMW Output'!M19</f>
        <v>5479.0028000000002</v>
      </c>
      <c r="K54" s="294"/>
      <c r="L54" s="294"/>
      <c r="M54" s="294"/>
      <c r="N54" s="402" t="s">
        <v>346</v>
      </c>
      <c r="O54" s="294">
        <f>J54-J55</f>
        <v>4479.0028000000002</v>
      </c>
      <c r="P54" s="294"/>
      <c r="Q54" s="294"/>
      <c r="R54" s="294"/>
      <c r="T54" s="291"/>
    </row>
    <row r="55" spans="1:20" x14ac:dyDescent="0.25">
      <c r="B55" s="265"/>
      <c r="E55" s="265"/>
      <c r="G55" s="265"/>
      <c r="I55" s="265" t="s">
        <v>330</v>
      </c>
      <c r="J55" s="630">
        <v>1000</v>
      </c>
      <c r="K55" s="294"/>
      <c r="L55" s="294"/>
      <c r="M55" s="294"/>
      <c r="N55" s="402" t="s">
        <v>330</v>
      </c>
      <c r="O55" s="630">
        <v>1000</v>
      </c>
      <c r="P55" s="294"/>
      <c r="Q55" s="294"/>
      <c r="R55" s="294"/>
      <c r="T55" s="291"/>
    </row>
    <row r="56" spans="1:20" x14ac:dyDescent="0.25">
      <c r="B56" s="265"/>
      <c r="E56" s="265"/>
      <c r="G56" s="265"/>
      <c r="I56" s="265" t="s">
        <v>519</v>
      </c>
      <c r="J56" s="447">
        <f>C43</f>
        <v>115</v>
      </c>
      <c r="K56" s="294">
        <f>C44</f>
        <v>0.192</v>
      </c>
      <c r="L56" s="294">
        <f>C45</f>
        <v>0.17399999999999999</v>
      </c>
      <c r="M56" s="294"/>
      <c r="N56" s="402" t="s">
        <v>519</v>
      </c>
      <c r="O56" s="447">
        <f>C43</f>
        <v>115</v>
      </c>
      <c r="P56" s="294">
        <f>C44</f>
        <v>0.192</v>
      </c>
      <c r="Q56" s="294">
        <f>C45</f>
        <v>0.17399999999999999</v>
      </c>
      <c r="R56" s="294"/>
    </row>
    <row r="57" spans="1:20" x14ac:dyDescent="0.25">
      <c r="B57" s="265"/>
      <c r="E57" s="265"/>
      <c r="G57" s="265"/>
      <c r="I57" s="273" t="s">
        <v>325</v>
      </c>
      <c r="J57" s="309">
        <f>J55*J56</f>
        <v>115000</v>
      </c>
      <c r="K57" s="309">
        <f>J55*K56</f>
        <v>192</v>
      </c>
      <c r="L57" s="309">
        <f>J55*L56</f>
        <v>174</v>
      </c>
      <c r="M57" s="309"/>
      <c r="N57" s="273" t="s">
        <v>325</v>
      </c>
      <c r="O57" s="309">
        <f>O55*O56</f>
        <v>115000</v>
      </c>
      <c r="P57" s="309">
        <f>O55*P56</f>
        <v>192</v>
      </c>
      <c r="Q57" s="309">
        <f>O55*Q56</f>
        <v>174</v>
      </c>
      <c r="R57" s="294"/>
    </row>
    <row r="58" spans="1:20" x14ac:dyDescent="0.25">
      <c r="B58" s="265"/>
      <c r="E58" s="265"/>
      <c r="G58" s="265"/>
      <c r="I58" s="273"/>
      <c r="J58" s="309"/>
      <c r="K58" s="309"/>
      <c r="L58" s="309"/>
      <c r="M58" s="309"/>
      <c r="N58" s="273"/>
      <c r="O58" s="309"/>
      <c r="P58" s="309"/>
      <c r="Q58" s="309"/>
      <c r="R58" s="294"/>
    </row>
    <row r="59" spans="1:20" x14ac:dyDescent="0.25">
      <c r="B59" s="265"/>
      <c r="C59" s="265"/>
      <c r="D59" s="265"/>
      <c r="E59" s="265"/>
      <c r="G59" s="265"/>
      <c r="I59" s="313" t="s">
        <v>559</v>
      </c>
      <c r="J59" s="309"/>
      <c r="K59" s="309"/>
      <c r="L59" s="309"/>
      <c r="M59" s="309"/>
      <c r="N59" s="313" t="s">
        <v>559</v>
      </c>
      <c r="O59" s="309"/>
      <c r="P59" s="309"/>
      <c r="Q59" s="309"/>
      <c r="R59" s="309"/>
      <c r="S59" s="482" t="s">
        <v>721</v>
      </c>
    </row>
    <row r="60" spans="1:20" x14ac:dyDescent="0.25">
      <c r="B60" s="265"/>
      <c r="C60" s="265"/>
      <c r="D60" s="265"/>
      <c r="E60" s="265"/>
      <c r="G60" s="265"/>
      <c r="I60" s="509" t="s">
        <v>322</v>
      </c>
      <c r="J60" s="509">
        <f>B4</f>
        <v>1666.6666666666665</v>
      </c>
      <c r="K60" s="509"/>
      <c r="L60" s="509"/>
      <c r="M60" s="509"/>
      <c r="N60" s="509" t="s">
        <v>322</v>
      </c>
      <c r="O60" s="509">
        <f>B4-J63</f>
        <v>1661.8666666666666</v>
      </c>
      <c r="P60" s="509"/>
      <c r="Q60" s="509"/>
      <c r="R60" s="294"/>
      <c r="S60" s="273" t="s">
        <v>720</v>
      </c>
    </row>
    <row r="61" spans="1:20" x14ac:dyDescent="0.25">
      <c r="A61" s="316"/>
      <c r="B61" s="265"/>
      <c r="C61" s="265"/>
      <c r="D61" s="265"/>
      <c r="E61" s="265"/>
      <c r="G61" s="265"/>
      <c r="I61" s="509" t="s">
        <v>704</v>
      </c>
      <c r="J61" s="629">
        <v>1000</v>
      </c>
      <c r="K61" s="509"/>
      <c r="L61" s="509"/>
      <c r="M61" s="509"/>
      <c r="N61" s="509" t="s">
        <v>704</v>
      </c>
      <c r="O61" s="629">
        <v>1000</v>
      </c>
      <c r="P61" s="509"/>
      <c r="Q61" s="509"/>
      <c r="R61" s="294"/>
    </row>
    <row r="62" spans="1:20" x14ac:dyDescent="0.25">
      <c r="B62" s="265"/>
      <c r="C62" s="265"/>
      <c r="D62" s="265"/>
      <c r="E62" s="265"/>
      <c r="G62" s="265"/>
      <c r="I62" s="509" t="s">
        <v>326</v>
      </c>
      <c r="J62" s="485">
        <v>2.4</v>
      </c>
      <c r="K62" s="509"/>
      <c r="L62" s="509"/>
      <c r="M62" s="509"/>
      <c r="N62" s="509" t="s">
        <v>326</v>
      </c>
      <c r="O62" s="485">
        <v>2.4</v>
      </c>
      <c r="P62" s="509"/>
      <c r="Q62" s="509"/>
      <c r="R62" s="294"/>
    </row>
    <row r="63" spans="1:20" x14ac:dyDescent="0.25">
      <c r="B63" s="265"/>
      <c r="C63" s="265"/>
      <c r="D63" s="265"/>
      <c r="E63" s="265"/>
      <c r="G63" s="265"/>
      <c r="I63" s="509" t="s">
        <v>323</v>
      </c>
      <c r="J63" s="509">
        <f>J62*2</f>
        <v>4.8</v>
      </c>
      <c r="K63" s="509">
        <f>J62*4</f>
        <v>9.6</v>
      </c>
      <c r="L63" s="509">
        <f>J62*2</f>
        <v>4.8</v>
      </c>
      <c r="M63" s="509"/>
      <c r="N63" s="509" t="s">
        <v>323</v>
      </c>
      <c r="O63" s="509">
        <f>O62*2</f>
        <v>4.8</v>
      </c>
      <c r="P63" s="509">
        <f>O62*4</f>
        <v>9.6</v>
      </c>
      <c r="Q63" s="509">
        <f>O62*2</f>
        <v>4.8</v>
      </c>
      <c r="R63" s="294"/>
    </row>
    <row r="64" spans="1:20" x14ac:dyDescent="0.25">
      <c r="B64" s="265"/>
      <c r="C64" s="265"/>
      <c r="D64" s="265"/>
      <c r="E64" s="265"/>
      <c r="G64" s="265"/>
      <c r="I64" s="509" t="s">
        <v>324</v>
      </c>
      <c r="J64" s="509">
        <v>0.49</v>
      </c>
      <c r="K64" s="509">
        <v>0.45</v>
      </c>
      <c r="L64" s="509">
        <v>0.36</v>
      </c>
      <c r="M64" s="509"/>
      <c r="N64" s="509" t="s">
        <v>324</v>
      </c>
      <c r="O64" s="509">
        <v>0.49</v>
      </c>
      <c r="P64" s="509">
        <v>0.45</v>
      </c>
      <c r="Q64" s="509">
        <v>0.36</v>
      </c>
      <c r="R64" s="309"/>
    </row>
    <row r="65" spans="2:23" x14ac:dyDescent="0.25">
      <c r="B65" s="265"/>
      <c r="C65" s="265"/>
      <c r="D65" s="265"/>
      <c r="E65" s="265"/>
      <c r="G65" s="265"/>
      <c r="I65" s="273" t="s">
        <v>325</v>
      </c>
      <c r="J65" s="413">
        <f>(J63*J64*C31)+(J62*(C31-C33))</f>
        <v>775.11740007808453</v>
      </c>
      <c r="K65" s="273">
        <f>(K63*K64*D31)+(J62*(D31-D33))</f>
        <v>7.2250086063516905</v>
      </c>
      <c r="L65" s="273">
        <f>(L63*L64*E31)+(J62*(E31-E33))</f>
        <v>1.6846829171040851</v>
      </c>
      <c r="M65" s="273"/>
      <c r="N65" s="273" t="s">
        <v>325</v>
      </c>
      <c r="O65" s="413">
        <f>(O63*O64*C31)+(O62*(C31-C33))</f>
        <v>775.11740007808453</v>
      </c>
      <c r="P65" s="273">
        <f>(P63*P64*D31)+(O62*(D31-D33))</f>
        <v>7.2250086063516905</v>
      </c>
      <c r="Q65" s="273">
        <f>(Q63*Q64*E31)+(O62*(E31-E33))</f>
        <v>1.6846829171040851</v>
      </c>
      <c r="R65" s="294"/>
    </row>
    <row r="66" spans="2:23" x14ac:dyDescent="0.25">
      <c r="B66" s="265"/>
      <c r="C66" s="265"/>
      <c r="D66" s="265"/>
      <c r="E66" s="265"/>
      <c r="G66" s="265"/>
      <c r="I66" s="273"/>
      <c r="J66" s="309"/>
      <c r="K66" s="309"/>
      <c r="L66" s="309"/>
      <c r="M66" s="309"/>
      <c r="N66" s="273"/>
      <c r="O66" s="309"/>
      <c r="P66" s="309"/>
      <c r="Q66" s="309"/>
      <c r="R66" s="294"/>
    </row>
    <row r="67" spans="2:23" x14ac:dyDescent="0.25">
      <c r="B67" s="265"/>
      <c r="C67" s="265"/>
      <c r="D67" s="265"/>
      <c r="E67" s="265"/>
      <c r="G67" s="265"/>
      <c r="I67" s="313" t="s">
        <v>561</v>
      </c>
      <c r="J67" s="309"/>
      <c r="K67" s="309"/>
      <c r="L67" s="309"/>
      <c r="M67" s="309"/>
      <c r="N67" s="313" t="s">
        <v>561</v>
      </c>
      <c r="O67" s="309"/>
      <c r="P67" s="309"/>
      <c r="Q67" s="309"/>
      <c r="R67" s="294"/>
      <c r="S67" s="482" t="s">
        <v>570</v>
      </c>
    </row>
    <row r="68" spans="2:23" x14ac:dyDescent="0.25">
      <c r="B68" s="265"/>
      <c r="C68" s="265"/>
      <c r="D68" s="265"/>
      <c r="E68" s="265"/>
      <c r="G68" s="265"/>
      <c r="I68" s="509" t="s">
        <v>322</v>
      </c>
      <c r="J68" s="509">
        <f>B4</f>
        <v>1666.6666666666665</v>
      </c>
      <c r="K68" s="509"/>
      <c r="L68" s="509"/>
      <c r="M68" s="509"/>
      <c r="N68" s="509" t="s">
        <v>322</v>
      </c>
      <c r="O68" s="509">
        <f>B4-J70</f>
        <v>1665.4666666666665</v>
      </c>
      <c r="P68" s="509"/>
      <c r="Q68" s="509"/>
      <c r="R68" s="294"/>
      <c r="S68" s="273" t="s">
        <v>719</v>
      </c>
    </row>
    <row r="69" spans="2:23" x14ac:dyDescent="0.25">
      <c r="B69" s="265"/>
      <c r="C69" s="265"/>
      <c r="D69" s="265"/>
      <c r="E69" s="265"/>
      <c r="G69" s="265"/>
      <c r="I69" s="509" t="s">
        <v>704</v>
      </c>
      <c r="J69" s="629">
        <v>1000</v>
      </c>
      <c r="K69" s="509"/>
      <c r="L69" s="509"/>
      <c r="M69" s="509"/>
      <c r="N69" s="509" t="s">
        <v>704</v>
      </c>
      <c r="O69" s="629">
        <v>1000</v>
      </c>
      <c r="P69" s="509"/>
      <c r="Q69" s="509"/>
      <c r="R69" s="294"/>
    </row>
    <row r="70" spans="2:23" x14ac:dyDescent="0.25">
      <c r="B70" s="265"/>
      <c r="C70" s="265"/>
      <c r="D70" s="265"/>
      <c r="E70" s="265"/>
      <c r="G70" s="265"/>
      <c r="I70" s="509" t="s">
        <v>326</v>
      </c>
      <c r="J70" s="485">
        <v>1.2</v>
      </c>
      <c r="K70" s="509"/>
      <c r="L70" s="509"/>
      <c r="M70" s="509"/>
      <c r="N70" s="509" t="s">
        <v>326</v>
      </c>
      <c r="O70" s="485">
        <v>1.2</v>
      </c>
      <c r="P70" s="509"/>
      <c r="Q70" s="509"/>
      <c r="R70" s="309"/>
    </row>
    <row r="71" spans="2:23" x14ac:dyDescent="0.25">
      <c r="B71" s="265"/>
      <c r="C71" s="265"/>
      <c r="D71" s="265"/>
      <c r="E71" s="265"/>
      <c r="G71" s="265"/>
      <c r="I71" s="509" t="s">
        <v>323</v>
      </c>
      <c r="J71" s="509">
        <f>J70*2</f>
        <v>2.4</v>
      </c>
      <c r="K71" s="509">
        <f>J70*4</f>
        <v>4.8</v>
      </c>
      <c r="L71" s="509">
        <f>J70*2</f>
        <v>2.4</v>
      </c>
      <c r="M71" s="509"/>
      <c r="N71" s="509" t="s">
        <v>323</v>
      </c>
      <c r="O71" s="509">
        <f>O70*2</f>
        <v>2.4</v>
      </c>
      <c r="P71" s="509">
        <f>O70*4</f>
        <v>4.8</v>
      </c>
      <c r="Q71" s="509">
        <f>O70*2</f>
        <v>2.4</v>
      </c>
      <c r="R71" s="309"/>
    </row>
    <row r="72" spans="2:23" x14ac:dyDescent="0.25">
      <c r="B72" s="265"/>
      <c r="C72" s="265"/>
      <c r="D72" s="265"/>
      <c r="E72" s="265"/>
      <c r="G72" s="265"/>
      <c r="I72" s="509" t="s">
        <v>324</v>
      </c>
      <c r="J72" s="509">
        <v>0.49</v>
      </c>
      <c r="K72" s="509">
        <v>0.45</v>
      </c>
      <c r="L72" s="509">
        <v>0.36</v>
      </c>
      <c r="M72" s="509"/>
      <c r="N72" s="509" t="s">
        <v>324</v>
      </c>
      <c r="O72" s="509">
        <v>0.49</v>
      </c>
      <c r="P72" s="509">
        <v>0.45</v>
      </c>
      <c r="Q72" s="509">
        <v>0.36</v>
      </c>
      <c r="R72" s="309"/>
    </row>
    <row r="73" spans="2:23" x14ac:dyDescent="0.25">
      <c r="B73" s="265"/>
      <c r="C73" s="265"/>
      <c r="D73" s="265"/>
      <c r="E73" s="265"/>
      <c r="G73" s="265"/>
      <c r="I73" s="273" t="s">
        <v>325</v>
      </c>
      <c r="J73" s="413">
        <f>(J71*J72*C31)+(J70*(C31-C37))</f>
        <v>325.27561016159996</v>
      </c>
      <c r="K73" s="273">
        <f>(K71*K72*D31)+(J70*(D31-D37))</f>
        <v>2.5342223760000011</v>
      </c>
      <c r="L73" s="273">
        <f>(L71*L72*E31)+(J70*(E31-E37))</f>
        <v>0.7680745296</v>
      </c>
      <c r="M73" s="273"/>
      <c r="N73" s="273" t="s">
        <v>325</v>
      </c>
      <c r="O73" s="413">
        <f>(O71*O72*C31)+(O70*(C31-C37))</f>
        <v>325.27561016159996</v>
      </c>
      <c r="P73" s="273">
        <f>(P71*P72*D31)+(O70*(D31-D37))</f>
        <v>2.5342223760000011</v>
      </c>
      <c r="Q73" s="273">
        <f>(Q71*Q72*E31)+(O70*(E31-E37))</f>
        <v>0.7680745296</v>
      </c>
      <c r="R73" s="315"/>
    </row>
    <row r="74" spans="2:23" x14ac:dyDescent="0.25">
      <c r="B74" s="265"/>
      <c r="C74" s="265"/>
      <c r="D74" s="265"/>
      <c r="E74" s="265"/>
      <c r="G74" s="265"/>
      <c r="I74" s="273"/>
      <c r="J74" s="309"/>
      <c r="K74" s="309"/>
      <c r="L74" s="309"/>
      <c r="M74" s="309"/>
      <c r="N74" s="273"/>
      <c r="O74" s="309"/>
      <c r="P74" s="309"/>
      <c r="Q74" s="309"/>
      <c r="R74" s="315"/>
    </row>
    <row r="75" spans="2:23" s="473" customFormat="1" x14ac:dyDescent="0.25">
      <c r="I75" s="267" t="s">
        <v>347</v>
      </c>
      <c r="J75" s="294"/>
      <c r="K75" s="294"/>
      <c r="L75" s="294"/>
      <c r="M75" s="294"/>
      <c r="N75" s="267" t="s">
        <v>347</v>
      </c>
      <c r="O75" s="294"/>
      <c r="P75" s="294"/>
      <c r="Q75" s="294"/>
      <c r="R75" s="317"/>
      <c r="S75" s="482"/>
      <c r="T75" s="265"/>
      <c r="U75" s="265"/>
      <c r="V75" s="265"/>
      <c r="W75" s="265"/>
    </row>
    <row r="76" spans="2:23" s="473" customFormat="1" x14ac:dyDescent="0.25">
      <c r="I76" s="293" t="s">
        <v>348</v>
      </c>
      <c r="J76" s="294"/>
      <c r="K76" s="294"/>
      <c r="L76" s="294"/>
      <c r="M76" s="294"/>
      <c r="N76" s="293" t="s">
        <v>348</v>
      </c>
      <c r="O76" s="294"/>
      <c r="P76" s="294"/>
      <c r="Q76" s="294"/>
      <c r="R76" s="309"/>
      <c r="S76" s="265"/>
      <c r="T76" s="265"/>
      <c r="U76" s="265"/>
      <c r="V76" s="265"/>
      <c r="W76" s="265"/>
    </row>
    <row r="77" spans="2:23" x14ac:dyDescent="0.25">
      <c r="B77" s="265"/>
      <c r="C77" s="265"/>
      <c r="D77" s="265"/>
      <c r="E77" s="265"/>
      <c r="G77" s="265"/>
      <c r="I77" s="318" t="s">
        <v>322</v>
      </c>
      <c r="J77" s="294">
        <f>B5</f>
        <v>491.35802469135797</v>
      </c>
      <c r="K77" s="294"/>
      <c r="L77" s="294"/>
      <c r="M77" s="294"/>
      <c r="N77" s="318" t="s">
        <v>322</v>
      </c>
      <c r="O77" s="294">
        <f>B5-J78</f>
        <v>191.35802469135797</v>
      </c>
      <c r="P77" s="294"/>
      <c r="Q77" s="294"/>
      <c r="R77" s="309"/>
    </row>
    <row r="78" spans="2:23" s="509" customFormat="1" x14ac:dyDescent="0.25">
      <c r="I78" s="318" t="s">
        <v>503</v>
      </c>
      <c r="J78" s="630">
        <v>300</v>
      </c>
      <c r="K78" s="294"/>
      <c r="L78" s="294"/>
      <c r="M78" s="294"/>
      <c r="N78" s="318" t="s">
        <v>503</v>
      </c>
      <c r="O78" s="630">
        <v>100</v>
      </c>
      <c r="P78" s="294"/>
      <c r="Q78" s="294"/>
      <c r="R78" s="309"/>
    </row>
    <row r="79" spans="2:23" s="509" customFormat="1" x14ac:dyDescent="0.25">
      <c r="I79" s="318" t="s">
        <v>324</v>
      </c>
      <c r="J79" s="294"/>
      <c r="K79" s="294">
        <v>0.04</v>
      </c>
      <c r="L79" s="294">
        <v>0.05</v>
      </c>
      <c r="M79" s="294"/>
      <c r="N79" s="318" t="s">
        <v>324</v>
      </c>
      <c r="O79" s="294"/>
      <c r="P79" s="294">
        <v>0.04</v>
      </c>
      <c r="Q79" s="294">
        <v>0.05</v>
      </c>
      <c r="R79" s="309"/>
    </row>
    <row r="80" spans="2:23" s="509" customFormat="1" x14ac:dyDescent="0.25">
      <c r="I80" s="265" t="s">
        <v>325</v>
      </c>
      <c r="J80" s="294"/>
      <c r="K80" s="294">
        <f>J78*D32*K79</f>
        <v>78.234375075376889</v>
      </c>
      <c r="L80" s="294">
        <f>J78*E32*L79</f>
        <v>25.585839384422115</v>
      </c>
      <c r="M80" s="294"/>
      <c r="N80" s="402" t="s">
        <v>325</v>
      </c>
      <c r="O80" s="294"/>
      <c r="P80" s="294">
        <f>O78*D32*P79</f>
        <v>26.07812502512563</v>
      </c>
      <c r="Q80" s="294">
        <f>O78*E32*Q79</f>
        <v>8.5286131281407052</v>
      </c>
      <c r="R80" s="309"/>
    </row>
    <row r="81" spans="2:23" s="509" customFormat="1" x14ac:dyDescent="0.25">
      <c r="I81" s="319"/>
      <c r="J81" s="294"/>
      <c r="K81" s="294"/>
      <c r="L81" s="294"/>
      <c r="M81" s="294"/>
      <c r="N81" s="319"/>
      <c r="O81" s="294"/>
      <c r="P81" s="294"/>
      <c r="Q81" s="294"/>
      <c r="R81" s="309"/>
      <c r="S81" s="482"/>
    </row>
    <row r="82" spans="2:23" s="509" customFormat="1" x14ac:dyDescent="0.25">
      <c r="I82" s="293" t="s">
        <v>349</v>
      </c>
      <c r="J82" s="294"/>
      <c r="K82" s="294"/>
      <c r="L82" s="294"/>
      <c r="M82" s="294"/>
      <c r="N82" s="293" t="s">
        <v>349</v>
      </c>
      <c r="O82" s="294"/>
      <c r="P82" s="294"/>
      <c r="Q82" s="294"/>
      <c r="R82" s="309"/>
      <c r="S82" s="273"/>
    </row>
    <row r="83" spans="2:23" s="509" customFormat="1" x14ac:dyDescent="0.25">
      <c r="I83" s="318" t="s">
        <v>324</v>
      </c>
      <c r="J83" s="294"/>
      <c r="K83" s="294">
        <v>0.04</v>
      </c>
      <c r="L83" s="294">
        <v>0.05</v>
      </c>
      <c r="M83" s="294"/>
      <c r="N83" s="318" t="s">
        <v>324</v>
      </c>
      <c r="O83" s="294"/>
      <c r="P83" s="294">
        <v>0.04</v>
      </c>
      <c r="Q83" s="294">
        <v>0.05</v>
      </c>
      <c r="R83" s="309"/>
      <c r="S83" s="482"/>
    </row>
    <row r="84" spans="2:23" s="509" customFormat="1" x14ac:dyDescent="0.25">
      <c r="I84" s="318" t="s">
        <v>325</v>
      </c>
      <c r="J84" s="294"/>
      <c r="K84" s="294">
        <f>(J78/B26)*D23*K83</f>
        <v>39.111038129032252</v>
      </c>
      <c r="L84" s="294">
        <f>(J78/B26)*E23*L83</f>
        <v>0.88908438451004279</v>
      </c>
      <c r="M84" s="294"/>
      <c r="N84" s="318" t="s">
        <v>325</v>
      </c>
      <c r="O84" s="294"/>
      <c r="P84" s="294">
        <f>(O78/B26)*D23*P83</f>
        <v>13.037012709677418</v>
      </c>
      <c r="Q84" s="294">
        <f>(O78/B26)*E23*Q83</f>
        <v>0.29636146150334758</v>
      </c>
      <c r="R84" s="309"/>
    </row>
    <row r="85" spans="2:23" s="509" customFormat="1" x14ac:dyDescent="0.25">
      <c r="I85" s="319"/>
      <c r="J85" s="294"/>
      <c r="K85" s="294"/>
      <c r="L85" s="294"/>
      <c r="M85" s="294"/>
      <c r="N85" s="319"/>
      <c r="O85" s="294"/>
      <c r="P85" s="294"/>
      <c r="Q85" s="294"/>
      <c r="R85" s="309"/>
    </row>
    <row r="86" spans="2:23" s="509" customFormat="1" x14ac:dyDescent="0.25">
      <c r="I86" s="273" t="s">
        <v>350</v>
      </c>
      <c r="J86" s="309">
        <v>0</v>
      </c>
      <c r="K86" s="309">
        <f>K80+K84</f>
        <v>117.34541320440914</v>
      </c>
      <c r="L86" s="309">
        <f>L80+L84</f>
        <v>26.474923768932157</v>
      </c>
      <c r="M86" s="309"/>
      <c r="N86" s="273" t="s">
        <v>350</v>
      </c>
      <c r="O86" s="309">
        <v>0</v>
      </c>
      <c r="P86" s="309">
        <f>P80+P84</f>
        <v>39.115137734803049</v>
      </c>
      <c r="Q86" s="309">
        <f>Q80+Q84</f>
        <v>8.8249745896440519</v>
      </c>
      <c r="R86" s="309"/>
    </row>
    <row r="87" spans="2:23" s="509" customFormat="1" x14ac:dyDescent="0.25">
      <c r="I87" s="265"/>
      <c r="J87" s="294"/>
      <c r="K87" s="294"/>
      <c r="L87" s="294"/>
      <c r="M87" s="294"/>
      <c r="N87" s="402"/>
      <c r="O87" s="294"/>
      <c r="P87" s="294"/>
      <c r="Q87" s="294"/>
      <c r="R87" s="309"/>
    </row>
    <row r="88" spans="2:23" s="473" customFormat="1" x14ac:dyDescent="0.25">
      <c r="I88" s="267" t="s">
        <v>580</v>
      </c>
      <c r="J88" s="294"/>
      <c r="K88" s="294"/>
      <c r="L88" s="294"/>
      <c r="M88" s="294"/>
      <c r="N88" s="267" t="s">
        <v>580</v>
      </c>
      <c r="O88" s="294"/>
      <c r="P88" s="294"/>
      <c r="Q88" s="294"/>
      <c r="R88" s="294"/>
      <c r="S88" s="482" t="s">
        <v>722</v>
      </c>
      <c r="T88" s="265"/>
      <c r="U88" s="265"/>
      <c r="V88" s="265"/>
      <c r="W88" s="265"/>
    </row>
    <row r="89" spans="2:23" x14ac:dyDescent="0.25">
      <c r="B89" s="265"/>
      <c r="C89" s="265"/>
      <c r="D89" s="265"/>
      <c r="E89" s="265"/>
      <c r="G89" s="508"/>
      <c r="I89" s="265" t="s">
        <v>648</v>
      </c>
      <c r="J89" s="294"/>
      <c r="K89" s="294">
        <f>D20</f>
        <v>4895.7615000000005</v>
      </c>
      <c r="L89" s="294">
        <f>E20</f>
        <v>1294.1144999999999</v>
      </c>
      <c r="M89" s="294"/>
      <c r="N89" s="402" t="s">
        <v>648</v>
      </c>
      <c r="O89" s="294"/>
      <c r="P89" s="294">
        <f>D20-K96</f>
        <v>3795.6695460914407</v>
      </c>
      <c r="Q89" s="294">
        <f>E20-L96</f>
        <v>1003.4439141171088</v>
      </c>
      <c r="R89" s="294"/>
      <c r="S89" s="482" t="s">
        <v>723</v>
      </c>
    </row>
    <row r="90" spans="2:23" x14ac:dyDescent="0.25">
      <c r="B90" s="265"/>
      <c r="C90" s="265"/>
      <c r="D90" s="265"/>
      <c r="E90" s="265"/>
      <c r="G90" s="265"/>
      <c r="I90" s="473" t="s">
        <v>649</v>
      </c>
      <c r="J90" s="294"/>
      <c r="K90" s="478">
        <f>+'MMW Output'!R39*K89</f>
        <v>7.9633513179501323</v>
      </c>
      <c r="L90" s="478">
        <f>+'MMW Output'!S39*L89</f>
        <v>2.7677906496175364</v>
      </c>
      <c r="M90" s="294"/>
      <c r="N90" s="473" t="s">
        <v>649</v>
      </c>
      <c r="O90" s="294"/>
      <c r="P90" s="478">
        <f>K90</f>
        <v>7.9633513179501323</v>
      </c>
      <c r="Q90" s="478">
        <f>L90</f>
        <v>2.7677906496175364</v>
      </c>
      <c r="R90" s="294"/>
    </row>
    <row r="91" spans="2:23" x14ac:dyDescent="0.25">
      <c r="B91" s="265"/>
      <c r="C91" s="265"/>
      <c r="D91" s="265"/>
      <c r="E91" s="265"/>
      <c r="G91" s="265"/>
      <c r="I91" s="473" t="s">
        <v>650</v>
      </c>
      <c r="J91" s="294"/>
      <c r="K91" s="478">
        <f>+'MMW Output'!R40*K89</f>
        <v>4887.8110806809154</v>
      </c>
      <c r="L91" s="478">
        <f>+'MMW Output'!S40*L89</f>
        <v>1291.352616336032</v>
      </c>
      <c r="M91" s="294"/>
      <c r="N91" s="473" t="s">
        <v>650</v>
      </c>
      <c r="O91" s="294"/>
      <c r="P91" s="478">
        <f>K91</f>
        <v>4887.8110806809154</v>
      </c>
      <c r="Q91" s="478">
        <f>L91</f>
        <v>1291.352616336032</v>
      </c>
      <c r="R91" s="294"/>
      <c r="U91" s="473"/>
      <c r="V91" s="473"/>
      <c r="W91" s="473"/>
    </row>
    <row r="92" spans="2:23" x14ac:dyDescent="0.25">
      <c r="B92" s="265"/>
      <c r="C92" s="265"/>
      <c r="D92" s="265"/>
      <c r="E92" s="265"/>
      <c r="G92" s="265"/>
      <c r="I92" s="265" t="s">
        <v>622</v>
      </c>
      <c r="J92" s="630">
        <v>30</v>
      </c>
      <c r="K92" s="294"/>
      <c r="L92" s="294"/>
      <c r="M92" s="294"/>
      <c r="N92" s="402" t="s">
        <v>622</v>
      </c>
      <c r="O92" s="630">
        <v>10</v>
      </c>
      <c r="P92" s="294"/>
      <c r="Q92" s="294"/>
      <c r="R92" s="294"/>
      <c r="U92" s="473"/>
      <c r="V92" s="473"/>
      <c r="W92" s="473"/>
    </row>
    <row r="93" spans="2:23" s="476" customFormat="1" x14ac:dyDescent="0.25">
      <c r="I93" s="473" t="s">
        <v>623</v>
      </c>
      <c r="J93" s="630">
        <v>30</v>
      </c>
      <c r="K93" s="294"/>
      <c r="L93" s="294"/>
      <c r="M93" s="294"/>
      <c r="N93" s="473" t="s">
        <v>623</v>
      </c>
      <c r="O93" s="630">
        <v>10</v>
      </c>
      <c r="P93" s="294"/>
      <c r="Q93" s="294"/>
      <c r="R93" s="294"/>
      <c r="S93" s="265"/>
      <c r="T93" s="265"/>
      <c r="U93" s="265"/>
      <c r="V93" s="265"/>
      <c r="W93" s="265"/>
    </row>
    <row r="94" spans="2:23" s="476" customFormat="1" x14ac:dyDescent="0.25">
      <c r="I94" s="265" t="s">
        <v>562</v>
      </c>
      <c r="J94" s="294"/>
      <c r="K94" s="294">
        <v>0.14000000000000001</v>
      </c>
      <c r="L94" s="294">
        <v>0.14000000000000001</v>
      </c>
      <c r="M94" s="294"/>
      <c r="N94" s="402" t="s">
        <v>562</v>
      </c>
      <c r="O94" s="294"/>
      <c r="P94" s="294">
        <v>0.14000000000000001</v>
      </c>
      <c r="Q94" s="294">
        <v>0.14000000000000001</v>
      </c>
      <c r="R94" s="294"/>
      <c r="S94" s="265"/>
      <c r="T94" s="265"/>
      <c r="U94" s="473"/>
      <c r="V94" s="473"/>
      <c r="W94" s="473"/>
    </row>
    <row r="95" spans="2:23" s="476" customFormat="1" x14ac:dyDescent="0.25">
      <c r="I95" s="509" t="s">
        <v>563</v>
      </c>
      <c r="J95" s="294"/>
      <c r="K95" s="294">
        <v>0.75</v>
      </c>
      <c r="L95" s="294">
        <v>0.75</v>
      </c>
      <c r="M95" s="294"/>
      <c r="N95" s="509" t="s">
        <v>563</v>
      </c>
      <c r="O95" s="294"/>
      <c r="P95" s="294">
        <v>0.75</v>
      </c>
      <c r="Q95" s="294">
        <v>0.75</v>
      </c>
      <c r="R95" s="294"/>
      <c r="S95" s="265"/>
      <c r="T95" s="265"/>
      <c r="U95" s="265"/>
      <c r="V95" s="265"/>
      <c r="W95" s="265"/>
    </row>
    <row r="96" spans="2:23" s="476" customFormat="1" x14ac:dyDescent="0.25">
      <c r="I96" s="273" t="s">
        <v>325</v>
      </c>
      <c r="J96" s="309">
        <v>0</v>
      </c>
      <c r="K96" s="309">
        <f>(K90*(J92/100)*K94)+(K91*(J93/100)*K95)</f>
        <v>1100.0919539085596</v>
      </c>
      <c r="L96" s="309">
        <f>(L90*(J92/100)*L94)+(L91*(J93/100)*L95)</f>
        <v>290.67058588289115</v>
      </c>
      <c r="M96" s="309"/>
      <c r="N96" s="273" t="s">
        <v>325</v>
      </c>
      <c r="O96" s="309">
        <v>0</v>
      </c>
      <c r="P96" s="309">
        <f>(P90*(O92/100)*P94)+(P91*(O93/100)*P95)</f>
        <v>366.69731796951999</v>
      </c>
      <c r="Q96" s="309">
        <f>(Q90*(O92/100)*Q94)+(Q91*(O93/100)*Q95)</f>
        <v>96.890195294297058</v>
      </c>
      <c r="R96" s="294"/>
      <c r="S96" s="265"/>
      <c r="T96" s="265"/>
      <c r="U96" s="265"/>
      <c r="V96" s="265"/>
      <c r="W96" s="265"/>
    </row>
    <row r="97" spans="2:23" s="476" customFormat="1" x14ac:dyDescent="0.25">
      <c r="I97" s="273"/>
      <c r="J97" s="294"/>
      <c r="K97" s="309"/>
      <c r="L97" s="309"/>
      <c r="M97" s="309"/>
      <c r="N97" s="273"/>
      <c r="O97" s="294"/>
      <c r="P97" s="309"/>
      <c r="Q97" s="309"/>
      <c r="R97" s="294"/>
      <c r="S97" s="265"/>
      <c r="T97" s="265"/>
      <c r="U97" s="265"/>
      <c r="V97" s="265"/>
      <c r="W97" s="265"/>
    </row>
    <row r="98" spans="2:23" s="476" customFormat="1" x14ac:dyDescent="0.25">
      <c r="I98" s="520" t="s">
        <v>612</v>
      </c>
      <c r="J98" s="294"/>
      <c r="K98" s="309"/>
      <c r="L98" s="309"/>
      <c r="M98" s="309"/>
      <c r="N98" s="520" t="s">
        <v>612</v>
      </c>
      <c r="O98" s="294"/>
      <c r="P98" s="309"/>
      <c r="Q98" s="309"/>
      <c r="R98" s="294"/>
      <c r="S98" s="482" t="s">
        <v>722</v>
      </c>
      <c r="T98" s="265"/>
      <c r="U98" s="265"/>
      <c r="V98" s="265"/>
      <c r="W98" s="265"/>
    </row>
    <row r="99" spans="2:23" s="476" customFormat="1" x14ac:dyDescent="0.25">
      <c r="I99" s="314" t="s">
        <v>648</v>
      </c>
      <c r="J99" s="294"/>
      <c r="K99" s="315">
        <f>D20</f>
        <v>4895.7615000000005</v>
      </c>
      <c r="L99" s="315"/>
      <c r="M99" s="309"/>
      <c r="N99" s="314" t="s">
        <v>648</v>
      </c>
      <c r="O99" s="294"/>
      <c r="P99" s="294">
        <f>D20-K106</f>
        <v>4650.972778400057</v>
      </c>
      <c r="Q99" s="294"/>
      <c r="R99" s="309"/>
      <c r="S99" s="482" t="s">
        <v>724</v>
      </c>
      <c r="T99" s="265"/>
    </row>
    <row r="100" spans="2:23" s="476" customFormat="1" x14ac:dyDescent="0.25">
      <c r="I100" s="314" t="s">
        <v>649</v>
      </c>
      <c r="J100" s="294"/>
      <c r="K100" s="294">
        <f>+'MMW Output'!R39*K99</f>
        <v>7.9633513179501323</v>
      </c>
      <c r="L100" s="478"/>
      <c r="M100" s="309"/>
      <c r="N100" s="314" t="s">
        <v>649</v>
      </c>
      <c r="O100" s="294"/>
      <c r="P100" s="294">
        <f>K100-(K100*(1-(J102/100)))</f>
        <v>3.9816756589750661</v>
      </c>
      <c r="Q100" s="478"/>
      <c r="R100" s="294"/>
      <c r="S100" s="265"/>
      <c r="T100" s="265"/>
    </row>
    <row r="101" spans="2:23" s="476" customFormat="1" x14ac:dyDescent="0.25">
      <c r="I101" s="314" t="s">
        <v>650</v>
      </c>
      <c r="J101" s="294"/>
      <c r="K101" s="294">
        <f>+'MMW Output'!R40*K99</f>
        <v>4887.8110806809154</v>
      </c>
      <c r="L101" s="478"/>
      <c r="M101" s="309"/>
      <c r="N101" s="314" t="s">
        <v>650</v>
      </c>
      <c r="O101" s="294"/>
      <c r="P101" s="294">
        <f>K101-(K101*(1-(J103/100)))</f>
        <v>2443.9055403404577</v>
      </c>
      <c r="Q101" s="478"/>
      <c r="R101" s="294"/>
      <c r="S101" s="265"/>
      <c r="T101" s="473"/>
    </row>
    <row r="102" spans="2:23" s="476" customFormat="1" x14ac:dyDescent="0.25">
      <c r="I102" s="518" t="s">
        <v>622</v>
      </c>
      <c r="J102" s="630">
        <v>50</v>
      </c>
      <c r="K102" s="309"/>
      <c r="L102" s="309"/>
      <c r="M102" s="309"/>
      <c r="N102" s="521" t="s">
        <v>622</v>
      </c>
      <c r="O102" s="630">
        <v>25</v>
      </c>
      <c r="P102" s="309"/>
      <c r="Q102" s="309"/>
      <c r="R102" s="294"/>
      <c r="T102" s="473"/>
    </row>
    <row r="103" spans="2:23" s="476" customFormat="1" x14ac:dyDescent="0.25">
      <c r="I103" s="518" t="s">
        <v>623</v>
      </c>
      <c r="J103" s="630">
        <v>50</v>
      </c>
      <c r="K103" s="309"/>
      <c r="L103" s="309"/>
      <c r="M103" s="309"/>
      <c r="N103" s="521" t="s">
        <v>623</v>
      </c>
      <c r="O103" s="630">
        <v>35</v>
      </c>
      <c r="P103" s="309"/>
      <c r="Q103" s="309"/>
      <c r="R103" s="294"/>
      <c r="T103" s="265"/>
    </row>
    <row r="104" spans="2:23" x14ac:dyDescent="0.25">
      <c r="B104" s="265"/>
      <c r="C104" s="265"/>
      <c r="D104" s="265"/>
      <c r="E104" s="265"/>
      <c r="G104" s="265"/>
      <c r="I104" s="518" t="s">
        <v>562</v>
      </c>
      <c r="J104" s="294"/>
      <c r="K104" s="315">
        <v>0.1</v>
      </c>
      <c r="L104" s="309"/>
      <c r="M104" s="309"/>
      <c r="N104" s="521" t="s">
        <v>562</v>
      </c>
      <c r="O104" s="294"/>
      <c r="P104" s="315">
        <v>0.1</v>
      </c>
      <c r="Q104" s="309"/>
      <c r="R104" s="294"/>
      <c r="S104" s="473"/>
      <c r="T104" s="473"/>
      <c r="U104" s="476"/>
      <c r="V104" s="476"/>
      <c r="W104" s="476"/>
    </row>
    <row r="105" spans="2:23" x14ac:dyDescent="0.25">
      <c r="B105" s="265"/>
      <c r="C105" s="265"/>
      <c r="D105" s="265"/>
      <c r="E105" s="265"/>
      <c r="G105" s="265"/>
      <c r="I105" s="518" t="s">
        <v>563</v>
      </c>
      <c r="J105" s="294"/>
      <c r="K105" s="315">
        <v>0.1</v>
      </c>
      <c r="L105" s="309"/>
      <c r="M105" s="309"/>
      <c r="N105" s="521" t="s">
        <v>563</v>
      </c>
      <c r="O105" s="294"/>
      <c r="P105" s="315">
        <v>0.1</v>
      </c>
      <c r="Q105" s="309"/>
      <c r="R105" s="294"/>
      <c r="S105" s="473"/>
      <c r="U105" s="476"/>
      <c r="V105" s="476"/>
      <c r="W105" s="476"/>
    </row>
    <row r="106" spans="2:23" x14ac:dyDescent="0.25">
      <c r="B106" s="265"/>
      <c r="C106" s="265"/>
      <c r="D106" s="265"/>
      <c r="E106" s="265"/>
      <c r="G106" s="265"/>
      <c r="I106" s="273" t="s">
        <v>325</v>
      </c>
      <c r="J106" s="309">
        <v>0</v>
      </c>
      <c r="K106" s="309">
        <f>(K100*(J102/100)*K104)+(K101*(J103/100)*K105)</f>
        <v>244.78872159994327</v>
      </c>
      <c r="L106" s="309"/>
      <c r="M106" s="309"/>
      <c r="N106" s="273" t="s">
        <v>325</v>
      </c>
      <c r="O106" s="309">
        <v>0</v>
      </c>
      <c r="P106" s="309">
        <f>(P100*(O102/100)*P104)+(P101*(O103/100)*P105)</f>
        <v>85.636235803390392</v>
      </c>
      <c r="Q106" s="309"/>
      <c r="R106" s="294"/>
      <c r="U106" s="476"/>
      <c r="V106" s="476"/>
      <c r="W106" s="476"/>
    </row>
    <row r="107" spans="2:23" x14ac:dyDescent="0.25">
      <c r="B107" s="265"/>
      <c r="C107" s="265"/>
      <c r="D107" s="265"/>
      <c r="E107" s="265"/>
      <c r="G107" s="265"/>
      <c r="I107" s="273"/>
      <c r="J107" s="294"/>
      <c r="K107" s="309"/>
      <c r="L107" s="309"/>
      <c r="M107" s="309"/>
      <c r="N107" s="273"/>
      <c r="O107" s="294"/>
      <c r="P107" s="309"/>
      <c r="Q107" s="309"/>
      <c r="R107" s="294"/>
      <c r="S107" s="473"/>
      <c r="U107" s="476"/>
      <c r="V107" s="476"/>
      <c r="W107" s="476"/>
    </row>
    <row r="108" spans="2:23" x14ac:dyDescent="0.25">
      <c r="B108" s="265"/>
      <c r="C108" s="265"/>
      <c r="D108" s="265"/>
      <c r="E108" s="265"/>
      <c r="G108" s="265"/>
      <c r="I108" s="520" t="s">
        <v>613</v>
      </c>
      <c r="J108" s="294"/>
      <c r="K108" s="309"/>
      <c r="L108" s="309"/>
      <c r="M108" s="309"/>
      <c r="N108" s="520" t="s">
        <v>613</v>
      </c>
      <c r="O108" s="294"/>
      <c r="P108" s="309"/>
      <c r="Q108" s="309"/>
      <c r="R108" s="309"/>
      <c r="S108" s="482" t="s">
        <v>722</v>
      </c>
      <c r="U108" s="476"/>
      <c r="V108" s="476"/>
      <c r="W108" s="476"/>
    </row>
    <row r="109" spans="2:23" s="509" customFormat="1" x14ac:dyDescent="0.25">
      <c r="I109" s="314" t="s">
        <v>648</v>
      </c>
      <c r="J109" s="294"/>
      <c r="K109" s="315">
        <f>D20</f>
        <v>4895.7615000000005</v>
      </c>
      <c r="L109" s="315"/>
      <c r="M109" s="309"/>
      <c r="N109" s="314" t="s">
        <v>648</v>
      </c>
      <c r="O109" s="294"/>
      <c r="P109" s="315">
        <f>D20</f>
        <v>4895.7615000000005</v>
      </c>
      <c r="Q109" s="315"/>
      <c r="R109" s="309"/>
      <c r="S109" s="482" t="s">
        <v>573</v>
      </c>
    </row>
    <row r="110" spans="2:23" x14ac:dyDescent="0.25">
      <c r="B110" s="265"/>
      <c r="C110" s="265"/>
      <c r="D110" s="265"/>
      <c r="E110" s="265"/>
      <c r="G110" s="265"/>
      <c r="I110" s="314" t="s">
        <v>649</v>
      </c>
      <c r="J110" s="294"/>
      <c r="K110" s="294">
        <f>+'MMW Output'!R39*K109</f>
        <v>7.9633513179501323</v>
      </c>
      <c r="L110" s="478"/>
      <c r="M110" s="309"/>
      <c r="N110" s="314" t="s">
        <v>649</v>
      </c>
      <c r="O110" s="294"/>
      <c r="P110" s="294">
        <f>K110-(K110*(1-(J112/100)))</f>
        <v>2.3890053953850403</v>
      </c>
      <c r="Q110" s="478"/>
      <c r="R110" s="294"/>
      <c r="T110" s="476"/>
      <c r="U110" s="476"/>
      <c r="V110" s="476"/>
      <c r="W110" s="476"/>
    </row>
    <row r="111" spans="2:23" s="518" customFormat="1" x14ac:dyDescent="0.25">
      <c r="I111" s="314" t="s">
        <v>650</v>
      </c>
      <c r="J111" s="294"/>
      <c r="K111" s="294">
        <f>+'MMW Output'!R40*K109</f>
        <v>4887.8110806809154</v>
      </c>
      <c r="L111" s="478"/>
      <c r="M111" s="309"/>
      <c r="N111" s="314" t="s">
        <v>650</v>
      </c>
      <c r="O111" s="294"/>
      <c r="P111" s="294">
        <f>K111-(K111*(1-(J113/100)))</f>
        <v>1955.1244322723664</v>
      </c>
      <c r="Q111" s="478"/>
      <c r="R111" s="294"/>
    </row>
    <row r="112" spans="2:23" s="518" customFormat="1" x14ac:dyDescent="0.25">
      <c r="I112" s="519" t="s">
        <v>622</v>
      </c>
      <c r="J112" s="630">
        <v>30</v>
      </c>
      <c r="K112" s="309"/>
      <c r="L112" s="309"/>
      <c r="M112" s="309"/>
      <c r="N112" s="521" t="s">
        <v>622</v>
      </c>
      <c r="O112" s="630">
        <v>15</v>
      </c>
      <c r="P112" s="309"/>
      <c r="Q112" s="309"/>
      <c r="R112" s="294"/>
    </row>
    <row r="113" spans="9:19" s="518" customFormat="1" x14ac:dyDescent="0.25">
      <c r="I113" s="519" t="s">
        <v>623</v>
      </c>
      <c r="J113" s="630">
        <v>40</v>
      </c>
      <c r="K113" s="309"/>
      <c r="L113" s="309"/>
      <c r="M113" s="309"/>
      <c r="N113" s="521" t="s">
        <v>623</v>
      </c>
      <c r="O113" s="630">
        <v>30</v>
      </c>
      <c r="P113" s="309"/>
      <c r="Q113" s="309"/>
      <c r="R113" s="294"/>
    </row>
    <row r="114" spans="9:19" s="518" customFormat="1" x14ac:dyDescent="0.25">
      <c r="I114" s="519" t="s">
        <v>562</v>
      </c>
      <c r="J114" s="294"/>
      <c r="K114" s="315">
        <v>0.25</v>
      </c>
      <c r="L114" s="309"/>
      <c r="M114" s="309"/>
      <c r="N114" s="521" t="s">
        <v>562</v>
      </c>
      <c r="O114" s="294"/>
      <c r="P114" s="315">
        <v>0.25</v>
      </c>
      <c r="Q114" s="309"/>
      <c r="R114" s="294"/>
    </row>
    <row r="115" spans="9:19" s="518" customFormat="1" x14ac:dyDescent="0.25">
      <c r="I115" s="519" t="s">
        <v>563</v>
      </c>
      <c r="J115" s="294"/>
      <c r="K115" s="315">
        <v>0.25</v>
      </c>
      <c r="L115" s="309"/>
      <c r="M115" s="309"/>
      <c r="N115" s="521" t="s">
        <v>563</v>
      </c>
      <c r="O115" s="294"/>
      <c r="P115" s="315">
        <v>0.25</v>
      </c>
      <c r="Q115" s="309"/>
      <c r="R115" s="294"/>
    </row>
    <row r="116" spans="9:19" s="518" customFormat="1" x14ac:dyDescent="0.25">
      <c r="I116" s="273" t="s">
        <v>325</v>
      </c>
      <c r="J116" s="309">
        <v>0</v>
      </c>
      <c r="K116" s="309">
        <f>(K110*(J112/100)*K114)+(K111*(J113/100)*K115)</f>
        <v>489.37835941693783</v>
      </c>
      <c r="L116" s="309"/>
      <c r="M116" s="309"/>
      <c r="N116" s="273" t="s">
        <v>325</v>
      </c>
      <c r="O116" s="309">
        <v>0</v>
      </c>
      <c r="P116" s="309">
        <f>(P110*(O112/100)*P114)+(P111*(O113/100)*P115)</f>
        <v>146.72392012275444</v>
      </c>
      <c r="Q116" s="309"/>
      <c r="R116" s="294"/>
    </row>
    <row r="117" spans="9:19" s="518" customFormat="1" x14ac:dyDescent="0.25">
      <c r="I117" s="273"/>
      <c r="J117" s="294"/>
      <c r="K117" s="309"/>
      <c r="L117" s="309"/>
      <c r="M117" s="309"/>
      <c r="N117" s="273"/>
      <c r="O117" s="294"/>
      <c r="P117" s="309"/>
      <c r="Q117" s="309"/>
      <c r="R117" s="294"/>
    </row>
    <row r="118" spans="9:19" s="518" customFormat="1" x14ac:dyDescent="0.25">
      <c r="I118" s="520" t="s">
        <v>614</v>
      </c>
      <c r="J118" s="294"/>
      <c r="K118" s="309"/>
      <c r="L118" s="309"/>
      <c r="M118" s="309"/>
      <c r="N118" s="520" t="s">
        <v>614</v>
      </c>
      <c r="O118" s="294"/>
      <c r="P118" s="309"/>
      <c r="Q118" s="309"/>
      <c r="R118" s="294"/>
      <c r="S118" s="482" t="s">
        <v>722</v>
      </c>
    </row>
    <row r="119" spans="9:19" s="518" customFormat="1" x14ac:dyDescent="0.25">
      <c r="I119" s="314" t="s">
        <v>648</v>
      </c>
      <c r="J119" s="294"/>
      <c r="K119" s="315">
        <f>D20</f>
        <v>4895.7615000000005</v>
      </c>
      <c r="L119" s="315">
        <f>E20</f>
        <v>1294.1144999999999</v>
      </c>
      <c r="M119" s="309"/>
      <c r="N119" s="314" t="s">
        <v>648</v>
      </c>
      <c r="O119" s="294"/>
      <c r="P119" s="315">
        <f>D20-K126</f>
        <v>4185.7615000000005</v>
      </c>
      <c r="Q119" s="315">
        <f>E20-L126</f>
        <v>974.11449999999991</v>
      </c>
      <c r="R119" s="294"/>
      <c r="S119" s="482" t="s">
        <v>725</v>
      </c>
    </row>
    <row r="120" spans="9:19" s="518" customFormat="1" x14ac:dyDescent="0.25">
      <c r="I120" s="314" t="s">
        <v>649</v>
      </c>
      <c r="J120" s="294"/>
      <c r="K120" s="478">
        <f>+'MMW Output'!R39*K119</f>
        <v>7.9633513179501323</v>
      </c>
      <c r="L120" s="478">
        <f>+'MMW Output'!S39*L119</f>
        <v>2.7677906496175364</v>
      </c>
      <c r="M120" s="309"/>
      <c r="N120" s="314" t="s">
        <v>649</v>
      </c>
      <c r="O120" s="294"/>
      <c r="P120" s="478">
        <f>K120</f>
        <v>7.9633513179501323</v>
      </c>
      <c r="Q120" s="478">
        <f>L120</f>
        <v>2.7677906496175364</v>
      </c>
      <c r="R120" s="294"/>
    </row>
    <row r="121" spans="9:19" s="518" customFormat="1" x14ac:dyDescent="0.25">
      <c r="I121" s="314" t="s">
        <v>650</v>
      </c>
      <c r="J121" s="294"/>
      <c r="K121" s="478">
        <f>+'MMW Output'!R40*K119</f>
        <v>4887.8110806809154</v>
      </c>
      <c r="L121" s="478">
        <f>+'MMW Output'!S40*L119</f>
        <v>1291.352616336032</v>
      </c>
      <c r="M121" s="309"/>
      <c r="N121" s="314" t="s">
        <v>650</v>
      </c>
      <c r="O121" s="294"/>
      <c r="P121" s="478">
        <f>K121</f>
        <v>4887.8110806809154</v>
      </c>
      <c r="Q121" s="478">
        <f>L121</f>
        <v>1291.352616336032</v>
      </c>
      <c r="R121" s="294"/>
    </row>
    <row r="122" spans="9:19" s="518" customFormat="1" x14ac:dyDescent="0.25">
      <c r="I122" s="519" t="s">
        <v>615</v>
      </c>
      <c r="J122" s="630">
        <v>5</v>
      </c>
      <c r="K122" s="309"/>
      <c r="L122" s="309"/>
      <c r="M122" s="309"/>
      <c r="N122" s="521" t="s">
        <v>615</v>
      </c>
      <c r="O122" s="630">
        <v>5</v>
      </c>
      <c r="P122" s="309"/>
      <c r="Q122" s="309"/>
      <c r="R122" s="294"/>
    </row>
    <row r="123" spans="9:19" s="518" customFormat="1" x14ac:dyDescent="0.25">
      <c r="I123" s="519" t="s">
        <v>616</v>
      </c>
      <c r="J123" s="630">
        <v>10</v>
      </c>
      <c r="K123" s="309"/>
      <c r="L123" s="309"/>
      <c r="M123" s="309"/>
      <c r="N123" s="521" t="s">
        <v>616</v>
      </c>
      <c r="O123" s="630">
        <v>5</v>
      </c>
      <c r="P123" s="309"/>
      <c r="Q123" s="309"/>
      <c r="R123" s="294"/>
    </row>
    <row r="124" spans="9:19" s="518" customFormat="1" x14ac:dyDescent="0.25">
      <c r="I124" s="519" t="s">
        <v>624</v>
      </c>
      <c r="J124" s="294"/>
      <c r="K124" s="522">
        <v>3.3000000000000002E-2</v>
      </c>
      <c r="L124" s="522">
        <v>1.7999999999999999E-2</v>
      </c>
      <c r="M124" s="309"/>
      <c r="N124" s="521" t="s">
        <v>624</v>
      </c>
      <c r="O124" s="294"/>
      <c r="P124" s="522">
        <v>3.3000000000000002E-2</v>
      </c>
      <c r="Q124" s="522">
        <v>1.7999999999999999E-2</v>
      </c>
      <c r="R124" s="294"/>
    </row>
    <row r="125" spans="9:19" s="519" customFormat="1" x14ac:dyDescent="0.25">
      <c r="I125" s="521" t="s">
        <v>625</v>
      </c>
      <c r="J125" s="294"/>
      <c r="K125" s="522">
        <v>1.9E-2</v>
      </c>
      <c r="L125" s="522">
        <v>7.0000000000000001E-3</v>
      </c>
      <c r="M125" s="309"/>
      <c r="N125" s="521" t="s">
        <v>625</v>
      </c>
      <c r="O125" s="294"/>
      <c r="P125" s="522">
        <v>1.9E-2</v>
      </c>
      <c r="Q125" s="522">
        <v>7.0000000000000001E-3</v>
      </c>
      <c r="R125" s="294"/>
    </row>
    <row r="126" spans="9:19" s="519" customFormat="1" x14ac:dyDescent="0.25">
      <c r="I126" s="273" t="s">
        <v>325</v>
      </c>
      <c r="J126" s="309">
        <v>0</v>
      </c>
      <c r="K126" s="309">
        <f>(J122*2000*K124)+(J123*2000*K125)</f>
        <v>710</v>
      </c>
      <c r="L126" s="309">
        <f>(J122*2000*L124)+(J123*2000*L125)</f>
        <v>320</v>
      </c>
      <c r="M126" s="309"/>
      <c r="N126" s="273" t="s">
        <v>325</v>
      </c>
      <c r="O126" s="309">
        <v>0</v>
      </c>
      <c r="P126" s="309">
        <f>(O122*2000*P124)+(O123*2000*P125)</f>
        <v>520</v>
      </c>
      <c r="Q126" s="309">
        <f>(O122*2000*Q124)+(O123*2000*Q125)</f>
        <v>250</v>
      </c>
      <c r="R126" s="294"/>
    </row>
    <row r="127" spans="9:19" s="519" customFormat="1" x14ac:dyDescent="0.25">
      <c r="I127" s="265"/>
      <c r="J127" s="294"/>
      <c r="K127" s="294"/>
      <c r="L127" s="294"/>
      <c r="M127" s="294"/>
      <c r="N127" s="402"/>
      <c r="O127" s="294"/>
      <c r="P127" s="294"/>
      <c r="Q127" s="294"/>
      <c r="R127" s="294"/>
    </row>
    <row r="128" spans="9:19" s="518" customFormat="1" x14ac:dyDescent="0.25">
      <c r="I128" s="479" t="s">
        <v>502</v>
      </c>
      <c r="J128" s="294"/>
      <c r="K128" s="294"/>
      <c r="L128" s="294"/>
      <c r="M128" s="294"/>
      <c r="N128" s="479" t="s">
        <v>502</v>
      </c>
      <c r="O128" s="294"/>
      <c r="P128" s="294"/>
      <c r="Q128" s="294"/>
      <c r="R128" s="294"/>
      <c r="S128" s="641" t="s">
        <v>726</v>
      </c>
    </row>
    <row r="129" spans="9:19" s="518" customFormat="1" x14ac:dyDescent="0.25">
      <c r="I129" s="476" t="s">
        <v>322</v>
      </c>
      <c r="J129" s="294">
        <f>B5</f>
        <v>491.35802469135797</v>
      </c>
      <c r="K129" s="294"/>
      <c r="L129" s="294"/>
      <c r="M129" s="294"/>
      <c r="N129" s="476" t="s">
        <v>322</v>
      </c>
      <c r="O129" s="294">
        <f>B5-J130</f>
        <v>461.35802469135797</v>
      </c>
      <c r="P129" s="294"/>
      <c r="Q129" s="294"/>
      <c r="R129" s="294"/>
      <c r="S129" s="643" t="s">
        <v>706</v>
      </c>
    </row>
    <row r="130" spans="9:19" s="518" customFormat="1" x14ac:dyDescent="0.25">
      <c r="I130" s="476" t="s">
        <v>503</v>
      </c>
      <c r="J130" s="630">
        <v>30</v>
      </c>
      <c r="K130" s="294"/>
      <c r="L130" s="294"/>
      <c r="M130" s="294"/>
      <c r="N130" s="476" t="s">
        <v>503</v>
      </c>
      <c r="O130" s="630">
        <v>10</v>
      </c>
      <c r="P130" s="294"/>
      <c r="Q130" s="294"/>
      <c r="R130" s="294"/>
    </row>
    <row r="131" spans="9:19" s="518" customFormat="1" x14ac:dyDescent="0.25">
      <c r="I131" s="476" t="s">
        <v>324</v>
      </c>
      <c r="J131" s="294">
        <v>0.25</v>
      </c>
      <c r="K131" s="294">
        <v>0.08</v>
      </c>
      <c r="L131" s="294">
        <v>0.15</v>
      </c>
      <c r="M131" s="294"/>
      <c r="N131" s="476" t="s">
        <v>324</v>
      </c>
      <c r="O131" s="294">
        <v>0.25</v>
      </c>
      <c r="P131" s="294">
        <v>0.08</v>
      </c>
      <c r="Q131" s="294">
        <v>0.15</v>
      </c>
      <c r="R131" s="294"/>
    </row>
    <row r="132" spans="9:19" s="519" customFormat="1" x14ac:dyDescent="0.25">
      <c r="I132" s="273" t="s">
        <v>325</v>
      </c>
      <c r="J132" s="413">
        <f>(J130/B5)*G5*J131</f>
        <v>9659.1457557474896</v>
      </c>
      <c r="K132" s="413">
        <f>(J130/B5)*D5*K131</f>
        <v>15.646875015075381</v>
      </c>
      <c r="L132" s="413">
        <f>(J130/B5)*E5*L131</f>
        <v>7.6757518153266355</v>
      </c>
      <c r="M132" s="294"/>
      <c r="N132" s="273" t="s">
        <v>325</v>
      </c>
      <c r="O132" s="413">
        <f>(O130/B5)*G5*O131</f>
        <v>3219.7152519158299</v>
      </c>
      <c r="P132" s="413">
        <f>(O130/B5)*D5*P131</f>
        <v>5.2156250050251263</v>
      </c>
      <c r="Q132" s="413">
        <f>(O130/B5)*E5*Q131</f>
        <v>2.558583938442212</v>
      </c>
      <c r="R132" s="294"/>
    </row>
    <row r="133" spans="9:19" s="519" customFormat="1" x14ac:dyDescent="0.25">
      <c r="I133" s="476"/>
      <c r="J133" s="294"/>
      <c r="K133" s="294"/>
      <c r="L133" s="294"/>
      <c r="M133" s="294"/>
      <c r="N133" s="476"/>
      <c r="O133" s="294"/>
      <c r="P133" s="294"/>
      <c r="Q133" s="294"/>
      <c r="R133" s="294"/>
    </row>
    <row r="134" spans="9:19" s="519" customFormat="1" x14ac:dyDescent="0.25">
      <c r="I134" s="479" t="s">
        <v>510</v>
      </c>
      <c r="J134" s="294"/>
      <c r="K134" s="294"/>
      <c r="L134" s="294"/>
      <c r="M134" s="294"/>
      <c r="N134" s="479" t="s">
        <v>510</v>
      </c>
      <c r="O134" s="294"/>
      <c r="P134" s="294"/>
      <c r="Q134" s="294"/>
      <c r="R134" s="294"/>
    </row>
    <row r="135" spans="9:19" s="519" customFormat="1" x14ac:dyDescent="0.25">
      <c r="I135" s="476" t="s">
        <v>511</v>
      </c>
      <c r="J135" s="630">
        <v>1000</v>
      </c>
      <c r="K135" s="294"/>
      <c r="L135" s="294"/>
      <c r="M135" s="294"/>
      <c r="N135" s="476" t="s">
        <v>511</v>
      </c>
      <c r="O135" s="630">
        <v>1000</v>
      </c>
      <c r="P135" s="294"/>
      <c r="Q135" s="294"/>
      <c r="R135" s="294"/>
    </row>
    <row r="136" spans="9:19" s="519" customFormat="1" x14ac:dyDescent="0.25">
      <c r="I136" s="476" t="s">
        <v>324</v>
      </c>
      <c r="J136" s="294">
        <v>2.96</v>
      </c>
      <c r="K136" s="294">
        <v>0</v>
      </c>
      <c r="L136" s="484">
        <v>0</v>
      </c>
      <c r="M136" s="294"/>
      <c r="N136" s="476" t="s">
        <v>324</v>
      </c>
      <c r="O136" s="294">
        <v>2.96</v>
      </c>
      <c r="P136" s="294">
        <v>0</v>
      </c>
      <c r="Q136" s="484">
        <v>0</v>
      </c>
      <c r="R136" s="294"/>
    </row>
    <row r="137" spans="9:19" s="519" customFormat="1" x14ac:dyDescent="0.25">
      <c r="I137" s="273" t="s">
        <v>325</v>
      </c>
      <c r="J137" s="294">
        <f>J135*J136</f>
        <v>2960</v>
      </c>
      <c r="K137" s="294">
        <f>J135*K136</f>
        <v>0</v>
      </c>
      <c r="L137" s="294">
        <f>J135*L136</f>
        <v>0</v>
      </c>
      <c r="M137" s="294"/>
      <c r="N137" s="273" t="s">
        <v>325</v>
      </c>
      <c r="O137" s="294">
        <f>O135*O136</f>
        <v>2960</v>
      </c>
      <c r="P137" s="294">
        <f>O135*P136</f>
        <v>0</v>
      </c>
      <c r="Q137" s="294">
        <f>O135*Q136</f>
        <v>0</v>
      </c>
      <c r="R137" s="294"/>
    </row>
    <row r="138" spans="9:19" s="519" customFormat="1" x14ac:dyDescent="0.25">
      <c r="I138" s="476"/>
      <c r="J138" s="294"/>
      <c r="K138" s="294"/>
      <c r="L138" s="294"/>
      <c r="M138" s="294"/>
      <c r="N138" s="476"/>
      <c r="O138" s="294"/>
      <c r="P138" s="294"/>
      <c r="Q138" s="294"/>
      <c r="R138" s="294"/>
    </row>
    <row r="139" spans="9:19" s="637" customFormat="1" x14ac:dyDescent="0.25">
      <c r="I139" s="638" t="s">
        <v>705</v>
      </c>
      <c r="J139" s="639"/>
      <c r="K139" s="639"/>
      <c r="L139" s="639"/>
      <c r="M139" s="639"/>
      <c r="N139" s="638" t="s">
        <v>705</v>
      </c>
      <c r="O139" s="639"/>
      <c r="P139" s="639"/>
      <c r="Q139" s="639"/>
      <c r="R139" s="640"/>
      <c r="S139" s="641" t="s">
        <v>727</v>
      </c>
    </row>
    <row r="140" spans="9:19" s="637" customFormat="1" x14ac:dyDescent="0.25">
      <c r="I140" s="642" t="s">
        <v>322</v>
      </c>
      <c r="J140" s="640">
        <f>B5</f>
        <v>491.35802469135797</v>
      </c>
      <c r="K140" s="640"/>
      <c r="L140" s="640"/>
      <c r="M140" s="640"/>
      <c r="N140" s="642" t="s">
        <v>322</v>
      </c>
      <c r="O140" s="640">
        <f>B5-J141</f>
        <v>441.35802469135797</v>
      </c>
      <c r="P140" s="640"/>
      <c r="Q140" s="640"/>
      <c r="R140" s="640"/>
      <c r="S140" s="643" t="s">
        <v>727</v>
      </c>
    </row>
    <row r="141" spans="9:19" s="637" customFormat="1" x14ac:dyDescent="0.25">
      <c r="I141" s="642" t="s">
        <v>323</v>
      </c>
      <c r="J141" s="644">
        <v>50</v>
      </c>
      <c r="K141" s="640"/>
      <c r="L141" s="640"/>
      <c r="M141" s="640"/>
      <c r="N141" s="642" t="s">
        <v>323</v>
      </c>
      <c r="O141" s="644">
        <v>50</v>
      </c>
      <c r="P141" s="640"/>
      <c r="Q141" s="640"/>
      <c r="R141" s="640"/>
    </row>
    <row r="142" spans="9:19" s="637" customFormat="1" x14ac:dyDescent="0.25">
      <c r="I142" s="642" t="s">
        <v>324</v>
      </c>
      <c r="J142" s="640">
        <v>0.25</v>
      </c>
      <c r="K142" s="640">
        <v>0.08</v>
      </c>
      <c r="L142" s="640">
        <v>0.15</v>
      </c>
      <c r="M142" s="640"/>
      <c r="N142" s="642" t="s">
        <v>324</v>
      </c>
      <c r="O142" s="640">
        <v>0.25</v>
      </c>
      <c r="P142" s="640">
        <v>0.08</v>
      </c>
      <c r="Q142" s="640">
        <v>0.15</v>
      </c>
      <c r="R142" s="639"/>
    </row>
    <row r="143" spans="9:19" s="637" customFormat="1" x14ac:dyDescent="0.25">
      <c r="I143" s="643" t="s">
        <v>325</v>
      </c>
      <c r="J143" s="639">
        <f>(J141/B5)*J142*G5</f>
        <v>16098.576259579148</v>
      </c>
      <c r="K143" s="639">
        <f>(J141/B5)*K142*D5</f>
        <v>26.07812502512563</v>
      </c>
      <c r="L143" s="639">
        <f>(J141/B5)*L142*E5</f>
        <v>12.792919692211058</v>
      </c>
      <c r="M143" s="639"/>
      <c r="N143" s="643" t="s">
        <v>325</v>
      </c>
      <c r="O143" s="639">
        <f>(O141/B5)*O142*G5</f>
        <v>16098.576259579148</v>
      </c>
      <c r="P143" s="639">
        <f>(O141/B5)*P142*D5</f>
        <v>26.07812502512563</v>
      </c>
      <c r="Q143" s="639">
        <f>(O141/B5)*Q142*E5</f>
        <v>12.792919692211058</v>
      </c>
      <c r="R143" s="639"/>
    </row>
    <row r="144" spans="9:19" s="636" customFormat="1" x14ac:dyDescent="0.25">
      <c r="J144" s="294"/>
      <c r="K144" s="294"/>
      <c r="L144" s="294"/>
      <c r="M144" s="294"/>
      <c r="O144" s="294"/>
      <c r="P144" s="294"/>
      <c r="Q144" s="294"/>
      <c r="R144" s="294"/>
    </row>
    <row r="145" spans="2:23" s="519" customFormat="1" x14ac:dyDescent="0.25">
      <c r="I145" s="265"/>
      <c r="J145" s="294"/>
      <c r="K145" s="294"/>
      <c r="L145" s="294"/>
      <c r="M145" s="294"/>
      <c r="N145" s="402"/>
      <c r="O145" s="294"/>
      <c r="P145" s="294"/>
      <c r="Q145" s="294"/>
      <c r="R145" s="294"/>
    </row>
    <row r="146" spans="2:23" s="519" customFormat="1" x14ac:dyDescent="0.25">
      <c r="I146" s="316" t="s">
        <v>351</v>
      </c>
      <c r="J146" s="544">
        <f>J6+J12+J18+J24+J32+J40+J46+J51+J57+J65+J73+J86+J96+J132+J137+J143</f>
        <v>279082.97703451209</v>
      </c>
      <c r="K146" s="544">
        <f>K6+K12+K18+K24+K32+K40+K46+K51+K57+K65+K73+K86+K96+K132+K137+K143</f>
        <v>1841.6663892902957</v>
      </c>
      <c r="L146" s="544">
        <f>L6+L12+L18+L24+L32+L40+L46+L51+L57+L65+L73+L86+L96+L132+L137+L143</f>
        <v>699.23049570305011</v>
      </c>
      <c r="M146" s="320"/>
      <c r="N146" s="316" t="s">
        <v>351</v>
      </c>
      <c r="O146" s="544">
        <f>O6+O12+O18+O24+O32+O40+O46+O51+O57+O65+O73+O86+O96+O132+O137+O143</f>
        <v>236628.55069002323</v>
      </c>
      <c r="P146" s="544">
        <f>P6+P12+P18+P24+P32+P40+P46+P51+P57+P65+P73+P86+P96+P132+P137+P143</f>
        <v>1071.3981521245159</v>
      </c>
      <c r="Q146" s="544">
        <f>Q6+Q12+Q18+Q24+Q32+Q40+Q46+Q51+Q57+Q65+Q73+Q86+Q96+Q132+Q137+Q143</f>
        <v>416.95702204353199</v>
      </c>
      <c r="R146" s="294"/>
    </row>
    <row r="147" spans="2:23" x14ac:dyDescent="0.25">
      <c r="B147" s="265"/>
      <c r="C147" s="265"/>
      <c r="D147" s="265"/>
      <c r="E147" s="265"/>
      <c r="G147" s="265"/>
      <c r="I147" s="314" t="s">
        <v>652</v>
      </c>
      <c r="J147" s="545">
        <f>G26</f>
        <v>54905878.566</v>
      </c>
      <c r="K147" s="545">
        <f>D26</f>
        <v>321753.82049999997</v>
      </c>
      <c r="L147" s="545">
        <f>E26</f>
        <v>87800.013000000006</v>
      </c>
      <c r="M147" s="320"/>
      <c r="N147" s="314" t="s">
        <v>652</v>
      </c>
      <c r="O147" s="545">
        <f>G26</f>
        <v>54905878.566</v>
      </c>
      <c r="P147" s="545">
        <f>D26</f>
        <v>321753.82049999997</v>
      </c>
      <c r="Q147" s="545">
        <f>E26</f>
        <v>87800.013000000006</v>
      </c>
      <c r="R147" s="294"/>
      <c r="T147" s="476"/>
    </row>
    <row r="148" spans="2:23" x14ac:dyDescent="0.25">
      <c r="B148" s="265"/>
      <c r="C148" s="265"/>
      <c r="D148" s="265"/>
      <c r="E148" s="265"/>
      <c r="G148" s="265"/>
      <c r="I148" s="410" t="s">
        <v>695</v>
      </c>
      <c r="J148" s="410">
        <f>J146/G26*100</f>
        <v>0.50829343655623038</v>
      </c>
      <c r="K148" s="410">
        <f>K146/D26*100</f>
        <v>0.57238368962593122</v>
      </c>
      <c r="L148" s="410">
        <f>L146/E26*100</f>
        <v>0.79638996830564257</v>
      </c>
      <c r="M148" s="321"/>
      <c r="N148" s="410" t="s">
        <v>695</v>
      </c>
      <c r="O148" s="410">
        <f>O146/G26*100</f>
        <v>0.43097124910874929</v>
      </c>
      <c r="P148" s="410">
        <f>P146/D26*100</f>
        <v>0.3329869247425194</v>
      </c>
      <c r="Q148" s="410">
        <f>Q146/E26*100</f>
        <v>0.47489403224066945</v>
      </c>
      <c r="R148" s="294"/>
      <c r="S148" s="482" t="s">
        <v>727</v>
      </c>
      <c r="T148" s="476"/>
    </row>
    <row r="149" spans="2:23" x14ac:dyDescent="0.25">
      <c r="B149" s="265"/>
      <c r="C149" s="265"/>
      <c r="D149" s="265"/>
      <c r="E149" s="265"/>
      <c r="G149" s="265"/>
      <c r="R149" s="294"/>
      <c r="S149" s="476"/>
      <c r="T149" s="476"/>
    </row>
    <row r="150" spans="2:23" x14ac:dyDescent="0.25">
      <c r="B150" s="265"/>
      <c r="C150" s="265"/>
      <c r="D150" s="265"/>
      <c r="E150" s="265"/>
      <c r="G150" s="265"/>
      <c r="R150" s="294"/>
      <c r="S150" s="476"/>
      <c r="T150" s="476"/>
    </row>
    <row r="151" spans="2:23" s="480" customFormat="1" x14ac:dyDescent="0.25">
      <c r="I151" s="512"/>
      <c r="J151" s="316"/>
      <c r="K151" s="316"/>
      <c r="L151" s="316"/>
      <c r="M151" s="316"/>
      <c r="N151" s="316"/>
      <c r="O151" s="316"/>
      <c r="P151" s="316"/>
      <c r="Q151" s="316"/>
      <c r="R151" s="294"/>
      <c r="S151" s="476"/>
      <c r="T151" s="476"/>
      <c r="U151" s="265"/>
      <c r="V151" s="265"/>
      <c r="W151" s="265"/>
    </row>
    <row r="152" spans="2:23" s="480" customFormat="1" x14ac:dyDescent="0.25">
      <c r="I152" s="512"/>
      <c r="J152" s="316"/>
      <c r="K152" s="316"/>
      <c r="L152" s="316"/>
      <c r="M152" s="316"/>
      <c r="N152" s="316"/>
      <c r="O152" s="316"/>
      <c r="P152" s="316"/>
      <c r="Q152" s="316"/>
      <c r="R152" s="294"/>
      <c r="S152" s="476"/>
      <c r="T152" s="476"/>
      <c r="U152" s="265"/>
      <c r="V152" s="265"/>
      <c r="W152" s="265"/>
    </row>
    <row r="153" spans="2:23" s="480" customFormat="1" x14ac:dyDescent="0.25">
      <c r="I153" s="511" t="s">
        <v>560</v>
      </c>
      <c r="J153" s="316"/>
      <c r="K153" s="316"/>
      <c r="L153" s="316"/>
      <c r="M153" s="316"/>
      <c r="N153" s="402"/>
      <c r="O153" s="402"/>
      <c r="P153" s="316"/>
      <c r="Q153" s="316"/>
      <c r="R153" s="294"/>
      <c r="S153" s="476"/>
      <c r="T153" s="476"/>
      <c r="U153" s="265"/>
      <c r="V153" s="265"/>
      <c r="W153" s="265"/>
    </row>
    <row r="154" spans="2:23" x14ac:dyDescent="0.25">
      <c r="B154" s="265"/>
      <c r="C154" s="265"/>
      <c r="D154" s="265"/>
      <c r="E154" s="265"/>
      <c r="G154" s="265"/>
      <c r="I154" s="316"/>
      <c r="J154" s="316"/>
      <c r="K154" s="316"/>
      <c r="L154" s="316"/>
      <c r="M154" s="316"/>
      <c r="P154" s="316"/>
      <c r="Q154" s="316"/>
      <c r="R154" s="294"/>
      <c r="S154" s="476"/>
      <c r="T154" s="476"/>
    </row>
    <row r="155" spans="2:23" s="480" customFormat="1" x14ac:dyDescent="0.25">
      <c r="I155" s="513" t="s">
        <v>653</v>
      </c>
      <c r="J155" s="402"/>
      <c r="K155" s="265"/>
      <c r="L155" s="265"/>
      <c r="M155" s="402"/>
      <c r="N155" s="402"/>
      <c r="O155" s="402"/>
      <c r="P155" s="402"/>
      <c r="Q155" s="402"/>
      <c r="R155" s="294"/>
      <c r="S155" s="476"/>
      <c r="T155" s="476"/>
      <c r="U155" s="265"/>
      <c r="V155" s="265"/>
      <c r="W155" s="265"/>
    </row>
    <row r="156" spans="2:23" x14ac:dyDescent="0.25">
      <c r="B156" s="265"/>
      <c r="C156" s="265"/>
      <c r="D156" s="265"/>
      <c r="E156" s="265"/>
      <c r="G156" s="265"/>
      <c r="I156" s="322"/>
      <c r="J156" s="322"/>
      <c r="K156" s="322"/>
      <c r="L156" s="322"/>
      <c r="M156" s="322"/>
      <c r="P156" s="322"/>
      <c r="Q156" s="322"/>
      <c r="R156" s="294"/>
      <c r="S156" s="476"/>
      <c r="U156" s="480"/>
      <c r="V156" s="480"/>
      <c r="W156" s="480"/>
    </row>
    <row r="157" spans="2:23" x14ac:dyDescent="0.25">
      <c r="B157" s="265"/>
      <c r="C157" s="265"/>
      <c r="D157" s="265"/>
      <c r="E157" s="265"/>
      <c r="G157" s="265"/>
      <c r="I157" s="483">
        <f>B5</f>
        <v>491.35802469135797</v>
      </c>
      <c r="J157" s="483" t="s">
        <v>707</v>
      </c>
      <c r="K157" s="481"/>
      <c r="L157" s="481"/>
      <c r="M157" s="481"/>
      <c r="P157" s="481"/>
      <c r="Q157" s="481"/>
      <c r="R157" s="294"/>
      <c r="S157" s="476"/>
      <c r="U157" s="480"/>
      <c r="V157" s="480"/>
      <c r="W157" s="480"/>
    </row>
    <row r="158" spans="2:23" x14ac:dyDescent="0.25">
      <c r="B158" s="265"/>
      <c r="C158" s="265"/>
      <c r="D158" s="265"/>
      <c r="E158" s="265"/>
      <c r="G158" s="265"/>
      <c r="I158" s="483">
        <f>(J4+O4)+(J10+O10)+(J16+O16)+(J22+O22)+(J50+O50)+(J130+O130)+(J141+O141)</f>
        <v>550</v>
      </c>
      <c r="J158" s="483" t="s">
        <v>508</v>
      </c>
      <c r="K158" s="480"/>
      <c r="L158" s="480"/>
      <c r="M158" s="480"/>
      <c r="P158" s="480"/>
      <c r="Q158" s="480"/>
      <c r="R158" s="294"/>
      <c r="S158" s="476"/>
      <c r="U158" s="480"/>
      <c r="V158" s="480"/>
      <c r="W158" s="480"/>
    </row>
    <row r="159" spans="2:23" x14ac:dyDescent="0.25">
      <c r="B159" s="265"/>
      <c r="C159" s="265"/>
      <c r="D159" s="265"/>
      <c r="E159" s="265"/>
      <c r="G159" s="265"/>
      <c r="I159" s="482">
        <f>I157-I158</f>
        <v>-58.641975308642031</v>
      </c>
      <c r="J159" s="483" t="s">
        <v>505</v>
      </c>
      <c r="K159" s="480"/>
      <c r="L159" s="480"/>
      <c r="M159" s="480"/>
      <c r="P159" s="480"/>
      <c r="Q159" s="480"/>
      <c r="R159" s="320"/>
    </row>
    <row r="160" spans="2:23" x14ac:dyDescent="0.25">
      <c r="B160" s="265"/>
      <c r="C160" s="265"/>
      <c r="D160" s="265"/>
      <c r="E160" s="265"/>
      <c r="G160" s="265"/>
      <c r="I160" s="314"/>
      <c r="J160" s="314"/>
      <c r="R160" s="321"/>
      <c r="U160" s="480"/>
      <c r="V160" s="480"/>
      <c r="W160" s="480"/>
    </row>
    <row r="161" spans="2:23" s="534" customFormat="1" x14ac:dyDescent="0.25">
      <c r="I161" s="483">
        <f>B5-(J50+O50)</f>
        <v>471.35802469135797</v>
      </c>
      <c r="J161" s="483" t="s">
        <v>728</v>
      </c>
      <c r="K161" s="480"/>
      <c r="L161" s="480"/>
      <c r="M161" s="480"/>
      <c r="N161" s="402"/>
      <c r="O161" s="402"/>
      <c r="P161" s="480"/>
      <c r="Q161" s="480"/>
      <c r="R161" s="321"/>
      <c r="U161" s="480"/>
      <c r="V161" s="480"/>
      <c r="W161" s="480"/>
    </row>
    <row r="162" spans="2:23" x14ac:dyDescent="0.25">
      <c r="B162" s="265"/>
      <c r="C162" s="265"/>
      <c r="D162" s="265"/>
      <c r="E162" s="265"/>
      <c r="G162" s="265"/>
      <c r="I162" s="483">
        <f>J78+O78</f>
        <v>400</v>
      </c>
      <c r="J162" s="483" t="s">
        <v>507</v>
      </c>
      <c r="K162" s="480"/>
      <c r="L162" s="480"/>
      <c r="M162" s="480"/>
      <c r="P162" s="480"/>
      <c r="Q162" s="480"/>
      <c r="U162" s="480"/>
      <c r="V162" s="480"/>
      <c r="W162" s="480"/>
    </row>
    <row r="163" spans="2:23" x14ac:dyDescent="0.25">
      <c r="B163" s="265"/>
      <c r="C163" s="265"/>
      <c r="D163" s="265"/>
      <c r="E163" s="265"/>
      <c r="G163" s="265"/>
      <c r="I163" s="273">
        <f>I161-I162</f>
        <v>71.358024691357969</v>
      </c>
      <c r="J163" s="483" t="s">
        <v>509</v>
      </c>
    </row>
    <row r="164" spans="2:23" x14ac:dyDescent="0.25">
      <c r="B164" s="265"/>
      <c r="C164" s="265"/>
      <c r="D164" s="265"/>
      <c r="E164" s="265"/>
      <c r="G164" s="265"/>
      <c r="I164" s="402"/>
      <c r="J164" s="402"/>
    </row>
    <row r="165" spans="2:23" x14ac:dyDescent="0.25">
      <c r="B165" s="265"/>
      <c r="C165" s="265"/>
      <c r="D165" s="265"/>
      <c r="E165" s="265"/>
      <c r="G165" s="265"/>
      <c r="I165" s="513" t="s">
        <v>564</v>
      </c>
      <c r="J165" s="402"/>
      <c r="R165" s="316"/>
    </row>
    <row r="166" spans="2:23" s="509" customFormat="1" x14ac:dyDescent="0.25">
      <c r="I166" s="402"/>
      <c r="J166" s="402"/>
      <c r="K166" s="265"/>
      <c r="L166" s="265"/>
      <c r="M166" s="402"/>
      <c r="N166" s="402"/>
      <c r="O166" s="402"/>
      <c r="P166" s="402"/>
      <c r="Q166" s="402"/>
      <c r="R166" s="316"/>
    </row>
    <row r="167" spans="2:23" x14ac:dyDescent="0.25">
      <c r="B167" s="265"/>
      <c r="C167" s="265"/>
      <c r="D167" s="265"/>
      <c r="E167" s="265"/>
      <c r="G167" s="265"/>
      <c r="I167" s="402">
        <f>B5</f>
        <v>491.35802469135797</v>
      </c>
      <c r="J167" s="480" t="s">
        <v>574</v>
      </c>
      <c r="R167" s="316"/>
    </row>
    <row r="168" spans="2:23" x14ac:dyDescent="0.25">
      <c r="B168" s="265"/>
      <c r="C168" s="265"/>
      <c r="D168" s="265"/>
      <c r="E168" s="265"/>
      <c r="G168" s="265"/>
      <c r="I168" s="402">
        <f>(J29+O29)+(J30+O30)+(J37+O37)+(J38+O38)</f>
        <v>46.8</v>
      </c>
      <c r="J168" s="480" t="s">
        <v>575</v>
      </c>
      <c r="R168" s="316"/>
      <c r="T168" s="480"/>
    </row>
    <row r="169" spans="2:23" x14ac:dyDescent="0.25">
      <c r="B169" s="265"/>
      <c r="C169" s="265"/>
      <c r="D169" s="265"/>
      <c r="E169" s="265"/>
      <c r="G169" s="265"/>
      <c r="I169" s="273">
        <f>I167-I168</f>
        <v>444.55802469135796</v>
      </c>
      <c r="J169" s="480" t="s">
        <v>576</v>
      </c>
      <c r="T169" s="480"/>
    </row>
    <row r="170" spans="2:23" x14ac:dyDescent="0.25">
      <c r="I170" s="273"/>
      <c r="J170" s="514"/>
      <c r="K170" s="514"/>
      <c r="L170" s="514"/>
      <c r="M170" s="514"/>
      <c r="N170" s="514"/>
      <c r="O170" s="514"/>
      <c r="P170" s="514"/>
      <c r="Q170" s="514"/>
      <c r="R170" s="322"/>
      <c r="T170" s="480"/>
    </row>
    <row r="171" spans="2:23" x14ac:dyDescent="0.25">
      <c r="I171" s="513" t="s">
        <v>579</v>
      </c>
      <c r="J171" s="514"/>
      <c r="K171" s="514"/>
      <c r="L171" s="514"/>
      <c r="M171" s="514"/>
      <c r="N171" s="514"/>
      <c r="O171" s="514"/>
      <c r="P171" s="514"/>
      <c r="Q171" s="514"/>
      <c r="R171" s="481"/>
      <c r="S171" s="480"/>
    </row>
    <row r="172" spans="2:23" x14ac:dyDescent="0.25">
      <c r="I172" s="402"/>
      <c r="J172" s="402"/>
      <c r="R172" s="480"/>
      <c r="S172" s="480"/>
      <c r="T172" s="480"/>
    </row>
    <row r="173" spans="2:23" x14ac:dyDescent="0.25">
      <c r="B173" s="265"/>
      <c r="C173" s="265"/>
      <c r="D173" s="265"/>
      <c r="E173" s="265"/>
      <c r="G173" s="265"/>
      <c r="I173" s="402">
        <f>B4</f>
        <v>1666.6666666666665</v>
      </c>
      <c r="J173" s="480" t="s">
        <v>577</v>
      </c>
      <c r="R173" s="480"/>
      <c r="S173" s="480"/>
      <c r="T173" s="480"/>
    </row>
    <row r="174" spans="2:23" x14ac:dyDescent="0.25">
      <c r="B174" s="265"/>
      <c r="C174" s="265"/>
      <c r="D174" s="265"/>
      <c r="E174" s="265"/>
      <c r="G174" s="265"/>
      <c r="I174" s="402">
        <f>(J62+O62)+(J63+O63)+(J70+O70)+(J71+O71)</f>
        <v>21.599999999999998</v>
      </c>
      <c r="J174" s="480" t="s">
        <v>729</v>
      </c>
    </row>
    <row r="175" spans="2:23" x14ac:dyDescent="0.25">
      <c r="B175" s="265"/>
      <c r="C175" s="265"/>
      <c r="D175" s="265"/>
      <c r="E175" s="265"/>
      <c r="G175" s="265"/>
      <c r="I175" s="273">
        <f>I173-I174</f>
        <v>1645.0666666666666</v>
      </c>
      <c r="J175" s="480" t="s">
        <v>578</v>
      </c>
      <c r="R175" s="480"/>
      <c r="S175" s="480"/>
    </row>
    <row r="176" spans="2:23" x14ac:dyDescent="0.25">
      <c r="R176" s="480"/>
      <c r="S176" s="480"/>
    </row>
    <row r="177" spans="2:17" x14ac:dyDescent="0.25">
      <c r="I177" s="513" t="s">
        <v>617</v>
      </c>
    </row>
    <row r="178" spans="2:17" x14ac:dyDescent="0.25">
      <c r="I178" s="514"/>
    </row>
    <row r="179" spans="2:17" x14ac:dyDescent="0.25">
      <c r="I179" s="448">
        <f>D20</f>
        <v>4895.7615000000005</v>
      </c>
      <c r="J179" s="480" t="s">
        <v>618</v>
      </c>
    </row>
    <row r="180" spans="2:17" x14ac:dyDescent="0.25">
      <c r="I180" s="448">
        <f>K96+K106+K116+K126+P96+P106+P116+P126</f>
        <v>3663.3165088211053</v>
      </c>
      <c r="J180" s="480" t="s">
        <v>651</v>
      </c>
    </row>
    <row r="181" spans="2:17" x14ac:dyDescent="0.25">
      <c r="I181" s="515">
        <f>I179-I180</f>
        <v>1232.4449911788952</v>
      </c>
      <c r="J181" s="480" t="s">
        <v>621</v>
      </c>
    </row>
    <row r="182" spans="2:17" x14ac:dyDescent="0.25">
      <c r="I182" s="448">
        <f>E20</f>
        <v>1294.1144999999999</v>
      </c>
      <c r="J182" s="480" t="s">
        <v>619</v>
      </c>
    </row>
    <row r="183" spans="2:17" x14ac:dyDescent="0.25">
      <c r="I183" s="448">
        <f>L96+L106+L116+L126+Q96+Q106+Q116+Q126</f>
        <v>957.56078117718823</v>
      </c>
      <c r="J183" s="480" t="s">
        <v>620</v>
      </c>
    </row>
    <row r="184" spans="2:17" s="514" customFormat="1" x14ac:dyDescent="0.25">
      <c r="B184" s="266"/>
      <c r="C184" s="266"/>
      <c r="D184" s="266"/>
      <c r="E184" s="266"/>
      <c r="G184" s="266"/>
      <c r="I184" s="515">
        <f>I182-I183</f>
        <v>336.55371882281167</v>
      </c>
      <c r="J184" s="480" t="s">
        <v>621</v>
      </c>
      <c r="K184" s="265"/>
      <c r="L184" s="265"/>
      <c r="M184" s="402"/>
      <c r="N184" s="402"/>
      <c r="O184" s="402"/>
      <c r="P184" s="402"/>
      <c r="Q184" s="402"/>
    </row>
    <row r="185" spans="2:17" s="514" customFormat="1" x14ac:dyDescent="0.25">
      <c r="B185" s="266"/>
      <c r="C185" s="266"/>
      <c r="D185" s="266"/>
      <c r="E185" s="266"/>
      <c r="G185" s="266"/>
      <c r="I185" s="448"/>
      <c r="J185" s="480"/>
      <c r="K185" s="265"/>
      <c r="L185" s="265"/>
      <c r="M185" s="402"/>
      <c r="N185" s="402"/>
      <c r="O185" s="402"/>
      <c r="P185" s="402"/>
      <c r="Q185" s="402"/>
    </row>
    <row r="186" spans="2:17" x14ac:dyDescent="0.25">
      <c r="I186" s="448"/>
      <c r="J186" s="480"/>
    </row>
    <row r="187" spans="2:17" x14ac:dyDescent="0.25">
      <c r="B187" s="265"/>
      <c r="C187" s="265"/>
      <c r="D187" s="265"/>
      <c r="E187" s="265"/>
      <c r="G187" s="265"/>
      <c r="I187" s="515"/>
      <c r="J187" s="480"/>
    </row>
    <row r="188" spans="2:17" x14ac:dyDescent="0.25">
      <c r="B188" s="265"/>
      <c r="C188" s="265"/>
      <c r="D188" s="265"/>
      <c r="E188" s="265"/>
      <c r="G188" s="265"/>
      <c r="I188" s="448"/>
      <c r="J188" s="480"/>
    </row>
    <row r="189" spans="2:17" x14ac:dyDescent="0.25">
      <c r="B189" s="265"/>
      <c r="C189" s="265"/>
      <c r="D189" s="265"/>
      <c r="E189" s="265"/>
      <c r="G189" s="265"/>
      <c r="I189" s="448"/>
      <c r="J189" s="480"/>
    </row>
    <row r="190" spans="2:17" x14ac:dyDescent="0.25">
      <c r="B190" s="265"/>
      <c r="C190" s="265"/>
      <c r="D190" s="265"/>
      <c r="E190" s="265"/>
      <c r="G190" s="265"/>
      <c r="I190" s="515"/>
      <c r="J190" s="480"/>
    </row>
    <row r="191" spans="2:17" x14ac:dyDescent="0.25">
      <c r="B191" s="265"/>
      <c r="C191" s="265"/>
      <c r="D191" s="265"/>
      <c r="E191" s="265"/>
      <c r="G191" s="265"/>
    </row>
    <row r="192" spans="2:17" x14ac:dyDescent="0.25">
      <c r="B192" s="265"/>
      <c r="C192" s="265"/>
      <c r="D192" s="265"/>
      <c r="E192" s="265"/>
      <c r="G192" s="265"/>
    </row>
    <row r="193" spans="2:7" x14ac:dyDescent="0.25">
      <c r="B193" s="265"/>
      <c r="C193" s="265"/>
      <c r="D193" s="265"/>
      <c r="E193" s="265"/>
      <c r="G193" s="265"/>
    </row>
    <row r="194" spans="2:7" x14ac:dyDescent="0.25">
      <c r="B194" s="265"/>
      <c r="C194" s="265"/>
      <c r="D194" s="265"/>
      <c r="E194" s="265"/>
      <c r="G194" s="265"/>
    </row>
    <row r="195" spans="2:7" x14ac:dyDescent="0.25">
      <c r="B195" s="265"/>
      <c r="C195" s="265"/>
      <c r="D195" s="265"/>
      <c r="E195" s="265"/>
      <c r="G195" s="265"/>
    </row>
    <row r="196" spans="2:7" x14ac:dyDescent="0.25">
      <c r="B196" s="265"/>
      <c r="C196" s="265"/>
      <c r="D196" s="265"/>
      <c r="E196" s="265"/>
      <c r="G196" s="265"/>
    </row>
    <row r="197" spans="2:7" x14ac:dyDescent="0.25">
      <c r="B197" s="265"/>
      <c r="C197" s="265"/>
      <c r="D197" s="265"/>
      <c r="E197" s="265"/>
      <c r="G197" s="265"/>
    </row>
    <row r="198" spans="2:7" x14ac:dyDescent="0.25">
      <c r="B198" s="265"/>
      <c r="C198" s="265"/>
      <c r="D198" s="265"/>
      <c r="E198" s="265"/>
      <c r="G198" s="265"/>
    </row>
    <row r="199" spans="2:7" x14ac:dyDescent="0.25">
      <c r="B199" s="265"/>
      <c r="C199" s="265"/>
      <c r="D199" s="265"/>
      <c r="E199" s="265"/>
      <c r="G199" s="265"/>
    </row>
    <row r="200" spans="2:7" x14ac:dyDescent="0.25">
      <c r="B200" s="265"/>
      <c r="C200" s="265"/>
      <c r="D200" s="265"/>
      <c r="E200" s="265"/>
      <c r="G200" s="265"/>
    </row>
    <row r="201" spans="2:7" x14ac:dyDescent="0.25">
      <c r="B201" s="265"/>
      <c r="C201" s="265"/>
      <c r="D201" s="265"/>
      <c r="E201" s="265"/>
      <c r="G201" s="265"/>
    </row>
    <row r="202" spans="2:7" x14ac:dyDescent="0.25">
      <c r="B202" s="265"/>
      <c r="C202" s="265"/>
      <c r="D202" s="265"/>
      <c r="E202" s="265"/>
      <c r="G202" s="265"/>
    </row>
    <row r="203" spans="2:7" x14ac:dyDescent="0.25">
      <c r="B203" s="265"/>
      <c r="C203" s="265"/>
      <c r="D203" s="265"/>
      <c r="E203" s="265"/>
      <c r="G203" s="265"/>
    </row>
    <row r="204" spans="2:7" x14ac:dyDescent="0.25">
      <c r="B204" s="265"/>
      <c r="C204" s="265"/>
      <c r="D204" s="265"/>
      <c r="E204" s="265"/>
      <c r="G204" s="265"/>
    </row>
    <row r="205" spans="2:7" x14ac:dyDescent="0.25">
      <c r="B205" s="265"/>
      <c r="C205" s="265"/>
      <c r="D205" s="265"/>
      <c r="E205" s="265"/>
      <c r="G205" s="265"/>
    </row>
    <row r="206" spans="2:7" x14ac:dyDescent="0.25">
      <c r="B206" s="265"/>
      <c r="C206" s="265"/>
      <c r="D206" s="265"/>
      <c r="E206" s="265"/>
      <c r="G206" s="265"/>
    </row>
    <row r="207" spans="2:7" x14ac:dyDescent="0.25">
      <c r="B207" s="265"/>
      <c r="C207" s="265"/>
      <c r="D207" s="265"/>
      <c r="E207" s="265"/>
      <c r="G207" s="265"/>
    </row>
    <row r="208" spans="2:7" x14ac:dyDescent="0.25">
      <c r="B208" s="265"/>
      <c r="C208" s="265"/>
      <c r="D208" s="265"/>
      <c r="E208" s="265"/>
      <c r="G208" s="265"/>
    </row>
    <row r="209" spans="2:7" x14ac:dyDescent="0.25">
      <c r="B209" s="265"/>
      <c r="C209" s="265"/>
      <c r="D209" s="265"/>
      <c r="E209" s="265"/>
      <c r="G209" s="265"/>
    </row>
    <row r="210" spans="2:7" x14ac:dyDescent="0.25">
      <c r="B210" s="265"/>
      <c r="C210" s="265"/>
      <c r="D210" s="265"/>
      <c r="E210" s="265"/>
      <c r="G210" s="265"/>
    </row>
    <row r="211" spans="2:7" x14ac:dyDescent="0.25">
      <c r="B211" s="265"/>
      <c r="C211" s="265"/>
      <c r="D211" s="265"/>
      <c r="E211" s="265"/>
      <c r="G211" s="265"/>
    </row>
    <row r="212" spans="2:7" x14ac:dyDescent="0.25">
      <c r="B212" s="265"/>
      <c r="C212" s="265"/>
      <c r="D212" s="265"/>
      <c r="E212" s="265"/>
      <c r="G212" s="265"/>
    </row>
    <row r="213" spans="2:7" x14ac:dyDescent="0.25">
      <c r="B213" s="265"/>
      <c r="C213" s="265"/>
      <c r="D213" s="265"/>
      <c r="E213" s="265"/>
      <c r="G213" s="265"/>
    </row>
    <row r="214" spans="2:7" x14ac:dyDescent="0.25">
      <c r="B214" s="265"/>
      <c r="C214" s="265"/>
      <c r="D214" s="265"/>
      <c r="E214" s="265"/>
      <c r="G214" s="265"/>
    </row>
    <row r="215" spans="2:7" x14ac:dyDescent="0.25">
      <c r="B215" s="265"/>
      <c r="C215" s="265"/>
      <c r="D215" s="265"/>
      <c r="E215" s="265"/>
      <c r="G215" s="265"/>
    </row>
    <row r="216" spans="2:7" x14ac:dyDescent="0.25">
      <c r="B216" s="265"/>
      <c r="C216" s="265"/>
      <c r="D216" s="265"/>
      <c r="E216" s="265"/>
      <c r="G216" s="265"/>
    </row>
    <row r="217" spans="2:7" x14ac:dyDescent="0.25">
      <c r="B217" s="265"/>
      <c r="C217" s="265"/>
      <c r="D217" s="265"/>
      <c r="E217" s="265"/>
      <c r="G217" s="265"/>
    </row>
    <row r="218" spans="2:7" x14ac:dyDescent="0.25">
      <c r="B218" s="265"/>
      <c r="C218" s="265"/>
      <c r="D218" s="265"/>
      <c r="E218" s="265"/>
      <c r="G218" s="265"/>
    </row>
    <row r="219" spans="2:7" x14ac:dyDescent="0.25">
      <c r="B219" s="265"/>
      <c r="C219" s="265"/>
      <c r="D219" s="265"/>
      <c r="E219" s="265"/>
      <c r="G219" s="265"/>
    </row>
    <row r="220" spans="2:7" x14ac:dyDescent="0.25">
      <c r="B220" s="265"/>
      <c r="C220" s="265"/>
      <c r="D220" s="265"/>
      <c r="E220" s="265"/>
      <c r="G220" s="265"/>
    </row>
    <row r="221" spans="2:7" x14ac:dyDescent="0.25">
      <c r="B221" s="265"/>
      <c r="C221" s="265"/>
      <c r="D221" s="265"/>
      <c r="E221" s="265"/>
      <c r="G221" s="265"/>
    </row>
    <row r="222" spans="2:7" x14ac:dyDescent="0.25">
      <c r="B222" s="265"/>
      <c r="C222" s="265"/>
      <c r="D222" s="265"/>
      <c r="E222" s="265"/>
      <c r="G222" s="265"/>
    </row>
    <row r="223" spans="2:7" x14ac:dyDescent="0.25">
      <c r="B223" s="265"/>
      <c r="C223" s="265"/>
      <c r="D223" s="265"/>
      <c r="E223" s="265"/>
      <c r="G223" s="265"/>
    </row>
    <row r="224" spans="2:7" x14ac:dyDescent="0.25">
      <c r="B224" s="265"/>
      <c r="C224" s="265"/>
      <c r="D224" s="265"/>
      <c r="E224" s="265"/>
      <c r="G224" s="265"/>
    </row>
    <row r="225" spans="2:7" x14ac:dyDescent="0.25">
      <c r="B225" s="265"/>
      <c r="C225" s="265"/>
      <c r="D225" s="265"/>
      <c r="E225" s="265"/>
      <c r="G225" s="265"/>
    </row>
  </sheetData>
  <sheetProtection algorithmName="SHA-512" hashValue="G3ieMVHJv2jQfXQrQuTMzimRLBpXFwTUEW5ALpKYVtvK9K2QIoIzwfiNecBsoFvf1fRkYgwVOFBax4wpBs3Ckw==" saltValue="UVCsxng4Csuf7nhQzm/n8g==" spinCount="100000" sheet="1" objects="1" scenarios="1"/>
  <mergeCells count="3">
    <mergeCell ref="A2:E2"/>
    <mergeCell ref="A27:C27"/>
    <mergeCell ref="A28:C28"/>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65A4F-8B6E-4244-B422-702793FA2E0C}">
  <sheetPr>
    <tabColor rgb="FF92D050"/>
  </sheetPr>
  <dimension ref="A1:S39"/>
  <sheetViews>
    <sheetView zoomScale="80" zoomScaleNormal="80" workbookViewId="0"/>
  </sheetViews>
  <sheetFormatPr defaultColWidth="8.875" defaultRowHeight="12.75" x14ac:dyDescent="0.2"/>
  <cols>
    <col min="1" max="1" width="15.125" style="91" customWidth="1"/>
    <col min="2" max="2" width="3.5" style="91" customWidth="1"/>
    <col min="3" max="3" width="13.5" style="91" customWidth="1"/>
    <col min="4" max="4" width="13.375" style="91" customWidth="1"/>
    <col min="5" max="5" width="14" style="91" customWidth="1"/>
    <col min="6" max="6" width="13.875" style="91" customWidth="1"/>
    <col min="7" max="8" width="8.875" style="91"/>
    <col min="9" max="9" width="28.5" style="91" customWidth="1"/>
    <col min="10" max="10" width="14.375" style="91" customWidth="1"/>
    <col min="11" max="12" width="11.625" style="91" customWidth="1"/>
    <col min="13" max="13" width="29.375" style="91" customWidth="1"/>
    <col min="14" max="14" width="14.875" style="91" customWidth="1"/>
    <col min="15" max="15" width="14" style="91" customWidth="1"/>
    <col min="16" max="16" width="11.75" style="91" customWidth="1"/>
    <col min="17" max="18" width="12.375" style="91" customWidth="1"/>
    <col min="19" max="16384" width="8.875" style="91"/>
  </cols>
  <sheetData>
    <row r="1" spans="1:19" s="464" customFormat="1" ht="15" x14ac:dyDescent="0.2">
      <c r="A1" s="463" t="s">
        <v>689</v>
      </c>
    </row>
    <row r="2" spans="1:19" x14ac:dyDescent="0.2">
      <c r="A2" s="571"/>
    </row>
    <row r="3" spans="1:19" ht="89.25" customHeight="1" x14ac:dyDescent="0.2">
      <c r="A3" s="716" t="s">
        <v>730</v>
      </c>
      <c r="B3" s="716"/>
      <c r="C3" s="716"/>
      <c r="D3" s="716"/>
      <c r="E3" s="716"/>
      <c r="F3" s="716"/>
      <c r="G3" s="716"/>
      <c r="H3" s="716"/>
    </row>
    <row r="4" spans="1:19" x14ac:dyDescent="0.2">
      <c r="A4" s="95"/>
      <c r="B4" s="95"/>
      <c r="C4" s="98"/>
    </row>
    <row r="5" spans="1:19" ht="20.25" customHeight="1" thickBot="1" x14ac:dyDescent="0.25">
      <c r="A5" s="572"/>
      <c r="C5" s="663" t="s">
        <v>77</v>
      </c>
      <c r="D5" s="663"/>
      <c r="E5" s="663"/>
      <c r="F5" s="663"/>
      <c r="S5" s="98"/>
    </row>
    <row r="6" spans="1:19" ht="13.5" thickBot="1" x14ac:dyDescent="0.25">
      <c r="S6" s="98"/>
    </row>
    <row r="7" spans="1:19" ht="41.25" customHeight="1" thickBot="1" x14ac:dyDescent="0.3">
      <c r="A7" s="99" t="s">
        <v>12</v>
      </c>
      <c r="B7" s="100"/>
      <c r="C7" s="101" t="s">
        <v>13</v>
      </c>
      <c r="D7" s="101" t="s">
        <v>16</v>
      </c>
      <c r="E7" s="101" t="s">
        <v>78</v>
      </c>
      <c r="F7" s="102" t="s">
        <v>79</v>
      </c>
      <c r="I7" s="557" t="s">
        <v>655</v>
      </c>
      <c r="J7" s="556" t="s">
        <v>16</v>
      </c>
      <c r="K7" s="556" t="s">
        <v>316</v>
      </c>
      <c r="L7" s="556" t="s">
        <v>317</v>
      </c>
      <c r="M7" s="557" t="s">
        <v>656</v>
      </c>
      <c r="N7" s="556" t="s">
        <v>16</v>
      </c>
      <c r="O7" s="556" t="s">
        <v>316</v>
      </c>
      <c r="P7" s="556" t="s">
        <v>317</v>
      </c>
      <c r="S7" s="98"/>
    </row>
    <row r="8" spans="1:19" ht="15.75" thickBot="1" x14ac:dyDescent="0.3">
      <c r="A8" s="103" t="s">
        <v>24</v>
      </c>
      <c r="B8" s="104"/>
      <c r="C8" s="105" t="s">
        <v>80</v>
      </c>
      <c r="D8" s="105" t="s">
        <v>81</v>
      </c>
      <c r="E8" s="105" t="s">
        <v>82</v>
      </c>
      <c r="F8" s="106" t="s">
        <v>82</v>
      </c>
      <c r="I8" s="542"/>
      <c r="J8" s="542"/>
      <c r="K8" s="542"/>
      <c r="L8" s="542"/>
      <c r="M8" s="542"/>
      <c r="N8" s="542"/>
      <c r="O8" s="542"/>
      <c r="P8" s="542"/>
      <c r="S8" s="98"/>
    </row>
    <row r="9" spans="1:19" ht="15" x14ac:dyDescent="0.25">
      <c r="A9" s="107" t="s">
        <v>34</v>
      </c>
      <c r="B9" s="108"/>
      <c r="C9" s="109">
        <f>'MMW Output'!C20</f>
        <v>1666.6666666666665</v>
      </c>
      <c r="D9" s="109">
        <f>'MMW Output'!D20</f>
        <v>136.61540549999998</v>
      </c>
      <c r="E9" s="109">
        <f>'MMW Output'!E20</f>
        <v>1861.4610000000002</v>
      </c>
      <c r="F9" s="649">
        <f>'MMW Output'!F20</f>
        <v>687.51900000000001</v>
      </c>
      <c r="I9" s="293" t="s">
        <v>328</v>
      </c>
      <c r="J9" s="294"/>
      <c r="K9" s="294"/>
      <c r="L9" s="294"/>
      <c r="M9" s="293" t="s">
        <v>328</v>
      </c>
      <c r="N9" s="294"/>
      <c r="O9" s="294"/>
      <c r="P9" s="294"/>
      <c r="S9" s="98"/>
    </row>
    <row r="10" spans="1:19" ht="15" x14ac:dyDescent="0.2">
      <c r="A10" s="107" t="s">
        <v>35</v>
      </c>
      <c r="B10" s="108"/>
      <c r="C10" s="109">
        <f>'MMW Output'!C21</f>
        <v>491.35802469135797</v>
      </c>
      <c r="D10" s="109">
        <f>'MMW Output'!D21</f>
        <v>316.40658524999998</v>
      </c>
      <c r="E10" s="109">
        <f>'MMW Output'!E21</f>
        <v>3203.424</v>
      </c>
      <c r="F10" s="650">
        <f>'MMW Output'!F21</f>
        <v>838.12050000000011</v>
      </c>
      <c r="I10" s="543" t="s">
        <v>346</v>
      </c>
      <c r="J10" s="543">
        <f>+'MMW Output'!M19</f>
        <v>5479.0028000000002</v>
      </c>
      <c r="K10" s="543"/>
      <c r="L10" s="543"/>
      <c r="M10" s="543" t="s">
        <v>346</v>
      </c>
      <c r="N10" s="543">
        <f>J10-J11</f>
        <v>5329.0028000000002</v>
      </c>
      <c r="O10" s="543"/>
      <c r="P10" s="543"/>
      <c r="S10" s="98"/>
    </row>
    <row r="11" spans="1:19" ht="15" x14ac:dyDescent="0.25">
      <c r="A11" s="107" t="s">
        <v>36</v>
      </c>
      <c r="B11" s="108"/>
      <c r="C11" s="109">
        <f>'MMW Output'!C22</f>
        <v>9730.8641975308637</v>
      </c>
      <c r="D11" s="109">
        <f>'MMW Output'!D22</f>
        <v>7.9434022500000001</v>
      </c>
      <c r="E11" s="109">
        <f>'MMW Output'!E22</f>
        <v>1136.8980000000001</v>
      </c>
      <c r="F11" s="650">
        <f>'MMW Output'!F22</f>
        <v>73.647000000000006</v>
      </c>
      <c r="I11" s="542" t="s">
        <v>330</v>
      </c>
      <c r="J11" s="630">
        <v>150</v>
      </c>
      <c r="K11" s="294"/>
      <c r="L11" s="294"/>
      <c r="M11" s="542" t="s">
        <v>330</v>
      </c>
      <c r="N11" s="630">
        <v>320</v>
      </c>
      <c r="O11" s="294"/>
      <c r="P11" s="294"/>
      <c r="S11" s="98"/>
    </row>
    <row r="12" spans="1:19" ht="15" x14ac:dyDescent="0.25">
      <c r="A12" s="107" t="s">
        <v>38</v>
      </c>
      <c r="B12" s="108"/>
      <c r="C12" s="109">
        <f>'MMW Output'!C23</f>
        <v>656.79012345679007</v>
      </c>
      <c r="D12" s="109">
        <f>'MMW Output'!D23</f>
        <v>0.72522449999999994</v>
      </c>
      <c r="E12" s="109">
        <f>'MMW Output'!E23</f>
        <v>254.45700000000002</v>
      </c>
      <c r="F12" s="650">
        <f>'MMW Output'!F23</f>
        <v>14.552999999999999</v>
      </c>
      <c r="I12" s="542" t="s">
        <v>519</v>
      </c>
      <c r="J12" s="590">
        <f>D37</f>
        <v>115</v>
      </c>
      <c r="K12" s="300">
        <f>D38</f>
        <v>7.4999999999999997E-2</v>
      </c>
      <c r="L12" s="300">
        <f>D39</f>
        <v>6.8000000000000005E-2</v>
      </c>
      <c r="M12" s="542" t="s">
        <v>519</v>
      </c>
      <c r="N12" s="447">
        <f>D37</f>
        <v>115</v>
      </c>
      <c r="O12" s="300">
        <f>D38</f>
        <v>7.4999999999999997E-2</v>
      </c>
      <c r="P12" s="300">
        <f>D39</f>
        <v>6.8000000000000005E-2</v>
      </c>
      <c r="S12" s="98"/>
    </row>
    <row r="13" spans="1:19" ht="15" x14ac:dyDescent="0.25">
      <c r="A13" s="107" t="s">
        <v>39</v>
      </c>
      <c r="B13" s="108"/>
      <c r="C13" s="109">
        <f>'MMW Output'!C24</f>
        <v>0</v>
      </c>
      <c r="D13" s="109">
        <f>'MMW Output'!D24</f>
        <v>0</v>
      </c>
      <c r="E13" s="109">
        <f>'MMW Output'!E24</f>
        <v>0</v>
      </c>
      <c r="F13" s="650">
        <f>'MMW Output'!F24</f>
        <v>0</v>
      </c>
      <c r="H13" s="110"/>
      <c r="I13" s="542" t="s">
        <v>333</v>
      </c>
      <c r="J13" s="280">
        <f>J11*J12</f>
        <v>17250</v>
      </c>
      <c r="K13" s="294">
        <f>J11*K12</f>
        <v>11.25</v>
      </c>
      <c r="L13" s="294">
        <f>J11*L12</f>
        <v>10.200000000000001</v>
      </c>
      <c r="M13" s="542" t="s">
        <v>333</v>
      </c>
      <c r="N13" s="280">
        <f>N11*N12</f>
        <v>36800</v>
      </c>
      <c r="O13" s="294">
        <f>N11*O12</f>
        <v>24</v>
      </c>
      <c r="P13" s="294">
        <f>N11*P12</f>
        <v>21.76</v>
      </c>
      <c r="S13" s="98"/>
    </row>
    <row r="14" spans="1:19" ht="15" x14ac:dyDescent="0.25">
      <c r="A14" s="107" t="s">
        <v>40</v>
      </c>
      <c r="B14" s="108"/>
      <c r="C14" s="109">
        <f>'MMW Output'!C25</f>
        <v>0</v>
      </c>
      <c r="D14" s="109">
        <f>'MMW Output'!D25</f>
        <v>0</v>
      </c>
      <c r="E14" s="109">
        <f>'MMW Output'!E25</f>
        <v>0</v>
      </c>
      <c r="F14" s="650">
        <f>'MMW Output'!F25</f>
        <v>0</v>
      </c>
      <c r="I14" s="542"/>
      <c r="J14" s="294"/>
      <c r="K14" s="294"/>
      <c r="L14" s="294"/>
      <c r="M14" s="542"/>
      <c r="N14" s="294"/>
      <c r="O14" s="294"/>
      <c r="P14" s="294"/>
      <c r="S14" s="98"/>
    </row>
    <row r="15" spans="1:19" ht="15" x14ac:dyDescent="0.2">
      <c r="A15" s="107" t="s">
        <v>41</v>
      </c>
      <c r="B15" s="108"/>
      <c r="C15" s="109">
        <f>'MMW Output'!C26</f>
        <v>66.666666666666657</v>
      </c>
      <c r="D15" s="109">
        <f>'MMW Output'!D26</f>
        <v>1.7845065</v>
      </c>
      <c r="E15" s="109">
        <f>'MMW Output'!E26</f>
        <v>67.6935</v>
      </c>
      <c r="F15" s="650">
        <f>'MMW Output'!F26</f>
        <v>4.6305000000000005</v>
      </c>
      <c r="I15" s="555" t="s">
        <v>657</v>
      </c>
      <c r="J15" s="543"/>
      <c r="K15" s="543"/>
      <c r="L15" s="543"/>
      <c r="M15" s="555" t="s">
        <v>657</v>
      </c>
      <c r="N15" s="543"/>
      <c r="O15" s="543"/>
      <c r="P15" s="543"/>
      <c r="S15" s="98"/>
    </row>
    <row r="16" spans="1:19" ht="15" x14ac:dyDescent="0.2">
      <c r="A16" s="107" t="s">
        <v>42</v>
      </c>
      <c r="B16" s="108"/>
      <c r="C16" s="109">
        <f>'MMW Output'!C27</f>
        <v>222.2222222222222</v>
      </c>
      <c r="D16" s="109">
        <f>'MMW Output'!D27</f>
        <v>5.4794250000000003E-2</v>
      </c>
      <c r="E16" s="109">
        <f>'MMW Output'!E27</f>
        <v>117.08550000000001</v>
      </c>
      <c r="F16" s="650">
        <f>'MMW Output'!F27</f>
        <v>3.9690000000000003</v>
      </c>
      <c r="I16" s="543" t="s">
        <v>732</v>
      </c>
      <c r="J16" s="632">
        <v>4.5</v>
      </c>
      <c r="K16" s="543"/>
      <c r="L16" s="543"/>
      <c r="M16" s="543" t="s">
        <v>732</v>
      </c>
      <c r="N16" s="632">
        <v>6.6</v>
      </c>
      <c r="O16" s="543"/>
      <c r="P16" s="543"/>
      <c r="Q16" s="98"/>
      <c r="R16" s="98"/>
      <c r="S16" s="98"/>
    </row>
    <row r="17" spans="1:19" ht="15" x14ac:dyDescent="0.2">
      <c r="A17" s="107" t="s">
        <v>43</v>
      </c>
      <c r="B17" s="108"/>
      <c r="C17" s="109">
        <f>'MMW Output'!C28</f>
        <v>0</v>
      </c>
      <c r="D17" s="109">
        <f>'MMW Output'!D28</f>
        <v>0</v>
      </c>
      <c r="E17" s="109">
        <f>'MMW Output'!E28</f>
        <v>0</v>
      </c>
      <c r="F17" s="650">
        <f>'MMW Output'!F28</f>
        <v>0</v>
      </c>
      <c r="I17" s="543" t="s">
        <v>662</v>
      </c>
      <c r="J17" s="589">
        <v>6</v>
      </c>
      <c r="K17" s="543"/>
      <c r="L17" s="543"/>
      <c r="M17" s="543" t="s">
        <v>662</v>
      </c>
      <c r="N17" s="543">
        <v>6</v>
      </c>
      <c r="O17" s="543"/>
      <c r="P17" s="543"/>
      <c r="Q17" s="98"/>
      <c r="R17" s="98"/>
      <c r="S17" s="98"/>
    </row>
    <row r="18" spans="1:19" ht="15" x14ac:dyDescent="0.2">
      <c r="A18" s="107" t="s">
        <v>44</v>
      </c>
      <c r="B18" s="108"/>
      <c r="C18" s="109">
        <f>'MMW Output'!C29</f>
        <v>0</v>
      </c>
      <c r="D18" s="109">
        <f>'MMW Output'!D29</f>
        <v>0</v>
      </c>
      <c r="E18" s="109">
        <f>'MMW Output'!E29</f>
        <v>0</v>
      </c>
      <c r="F18" s="650">
        <f>'MMW Output'!F29</f>
        <v>0</v>
      </c>
      <c r="I18" s="543" t="s">
        <v>658</v>
      </c>
      <c r="J18" s="543">
        <f>J17*J16</f>
        <v>27</v>
      </c>
      <c r="K18" s="543"/>
      <c r="L18" s="543"/>
      <c r="M18" s="543" t="s">
        <v>658</v>
      </c>
      <c r="N18" s="543">
        <f>N17*N16</f>
        <v>39.599999999999994</v>
      </c>
      <c r="O18" s="543"/>
      <c r="P18" s="543"/>
      <c r="Q18" s="98"/>
      <c r="R18" s="98"/>
      <c r="S18" s="98"/>
    </row>
    <row r="19" spans="1:19" ht="15" x14ac:dyDescent="0.25">
      <c r="A19" s="107" t="s">
        <v>45</v>
      </c>
      <c r="B19" s="108"/>
      <c r="C19" s="109">
        <f>'MMW Output'!C30</f>
        <v>23372.839506172837</v>
      </c>
      <c r="D19" s="109">
        <f>'MMW Output'!D30</f>
        <v>146.01917925000001</v>
      </c>
      <c r="E19" s="109">
        <f>'MMW Output'!E30</f>
        <v>7171.9830000000002</v>
      </c>
      <c r="F19" s="650">
        <f>'MMW Output'!F30</f>
        <v>771.75</v>
      </c>
      <c r="I19" s="558" t="s">
        <v>660</v>
      </c>
      <c r="J19" s="561">
        <f>J18*D33</f>
        <v>36542.652593987215</v>
      </c>
      <c r="K19" s="561">
        <f>J18*E33</f>
        <v>214.14351960849055</v>
      </c>
      <c r="L19" s="561">
        <f>J18*F33</f>
        <v>58.435370794583079</v>
      </c>
      <c r="M19" s="558" t="s">
        <v>660</v>
      </c>
      <c r="N19" s="561">
        <f>N18*D33</f>
        <v>53595.890471181236</v>
      </c>
      <c r="O19" s="561">
        <f>N18*E33</f>
        <v>314.0771620924528</v>
      </c>
      <c r="P19" s="561">
        <f>N18*F33</f>
        <v>85.70521049872184</v>
      </c>
      <c r="Q19" s="98"/>
      <c r="R19" s="98"/>
      <c r="S19" s="98"/>
    </row>
    <row r="20" spans="1:19" ht="15" x14ac:dyDescent="0.25">
      <c r="A20" s="107" t="s">
        <v>46</v>
      </c>
      <c r="B20" s="108"/>
      <c r="C20" s="109">
        <f>'MMW Output'!C31</f>
        <v>3395.0617283950614</v>
      </c>
      <c r="D20" s="109">
        <f>'MMW Output'!D31</f>
        <v>111.58049700000001</v>
      </c>
      <c r="E20" s="109">
        <f>'MMW Output'!E31</f>
        <v>4522.6755000000003</v>
      </c>
      <c r="F20" s="650">
        <f>'MMW Output'!F31</f>
        <v>462.82950000000005</v>
      </c>
      <c r="I20" s="558" t="s">
        <v>659</v>
      </c>
      <c r="J20" s="559">
        <v>0.31</v>
      </c>
      <c r="K20" s="560">
        <v>0.42</v>
      </c>
      <c r="L20" s="563">
        <v>0.4</v>
      </c>
      <c r="M20" s="560" t="s">
        <v>659</v>
      </c>
      <c r="N20" s="560">
        <v>0.31</v>
      </c>
      <c r="O20" s="560">
        <v>0.42</v>
      </c>
      <c r="P20" s="563">
        <v>0.4</v>
      </c>
      <c r="Q20" s="98"/>
      <c r="R20" s="98"/>
      <c r="S20" s="98"/>
    </row>
    <row r="21" spans="1:19" ht="15" x14ac:dyDescent="0.25">
      <c r="A21" s="107" t="s">
        <v>47</v>
      </c>
      <c r="B21" s="108"/>
      <c r="C21" s="109">
        <f>'MMW Output'!C32</f>
        <v>965.43209876543199</v>
      </c>
      <c r="D21" s="109">
        <f>'MMW Output'!D32</f>
        <v>31.739211000000005</v>
      </c>
      <c r="E21" s="109">
        <f>'MMW Output'!E32</f>
        <v>1286.3969999999999</v>
      </c>
      <c r="F21" s="650">
        <f>'MMW Output'!F32</f>
        <v>131.63850000000002</v>
      </c>
      <c r="I21" s="558" t="s">
        <v>661</v>
      </c>
      <c r="J21" s="562">
        <f>J20*J19</f>
        <v>11328.222304136038</v>
      </c>
      <c r="K21" s="562">
        <f>K20*K19</f>
        <v>89.940278235566026</v>
      </c>
      <c r="L21" s="562">
        <f>L20*L19</f>
        <v>23.374148317833232</v>
      </c>
      <c r="M21" s="560" t="s">
        <v>661</v>
      </c>
      <c r="N21" s="562">
        <f>N20*N19</f>
        <v>16614.726046066182</v>
      </c>
      <c r="O21" s="562">
        <f t="shared" ref="O21:P21" si="0">O20*O19</f>
        <v>131.91240807883017</v>
      </c>
      <c r="P21" s="562">
        <f t="shared" si="0"/>
        <v>34.282084199488736</v>
      </c>
      <c r="Q21" s="98"/>
      <c r="R21" s="98"/>
      <c r="S21" s="98"/>
    </row>
    <row r="22" spans="1:19" x14ac:dyDescent="0.2">
      <c r="A22" s="107" t="s">
        <v>48</v>
      </c>
      <c r="B22" s="108"/>
      <c r="C22" s="109">
        <f>'MMW Output'!C33</f>
        <v>0</v>
      </c>
      <c r="D22" s="109">
        <f>'MMW Output'!D33</f>
        <v>0</v>
      </c>
      <c r="E22" s="109">
        <f>'MMW Output'!E33</f>
        <v>0</v>
      </c>
      <c r="F22" s="650">
        <f>'MMW Output'!F33</f>
        <v>0</v>
      </c>
      <c r="Q22" s="98"/>
      <c r="R22" s="98"/>
      <c r="S22" s="98"/>
    </row>
    <row r="23" spans="1:19" ht="15" x14ac:dyDescent="0.25">
      <c r="A23" s="107" t="s">
        <v>49</v>
      </c>
      <c r="B23" s="108"/>
      <c r="C23" s="109">
        <f>'MMW Output'!C34</f>
        <v>0</v>
      </c>
      <c r="D23" s="109">
        <f>'MMW Output'!D34</f>
        <v>0</v>
      </c>
      <c r="E23" s="109">
        <f>'MMW Output'!E34</f>
        <v>0</v>
      </c>
      <c r="F23" s="650">
        <f>'MMW Output'!F34</f>
        <v>0</v>
      </c>
      <c r="I23" s="273" t="s">
        <v>340</v>
      </c>
      <c r="J23" s="413">
        <f>J13+J21</f>
        <v>28578.222304136038</v>
      </c>
      <c r="K23" s="413">
        <f>K13+K21</f>
        <v>101.19027823556603</v>
      </c>
      <c r="L23" s="413">
        <f>L13+L21</f>
        <v>33.574148317833235</v>
      </c>
      <c r="M23" s="273" t="s">
        <v>340</v>
      </c>
      <c r="N23" s="413">
        <f>N13+N21</f>
        <v>53414.726046066178</v>
      </c>
      <c r="O23" s="413">
        <f>O13+O21</f>
        <v>155.91240807883017</v>
      </c>
      <c r="P23" s="413">
        <f>P13+P21</f>
        <v>56.042084199488741</v>
      </c>
      <c r="Q23" s="98"/>
      <c r="R23" s="98"/>
      <c r="S23" s="98"/>
    </row>
    <row r="24" spans="1:19" x14ac:dyDescent="0.2">
      <c r="A24" s="107" t="s">
        <v>50</v>
      </c>
      <c r="B24" s="108"/>
      <c r="C24" s="109">
        <f>'MMW Output'!C35</f>
        <v>0</v>
      </c>
      <c r="D24" s="109">
        <f>'MMW Output'!D35</f>
        <v>0</v>
      </c>
      <c r="E24" s="109">
        <f>'MMW Output'!E35</f>
        <v>0</v>
      </c>
      <c r="F24" s="650">
        <f>'MMW Output'!F35</f>
        <v>0</v>
      </c>
      <c r="J24" s="98"/>
      <c r="K24" s="98"/>
      <c r="L24" s="98"/>
      <c r="M24" s="98"/>
      <c r="N24" s="98"/>
      <c r="O24" s="98"/>
      <c r="P24" s="98"/>
      <c r="Q24" s="98"/>
      <c r="R24" s="98"/>
      <c r="S24" s="98"/>
    </row>
    <row r="25" spans="1:19" x14ac:dyDescent="0.2">
      <c r="A25" s="107" t="s">
        <v>52</v>
      </c>
      <c r="B25" s="108"/>
      <c r="C25" s="109" t="str">
        <f>'MMW Output'!C36</f>
        <v xml:space="preserve"> </v>
      </c>
      <c r="D25" s="109">
        <f>'MMW Output'!D36</f>
        <v>0</v>
      </c>
      <c r="E25" s="109">
        <f>'MMW Output'!E36</f>
        <v>4895.7615000000005</v>
      </c>
      <c r="F25" s="650">
        <f>'MMW Output'!F36</f>
        <v>1294.1144999999999</v>
      </c>
      <c r="J25" s="98"/>
      <c r="K25" s="98"/>
      <c r="L25" s="98"/>
      <c r="M25" s="98"/>
      <c r="N25" s="98"/>
      <c r="O25" s="98"/>
      <c r="P25" s="98"/>
      <c r="Q25" s="548"/>
      <c r="R25" s="548"/>
      <c r="S25" s="98"/>
    </row>
    <row r="26" spans="1:19" ht="15" x14ac:dyDescent="0.25">
      <c r="A26" s="107" t="s">
        <v>53</v>
      </c>
      <c r="B26" s="108"/>
      <c r="C26" s="109" t="str">
        <f>'MMW Output'!C37</f>
        <v xml:space="preserve"> </v>
      </c>
      <c r="D26" s="109">
        <f>'MMW Output'!D37</f>
        <v>0</v>
      </c>
      <c r="E26" s="109">
        <f>'MMW Output'!E37</f>
        <v>0</v>
      </c>
      <c r="F26" s="650">
        <f>'MMW Output'!F37</f>
        <v>0</v>
      </c>
      <c r="I26" s="485" t="s">
        <v>663</v>
      </c>
      <c r="J26" s="98"/>
      <c r="K26" s="98"/>
      <c r="L26" s="98"/>
      <c r="M26" s="98"/>
      <c r="N26" s="98"/>
      <c r="O26" s="98"/>
      <c r="P26" s="98"/>
      <c r="Q26" s="548"/>
      <c r="R26" s="548"/>
      <c r="S26" s="98"/>
    </row>
    <row r="27" spans="1:19" x14ac:dyDescent="0.2">
      <c r="A27" s="107" t="s">
        <v>83</v>
      </c>
      <c r="B27" s="108"/>
      <c r="C27" s="109" t="str">
        <f>'MMW Output'!C38</f>
        <v xml:space="preserve"> </v>
      </c>
      <c r="D27" s="109">
        <f>'MMW Output'!D38</f>
        <v>26700.070477499998</v>
      </c>
      <c r="E27" s="109">
        <f>'MMW Output'!E38</f>
        <v>33246.99</v>
      </c>
      <c r="F27" s="650">
        <f>'MMW Output'!F38</f>
        <v>13291.74</v>
      </c>
      <c r="J27" s="547"/>
      <c r="K27" s="98"/>
      <c r="L27" s="98"/>
      <c r="M27" s="98"/>
      <c r="N27" s="98"/>
      <c r="O27" s="98"/>
      <c r="P27" s="98"/>
      <c r="Q27" s="548"/>
      <c r="R27" s="548"/>
      <c r="S27" s="98"/>
    </row>
    <row r="28" spans="1:19" x14ac:dyDescent="0.2">
      <c r="A28" s="107" t="s">
        <v>54</v>
      </c>
      <c r="B28" s="108"/>
      <c r="C28" s="109" t="str">
        <f>'MMW Output'!C39</f>
        <v xml:space="preserve"> </v>
      </c>
      <c r="D28" s="109">
        <f>'MMW Output'!D39</f>
        <v>0</v>
      </c>
      <c r="E28" s="109">
        <f>'MMW Output'!E39</f>
        <v>132221.06099999999</v>
      </c>
      <c r="F28" s="650">
        <f>'MMW Output'!F39</f>
        <v>2404.5525000000002</v>
      </c>
      <c r="J28" s="98"/>
      <c r="K28" s="98"/>
      <c r="L28" s="98"/>
      <c r="M28" s="98"/>
      <c r="N28" s="98"/>
      <c r="O28" s="98"/>
      <c r="P28" s="98"/>
      <c r="Q28" s="549"/>
      <c r="R28" s="549"/>
      <c r="S28" s="98"/>
    </row>
    <row r="29" spans="1:19" x14ac:dyDescent="0.2">
      <c r="A29" s="107" t="s">
        <v>55</v>
      </c>
      <c r="B29" s="108"/>
      <c r="C29" s="109" t="str">
        <f>'MMW Output'!C40</f>
        <v xml:space="preserve"> </v>
      </c>
      <c r="D29" s="109">
        <f>'MMW Output'!D40</f>
        <v>0</v>
      </c>
      <c r="E29" s="109">
        <f>'MMW Output'!E40</f>
        <v>121109.625</v>
      </c>
      <c r="F29" s="650">
        <f>'MMW Output'!F40</f>
        <v>67820.949000000008</v>
      </c>
      <c r="J29" s="98"/>
      <c r="K29" s="98"/>
      <c r="L29" s="98"/>
      <c r="M29" s="98"/>
      <c r="N29" s="98"/>
      <c r="O29" s="98"/>
      <c r="P29" s="98"/>
      <c r="Q29" s="549"/>
      <c r="R29" s="549"/>
      <c r="S29" s="98"/>
    </row>
    <row r="30" spans="1:19" ht="13.5" thickBot="1" x14ac:dyDescent="0.25">
      <c r="A30" s="112" t="s">
        <v>56</v>
      </c>
      <c r="B30" s="113"/>
      <c r="C30" s="648" t="str">
        <f>'MMW Output'!C41</f>
        <v xml:space="preserve"> </v>
      </c>
      <c r="D30" s="114">
        <f>'MMW Output'!D41</f>
        <v>0</v>
      </c>
      <c r="E30" s="114">
        <f>'MMW Output'!E41</f>
        <v>10658.308499999999</v>
      </c>
      <c r="F30" s="651">
        <f>'MMW Output'!F41</f>
        <v>0</v>
      </c>
      <c r="J30" s="98"/>
      <c r="K30" s="98"/>
      <c r="L30" s="98"/>
      <c r="M30" s="98"/>
      <c r="N30" s="98"/>
      <c r="O30" s="98"/>
      <c r="P30" s="98"/>
      <c r="Q30" s="98"/>
      <c r="R30" s="98"/>
      <c r="S30" s="98"/>
    </row>
    <row r="31" spans="1:19" x14ac:dyDescent="0.2">
      <c r="A31" s="98"/>
      <c r="B31" s="98"/>
      <c r="C31" s="98"/>
      <c r="D31" s="98"/>
      <c r="E31" s="98"/>
      <c r="F31" s="98"/>
      <c r="J31" s="98"/>
      <c r="K31" s="98"/>
      <c r="L31" s="98"/>
      <c r="M31" s="98"/>
      <c r="N31" s="98"/>
      <c r="O31" s="98"/>
      <c r="P31" s="98"/>
      <c r="Q31" s="98"/>
      <c r="R31" s="98"/>
      <c r="S31" s="98"/>
    </row>
    <row r="32" spans="1:19" s="117" customFormat="1" x14ac:dyDescent="0.2">
      <c r="A32" s="115" t="s">
        <v>84</v>
      </c>
      <c r="B32" s="115"/>
      <c r="C32" s="116">
        <f>SUM(C9:C30)</f>
        <v>40567.9012345679</v>
      </c>
      <c r="D32" s="116">
        <f t="shared" ref="D32:F32" si="1">SUM(D9:D30)</f>
        <v>27452.939282999996</v>
      </c>
      <c r="E32" s="116">
        <f t="shared" si="1"/>
        <v>321753.82049999997</v>
      </c>
      <c r="F32" s="116">
        <f t="shared" si="1"/>
        <v>87800.013000000006</v>
      </c>
    </row>
    <row r="33" spans="1:6" s="117" customFormat="1" x14ac:dyDescent="0.2">
      <c r="A33" s="553" t="s">
        <v>654</v>
      </c>
      <c r="B33" s="553"/>
      <c r="C33" s="554"/>
      <c r="D33" s="550">
        <f>(D32*2000)/C32</f>
        <v>1353.431577555082</v>
      </c>
      <c r="E33" s="551">
        <f>E32/C32</f>
        <v>7.931241466981132</v>
      </c>
      <c r="F33" s="552">
        <f>F32/C32</f>
        <v>2.1642729923919659</v>
      </c>
    </row>
    <row r="36" spans="1:6" ht="15" x14ac:dyDescent="0.25">
      <c r="A36" s="321" t="s">
        <v>694</v>
      </c>
      <c r="B36" s="117"/>
      <c r="C36" s="573" t="s">
        <v>520</v>
      </c>
      <c r="D36" s="573" t="s">
        <v>394</v>
      </c>
    </row>
    <row r="37" spans="1:6" ht="15" x14ac:dyDescent="0.25">
      <c r="A37" s="542" t="s">
        <v>516</v>
      </c>
      <c r="C37" s="542">
        <f>+'MMW Output'!N18</f>
        <v>154.14681733346339</v>
      </c>
      <c r="D37" s="314">
        <v>115</v>
      </c>
    </row>
    <row r="38" spans="1:6" ht="15" x14ac:dyDescent="0.25">
      <c r="A38" s="542" t="s">
        <v>517</v>
      </c>
      <c r="C38" s="542">
        <f>+'MMW Output'!O18</f>
        <v>9.5971988140185302E-2</v>
      </c>
      <c r="D38" s="488">
        <v>7.4999999999999997E-2</v>
      </c>
    </row>
    <row r="39" spans="1:6" ht="15" x14ac:dyDescent="0.25">
      <c r="A39" s="542" t="s">
        <v>518</v>
      </c>
      <c r="C39" s="542">
        <f>+'MMW Output'!P18</f>
        <v>3.8368427146109371E-2</v>
      </c>
      <c r="D39" s="488">
        <v>6.8000000000000005E-2</v>
      </c>
    </row>
  </sheetData>
  <sheetProtection algorithmName="SHA-512" hashValue="rJDfcabnuG0aizVA7pMjCvgAF07HU0BVq+pmziu+sEC2RQXWipnzt3SN0axQE30K6gwnFQu6nJ3LGa/PpYR3NA==" saltValue="u1Ofq1hJh8APQnk2XKp+gw==" spinCount="100000" sheet="1" objects="1" scenarios="1"/>
  <mergeCells count="2">
    <mergeCell ref="C5:F5"/>
    <mergeCell ref="A3:H3"/>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7030A0"/>
  </sheetPr>
  <dimension ref="A1:N30"/>
  <sheetViews>
    <sheetView zoomScale="80" zoomScaleNormal="80" workbookViewId="0"/>
  </sheetViews>
  <sheetFormatPr defaultColWidth="8.875" defaultRowHeight="15" x14ac:dyDescent="0.25"/>
  <cols>
    <col min="1" max="4" width="8.875" style="1"/>
    <col min="5" max="5" width="11.5" style="1" customWidth="1"/>
    <col min="6" max="6" width="16.5" style="1" customWidth="1"/>
    <col min="7" max="7" width="11.625" style="1" customWidth="1"/>
    <col min="8" max="8" width="11.5" style="1" customWidth="1"/>
    <col min="9" max="9" width="8.875" style="1"/>
    <col min="10" max="10" width="20" style="1" customWidth="1"/>
    <col min="11" max="11" width="13.125" style="1" customWidth="1"/>
    <col min="12" max="12" width="11.875" style="1" customWidth="1"/>
    <col min="13" max="16384" width="8.875" style="1"/>
  </cols>
  <sheetData>
    <row r="1" spans="1:14" s="323" customFormat="1" ht="23.25" x14ac:dyDescent="0.35">
      <c r="F1" s="717" t="s">
        <v>352</v>
      </c>
      <c r="G1" s="717"/>
      <c r="H1" s="717"/>
      <c r="J1" s="717" t="s">
        <v>420</v>
      </c>
      <c r="K1" s="717"/>
      <c r="L1" s="717"/>
    </row>
    <row r="2" spans="1:14" s="4" customFormat="1" x14ac:dyDescent="0.25">
      <c r="F2" s="324" t="s">
        <v>353</v>
      </c>
      <c r="G2" s="324" t="s">
        <v>354</v>
      </c>
      <c r="H2" s="324" t="s">
        <v>355</v>
      </c>
      <c r="J2" s="324" t="s">
        <v>353</v>
      </c>
      <c r="K2" s="324" t="s">
        <v>354</v>
      </c>
      <c r="L2" s="324" t="s">
        <v>355</v>
      </c>
      <c r="N2" s="326" t="s">
        <v>421</v>
      </c>
    </row>
    <row r="3" spans="1:14" s="4" customFormat="1" x14ac:dyDescent="0.25">
      <c r="F3" s="325"/>
      <c r="G3" s="325"/>
      <c r="H3" s="325"/>
      <c r="N3" s="326" t="s">
        <v>422</v>
      </c>
    </row>
    <row r="4" spans="1:14" x14ac:dyDescent="0.25">
      <c r="A4" s="251" t="s">
        <v>356</v>
      </c>
      <c r="F4" s="468">
        <f>+'Agricultural BMPs'!G26</f>
        <v>54905878.566</v>
      </c>
      <c r="G4" s="468">
        <f>+'Agricultural BMPs'!D26</f>
        <v>321753.82049999997</v>
      </c>
      <c r="H4" s="468">
        <f>+'Agricultural BMPs'!E26</f>
        <v>87800.013000000006</v>
      </c>
      <c r="I4" s="468"/>
      <c r="J4" s="468">
        <f>+'MMW Output'!K114</f>
        <v>5850120.2910809694</v>
      </c>
      <c r="K4" s="468">
        <f>+'MMW Output'!I114</f>
        <v>10763.604938271606</v>
      </c>
      <c r="L4" s="468">
        <f>+'MMW Output'!J114</f>
        <v>3268.4197530864194</v>
      </c>
      <c r="N4" s="326" t="s">
        <v>427</v>
      </c>
    </row>
    <row r="5" spans="1:14" x14ac:dyDescent="0.25">
      <c r="F5" s="468"/>
      <c r="G5" s="468"/>
      <c r="H5" s="468"/>
      <c r="I5" s="468"/>
      <c r="J5" s="468"/>
      <c r="K5" s="468"/>
      <c r="L5" s="468"/>
    </row>
    <row r="6" spans="1:14" x14ac:dyDescent="0.25">
      <c r="A6" s="251" t="s">
        <v>357</v>
      </c>
      <c r="F6" s="468">
        <f>'Urban BMPs'!AA29</f>
        <v>49832.031834690009</v>
      </c>
      <c r="G6" s="468">
        <f>'Urban BMPs'!AD29</f>
        <v>55.014453902495838</v>
      </c>
      <c r="H6" s="468">
        <f>'Urban BMPs'!AC29</f>
        <v>13.635874933789502</v>
      </c>
      <c r="I6" s="468"/>
      <c r="J6" s="469">
        <f>IF(J$4=0, "--", F6 )</f>
        <v>49832.031834690009</v>
      </c>
      <c r="K6" s="469">
        <f t="shared" ref="K6:L6" si="0">IF(K$4=0, "--", G6 )</f>
        <v>55.014453902495838</v>
      </c>
      <c r="L6" s="469">
        <f t="shared" si="0"/>
        <v>13.635874933789502</v>
      </c>
    </row>
    <row r="7" spans="1:14" x14ac:dyDescent="0.25">
      <c r="F7" s="468"/>
      <c r="G7" s="468"/>
      <c r="H7" s="468"/>
      <c r="I7" s="468"/>
      <c r="J7" s="468"/>
      <c r="K7" s="468"/>
      <c r="L7" s="468"/>
      <c r="N7" s="326"/>
    </row>
    <row r="8" spans="1:14" x14ac:dyDescent="0.25">
      <c r="A8" s="251" t="s">
        <v>358</v>
      </c>
      <c r="F8" s="468">
        <f>'Urban BMPs'!AA31</f>
        <v>922848.57399075257</v>
      </c>
      <c r="G8" s="468">
        <f>'Urban BMPs'!AD31</f>
        <v>963.78876618457332</v>
      </c>
      <c r="H8" s="468">
        <f>'Urban BMPs'!AC31</f>
        <v>413.16108436811294</v>
      </c>
      <c r="I8" s="468"/>
      <c r="J8" s="469">
        <f t="shared" ref="J8:L8" si="1">IF(J$4=0, "--", F8 )</f>
        <v>922848.57399075257</v>
      </c>
      <c r="K8" s="469">
        <f t="shared" si="1"/>
        <v>963.78876618457332</v>
      </c>
      <c r="L8" s="469">
        <f t="shared" si="1"/>
        <v>413.16108436811294</v>
      </c>
      <c r="N8" s="326"/>
    </row>
    <row r="9" spans="1:14" x14ac:dyDescent="0.25">
      <c r="F9" s="468"/>
      <c r="G9" s="468"/>
      <c r="H9" s="468"/>
      <c r="I9" s="468"/>
      <c r="J9" s="468"/>
      <c r="K9" s="468"/>
      <c r="L9" s="468"/>
      <c r="N9" s="326"/>
    </row>
    <row r="10" spans="1:14" x14ac:dyDescent="0.25">
      <c r="A10" s="251" t="s">
        <v>359</v>
      </c>
      <c r="F10" s="468">
        <f>+'Agricultural BMPs'!J146</f>
        <v>279082.97703451209</v>
      </c>
      <c r="G10" s="468">
        <f>+'Agricultural BMPs'!K146</f>
        <v>1841.6663892902957</v>
      </c>
      <c r="H10" s="468">
        <f>+'Agricultural BMPs'!L146</f>
        <v>699.23049570305011</v>
      </c>
      <c r="I10" s="468"/>
      <c r="J10" s="469">
        <f t="shared" ref="J10:L10" si="2">IF(J$4=0, "--", F10 )</f>
        <v>279082.97703451209</v>
      </c>
      <c r="K10" s="469">
        <f t="shared" si="2"/>
        <v>1841.6663892902957</v>
      </c>
      <c r="L10" s="469">
        <f t="shared" si="2"/>
        <v>699.23049570305011</v>
      </c>
    </row>
    <row r="11" spans="1:14" x14ac:dyDescent="0.25">
      <c r="F11" s="468"/>
      <c r="G11" s="468"/>
      <c r="H11" s="468"/>
      <c r="I11" s="468"/>
      <c r="J11" s="468"/>
      <c r="K11" s="468"/>
      <c r="L11" s="468"/>
    </row>
    <row r="12" spans="1:14" x14ac:dyDescent="0.25">
      <c r="A12" s="251" t="s">
        <v>360</v>
      </c>
      <c r="F12" s="468">
        <f>+'Agricultural BMPs'!O146</f>
        <v>236628.55069002323</v>
      </c>
      <c r="G12" s="468">
        <f>+'Agricultural BMPs'!P146</f>
        <v>1071.3981521245159</v>
      </c>
      <c r="H12" s="468">
        <f>+'Agricultural BMPs'!Q146</f>
        <v>416.95702204353199</v>
      </c>
      <c r="I12" s="468"/>
      <c r="J12" s="469">
        <f>IF(J$4=0, "--", F12 )</f>
        <v>236628.55069002323</v>
      </c>
      <c r="K12" s="469">
        <f t="shared" ref="K12:L12" si="3">IF(K$4=0, "--", G12 )</f>
        <v>1071.3981521245159</v>
      </c>
      <c r="L12" s="469">
        <f t="shared" si="3"/>
        <v>416.95702204353199</v>
      </c>
    </row>
    <row r="13" spans="1:14" x14ac:dyDescent="0.25">
      <c r="F13" s="468"/>
      <c r="G13" s="468"/>
      <c r="H13" s="468"/>
      <c r="I13" s="468"/>
      <c r="J13" s="469"/>
      <c r="K13" s="469"/>
      <c r="L13" s="469"/>
    </row>
    <row r="14" spans="1:14" x14ac:dyDescent="0.25">
      <c r="A14" s="251" t="s">
        <v>664</v>
      </c>
      <c r="F14" s="468">
        <f>+'Floodplain Restoration'!J23</f>
        <v>28578.222304136038</v>
      </c>
      <c r="G14" s="468">
        <f>+'Floodplain Restoration'!K23</f>
        <v>101.19027823556603</v>
      </c>
      <c r="H14" s="468">
        <f>+'Floodplain Restoration'!L23</f>
        <v>33.574148317833235</v>
      </c>
      <c r="I14" s="468"/>
      <c r="J14" s="469">
        <f t="shared" ref="J14:J16" si="4">IF(J$4=0, "--", F14 )</f>
        <v>28578.222304136038</v>
      </c>
      <c r="K14" s="469">
        <f t="shared" ref="K14:K16" si="5">IF(K$4=0, "--", G14 )</f>
        <v>101.19027823556603</v>
      </c>
      <c r="L14" s="469">
        <f t="shared" ref="L14:L16" si="6">IF(L$4=0, "--", H14 )</f>
        <v>33.574148317833235</v>
      </c>
    </row>
    <row r="15" spans="1:14" x14ac:dyDescent="0.25">
      <c r="F15" s="468"/>
      <c r="G15" s="468"/>
      <c r="H15" s="468"/>
      <c r="I15" s="468"/>
      <c r="J15" s="469"/>
      <c r="K15" s="469"/>
      <c r="L15" s="469"/>
    </row>
    <row r="16" spans="1:14" x14ac:dyDescent="0.25">
      <c r="A16" s="251" t="s">
        <v>665</v>
      </c>
      <c r="F16" s="468">
        <f>+'Floodplain Restoration'!N23</f>
        <v>53414.726046066178</v>
      </c>
      <c r="G16" s="468">
        <f>+'Floodplain Restoration'!O23</f>
        <v>155.91240807883017</v>
      </c>
      <c r="H16" s="468">
        <f>+'Floodplain Restoration'!P23</f>
        <v>56.042084199488741</v>
      </c>
      <c r="I16" s="468"/>
      <c r="J16" s="469">
        <f t="shared" si="4"/>
        <v>53414.726046066178</v>
      </c>
      <c r="K16" s="469">
        <f t="shared" si="5"/>
        <v>155.91240807883017</v>
      </c>
      <c r="L16" s="469">
        <f t="shared" si="6"/>
        <v>56.042084199488741</v>
      </c>
    </row>
    <row r="17" spans="1:12" x14ac:dyDescent="0.25">
      <c r="F17" s="468"/>
      <c r="G17" s="468"/>
      <c r="H17" s="468"/>
      <c r="I17" s="468"/>
      <c r="J17" s="468"/>
      <c r="K17" s="468"/>
      <c r="L17" s="468"/>
    </row>
    <row r="18" spans="1:12" x14ac:dyDescent="0.25">
      <c r="A18" s="4" t="s">
        <v>361</v>
      </c>
      <c r="F18" s="468">
        <f>SUM(F6:F16)</f>
        <v>1570385.0819001803</v>
      </c>
      <c r="G18" s="468">
        <f t="shared" ref="G18:H18" si="7">SUM(G6:G16)</f>
        <v>4188.9704478162766</v>
      </c>
      <c r="H18" s="468">
        <f t="shared" si="7"/>
        <v>1632.6007095658067</v>
      </c>
      <c r="I18" s="468"/>
      <c r="J18" s="470">
        <f>IF(J$4=0,"--",SUM(J6:J12))</f>
        <v>1488392.133549978</v>
      </c>
      <c r="K18" s="470">
        <f t="shared" ref="K18:L18" si="8">IF(K$4=0,"--",SUM(K6:K12))</f>
        <v>3931.8677615018805</v>
      </c>
      <c r="L18" s="470">
        <f t="shared" si="8"/>
        <v>1542.9844770484847</v>
      </c>
    </row>
    <row r="19" spans="1:12" x14ac:dyDescent="0.25">
      <c r="A19" s="4" t="s">
        <v>362</v>
      </c>
      <c r="F19" s="468">
        <f>F4-F18</f>
        <v>53335493.48409982</v>
      </c>
      <c r="G19" s="468">
        <f>G4-G18</f>
        <v>317564.85005218367</v>
      </c>
      <c r="H19" s="468">
        <f>H4-H18</f>
        <v>86167.412290434193</v>
      </c>
      <c r="I19" s="468"/>
      <c r="J19" s="470">
        <f>IF(J$4=0, "--", J4-J18)</f>
        <v>4361728.1575309914</v>
      </c>
      <c r="K19" s="470">
        <f t="shared" ref="K19:L19" si="9">IF(K$4=0, "--", K4-K18)</f>
        <v>6831.7371767697259</v>
      </c>
      <c r="L19" s="470">
        <f t="shared" si="9"/>
        <v>1725.4352760379347</v>
      </c>
    </row>
    <row r="20" spans="1:12" x14ac:dyDescent="0.25">
      <c r="A20" s="391" t="s">
        <v>696</v>
      </c>
      <c r="B20" s="392"/>
      <c r="C20" s="392"/>
      <c r="D20" s="392"/>
      <c r="E20" s="392"/>
      <c r="F20" s="467">
        <f>(F18/F4)</f>
        <v>2.8601401578748763E-2</v>
      </c>
      <c r="G20" s="467">
        <f>(G18/G4)</f>
        <v>1.3019178579780926E-2</v>
      </c>
      <c r="H20" s="467">
        <f>(H18/H4)</f>
        <v>1.8594538358050205E-2</v>
      </c>
      <c r="I20" s="439"/>
      <c r="J20" s="466">
        <f>IF(J$4=0, "--", (J18/J4))</f>
        <v>0.25442077418803932</v>
      </c>
      <c r="K20" s="466">
        <f>IF(K$4=0, "--", (K18/K4))</f>
        <v>0.36529283488671505</v>
      </c>
      <c r="L20" s="466">
        <f>IF(L$4=0, "--", (L18/L4))</f>
        <v>0.47208883607786928</v>
      </c>
    </row>
    <row r="21" spans="1:12" x14ac:dyDescent="0.25">
      <c r="J21" s="465"/>
      <c r="K21" s="465"/>
      <c r="L21" s="465"/>
    </row>
    <row r="22" spans="1:12" x14ac:dyDescent="0.25">
      <c r="J22" s="465"/>
      <c r="K22" s="465"/>
      <c r="L22" s="465"/>
    </row>
    <row r="23" spans="1:12" x14ac:dyDescent="0.25">
      <c r="A23" s="4" t="s">
        <v>363</v>
      </c>
      <c r="F23" s="468">
        <f>F4-(F6+F10+F14)</f>
        <v>54548385.334826663</v>
      </c>
      <c r="G23" s="468">
        <f>G4-(G6+G10+G14)</f>
        <v>319755.94937857159</v>
      </c>
      <c r="H23" s="468">
        <f>H4-(H6+H10+H14)</f>
        <v>87053.572481045339</v>
      </c>
      <c r="I23" s="468"/>
      <c r="J23" s="470">
        <f>IF(J$4=0, "--", J4-(J6+J10))</f>
        <v>5521205.2822117675</v>
      </c>
      <c r="K23" s="470">
        <f t="shared" ref="K23:L23" si="10">IF(K$4=0, "--", K4-(K6+K10))</f>
        <v>8866.9240950788153</v>
      </c>
      <c r="L23" s="470">
        <f t="shared" si="10"/>
        <v>2555.5533824495797</v>
      </c>
    </row>
    <row r="24" spans="1:12" x14ac:dyDescent="0.25">
      <c r="A24" s="4" t="s">
        <v>364</v>
      </c>
      <c r="F24" s="468">
        <f>F8+F12+F16</f>
        <v>1212891.8507268419</v>
      </c>
      <c r="G24" s="468">
        <f>G8+G12+G16</f>
        <v>2191.0993263879195</v>
      </c>
      <c r="H24" s="468">
        <f>H8+H12+H16</f>
        <v>886.16019061113366</v>
      </c>
      <c r="I24" s="468"/>
      <c r="J24" s="470">
        <f>IF(J$4=0, "--", J8+J12)</f>
        <v>1159477.1246807757</v>
      </c>
      <c r="K24" s="470">
        <f t="shared" ref="K24:L24" si="11">IF(K$4=0, "--", K8+K12)</f>
        <v>2035.1869183090894</v>
      </c>
      <c r="L24" s="470">
        <f t="shared" si="11"/>
        <v>830.11810641164493</v>
      </c>
    </row>
    <row r="25" spans="1:12" x14ac:dyDescent="0.25">
      <c r="A25" s="391" t="s">
        <v>365</v>
      </c>
      <c r="B25" s="392"/>
      <c r="C25" s="392"/>
      <c r="D25" s="392"/>
      <c r="E25" s="392"/>
      <c r="F25" s="467">
        <f>(F24/F23)</f>
        <v>2.2235155876419051E-2</v>
      </c>
      <c r="G25" s="467">
        <f>(G24/G23)</f>
        <v>6.8524114426837179E-3</v>
      </c>
      <c r="H25" s="467">
        <f>(H24/H23)</f>
        <v>1.0179481040873795E-2</v>
      </c>
      <c r="I25" s="392"/>
      <c r="J25" s="466">
        <f>IF(J$4=0, "--", (J24/J23))</f>
        <v>0.21000434966915318</v>
      </c>
      <c r="K25" s="466">
        <f>IF(K$4=0, "--", (K24/K23))</f>
        <v>0.22952569532411218</v>
      </c>
      <c r="L25" s="466">
        <f>IF(L$4=0, "--", (L24/L23))</f>
        <v>0.32482910046510166</v>
      </c>
    </row>
    <row r="29" spans="1:12" s="251" customFormat="1" x14ac:dyDescent="0.25">
      <c r="A29" s="251" t="s">
        <v>366</v>
      </c>
    </row>
    <row r="30" spans="1:12" s="251" customFormat="1" x14ac:dyDescent="0.25">
      <c r="A30" s="251" t="s">
        <v>367</v>
      </c>
    </row>
  </sheetData>
  <sheetProtection algorithmName="SHA-512" hashValue="YTqU+fF8oJ9Oa2jaguwje+POmcMVEGvIF1gVZChlu15wuJLQ13Ml3HLaaWrukEI+zX4Jl3fVTdSWhLS0twVMFA==" saltValue="sAoHLdjgjUsNMJ8GPsrpkw==" spinCount="100000" sheet="1" objects="1" scenarios="1"/>
  <mergeCells count="2">
    <mergeCell ref="F1:H1"/>
    <mergeCell ref="J1:L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TechDocs</vt:lpstr>
      <vt:lpstr>MMW Output</vt:lpstr>
      <vt:lpstr>Landcover Loading Rates</vt:lpstr>
      <vt:lpstr>Farm Animal Loading rates</vt:lpstr>
      <vt:lpstr>Stream Bank Loading Rates</vt:lpstr>
      <vt:lpstr>Urban BMPs</vt:lpstr>
      <vt:lpstr>Agricultural BMPs</vt:lpstr>
      <vt:lpstr>Floodplain Restoration</vt:lpstr>
      <vt:lpstr>Total Load Reductions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Anthony Aufdenkampe</dc:creator>
  <cp:lastModifiedBy>Owner</cp:lastModifiedBy>
  <dcterms:created xsi:type="dcterms:W3CDTF">2018-07-24T13:08:45Z</dcterms:created>
  <dcterms:modified xsi:type="dcterms:W3CDTF">2022-07-12T14:34:47Z</dcterms:modified>
</cp:coreProperties>
</file>